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01CFF129-CE1C-4FE8-916C-5989E11429A4}" xr6:coauthVersionLast="45" xr6:coauthVersionMax="45" xr10:uidLastSave="{00000000-0000-0000-0000-000000000000}"/>
  <bookViews>
    <workbookView xWindow="-110" yWindow="-110" windowWidth="25820" windowHeight="1402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Waiting List Modelling" sheetId="19" state="hidden" r:id="rId18"/>
    <sheet name="WL Modelling (Hide)" sheetId="20" state="hidden" r:id="rId19"/>
    <sheet name="Planning Backing (Hide)" sheetId="13" state="hidden" r:id="rId20"/>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9" i="8" l="1"/>
  <c r="C79" i="8"/>
  <c r="D79" i="8"/>
  <c r="E79" i="8"/>
  <c r="F79" i="8"/>
  <c r="G79" i="8"/>
  <c r="H79" i="8"/>
  <c r="I79" i="8"/>
  <c r="J79" i="8"/>
  <c r="K79" i="8"/>
  <c r="L79" i="8"/>
  <c r="M79" i="8"/>
  <c r="N79" i="8"/>
  <c r="O79" i="8"/>
  <c r="P79" i="8"/>
  <c r="B79" i="8"/>
  <c r="G4" i="15" l="1"/>
  <c r="G6" i="15"/>
  <c r="G7" i="15"/>
  <c r="G9" i="15"/>
  <c r="G10" i="15"/>
  <c r="G11" i="15"/>
  <c r="G12"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F4" i="15"/>
  <c r="F6" i="15"/>
  <c r="F7" i="15"/>
  <c r="F9" i="15"/>
  <c r="F10" i="15"/>
  <c r="F11" i="15"/>
  <c r="F12"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3" i="15"/>
  <c r="A75" i="8" l="1"/>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3" i="20"/>
  <c r="H54" i="20"/>
  <c r="G54" i="20"/>
  <c r="H53" i="20"/>
  <c r="G53" i="20"/>
  <c r="H52" i="20"/>
  <c r="G52" i="20"/>
  <c r="H51" i="20"/>
  <c r="G51" i="20"/>
  <c r="H50" i="20"/>
  <c r="G50" i="20"/>
  <c r="H49" i="20"/>
  <c r="G49" i="20"/>
  <c r="H48" i="20"/>
  <c r="G48" i="20"/>
  <c r="H47" i="20"/>
  <c r="G47" i="20"/>
  <c r="H46" i="20"/>
  <c r="G46" i="20"/>
  <c r="H45" i="20"/>
  <c r="G45" i="20"/>
  <c r="H44" i="20"/>
  <c r="G44" i="20"/>
  <c r="H43" i="20"/>
  <c r="G43" i="20"/>
  <c r="H42" i="20"/>
  <c r="G42" i="20"/>
  <c r="H41" i="20"/>
  <c r="G41" i="20"/>
  <c r="H40" i="20"/>
  <c r="G40" i="20"/>
  <c r="H39" i="20"/>
  <c r="G39" i="20"/>
  <c r="H38" i="20"/>
  <c r="G38" i="20"/>
  <c r="H37" i="20"/>
  <c r="G37" i="20"/>
  <c r="H36" i="20"/>
  <c r="G36" i="20"/>
  <c r="H35" i="20"/>
  <c r="G35" i="20"/>
  <c r="H34" i="20"/>
  <c r="G34" i="20"/>
  <c r="H33" i="20"/>
  <c r="G33" i="20"/>
  <c r="H32" i="20"/>
  <c r="G32" i="20"/>
  <c r="H31" i="20"/>
  <c r="G31" i="20"/>
  <c r="H30" i="20"/>
  <c r="G30" i="20"/>
  <c r="H29" i="20"/>
  <c r="G29" i="20"/>
  <c r="H28" i="20"/>
  <c r="G28" i="20"/>
  <c r="H27" i="20"/>
  <c r="G27" i="20"/>
  <c r="H26" i="20"/>
  <c r="G26" i="20"/>
  <c r="H25" i="20"/>
  <c r="G25" i="20"/>
  <c r="H24" i="20"/>
  <c r="G24" i="20"/>
  <c r="H23" i="20"/>
  <c r="G23" i="20"/>
  <c r="H22" i="20"/>
  <c r="G22" i="20"/>
  <c r="H21" i="20"/>
  <c r="G21" i="20"/>
  <c r="H20" i="20"/>
  <c r="G20" i="20"/>
  <c r="H19" i="20"/>
  <c r="G19" i="20"/>
  <c r="H18" i="20"/>
  <c r="G18" i="20"/>
  <c r="H17" i="20"/>
  <c r="G17" i="20"/>
  <c r="H16" i="20"/>
  <c r="G16" i="20"/>
  <c r="H15" i="20"/>
  <c r="G15" i="20"/>
  <c r="H14" i="20"/>
  <c r="G14" i="20"/>
  <c r="H13" i="20"/>
  <c r="G13" i="20"/>
  <c r="H12" i="20"/>
  <c r="G12" i="20"/>
  <c r="H11" i="20"/>
  <c r="G11" i="20"/>
  <c r="H10" i="20"/>
  <c r="G10" i="20"/>
  <c r="H9" i="20"/>
  <c r="G9" i="20"/>
  <c r="H8" i="20"/>
  <c r="G8" i="20"/>
  <c r="H7" i="20"/>
  <c r="G7" i="20"/>
  <c r="H6" i="20"/>
  <c r="G6" i="20"/>
  <c r="H5" i="20"/>
  <c r="G5" i="20"/>
  <c r="H4" i="20"/>
  <c r="G4" i="20"/>
  <c r="H3" i="20"/>
  <c r="G3" i="20"/>
  <c r="H2" i="20"/>
  <c r="G2" i="20"/>
  <c r="D7" i="19" l="1"/>
  <c r="D6" i="19"/>
  <c r="C2" i="20" l="1"/>
  <c r="B2" i="20"/>
  <c r="G7" i="6" l="1"/>
  <c r="G8" i="6"/>
  <c r="G9" i="6"/>
  <c r="G10" i="6"/>
  <c r="G11" i="6"/>
  <c r="G12" i="6"/>
  <c r="G13" i="6"/>
  <c r="G14" i="6"/>
  <c r="G15" i="6"/>
  <c r="G16" i="6"/>
  <c r="G17" i="6"/>
  <c r="G18" i="6"/>
  <c r="G19" i="6"/>
  <c r="G20" i="6"/>
  <c r="G21" i="6"/>
  <c r="G22" i="6"/>
  <c r="G23" i="6"/>
  <c r="G24" i="6"/>
  <c r="G25" i="6"/>
  <c r="G26" i="6"/>
  <c r="G27" i="6"/>
  <c r="G28" i="6"/>
  <c r="G29" i="6"/>
  <c r="G30" i="6"/>
  <c r="G6" i="6" l="1"/>
  <c r="B2" i="18" l="1"/>
  <c r="E5" i="7" l="1"/>
  <c r="AT9" i="9" l="1"/>
  <c r="W9" i="9"/>
  <c r="E62" i="12" l="1"/>
  <c r="D62" i="12"/>
  <c r="C62" i="12"/>
  <c r="B62" i="12"/>
  <c r="D7" i="8" l="1"/>
  <c r="I137" i="11" l="1"/>
  <c r="I34" i="11"/>
  <c r="D44" i="8" l="1"/>
  <c r="D6" i="8"/>
  <c r="B36" i="8" a="1"/>
  <c r="B36" i="8" s="1"/>
  <c r="B31" i="8" a="1"/>
  <c r="B31" i="8" s="1"/>
  <c r="D8" i="8"/>
  <c r="E78" i="7"/>
  <c r="A74" i="8"/>
  <c r="A73" i="8"/>
  <c r="C140" i="11" l="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B141" i="11"/>
  <c r="B142" i="11"/>
  <c r="B143" i="11"/>
  <c r="E143" i="11" s="1"/>
  <c r="B144" i="11"/>
  <c r="E144" i="1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E238" i="11" l="1"/>
  <c r="F238" i="11" s="1"/>
  <c r="E234" i="11"/>
  <c r="F234" i="11" s="1"/>
  <c r="E226" i="11"/>
  <c r="F226" i="11" s="1"/>
  <c r="E214" i="11"/>
  <c r="F214" i="11" s="1"/>
  <c r="E206" i="11"/>
  <c r="F206" i="11" s="1"/>
  <c r="E198" i="11"/>
  <c r="F198" i="11" s="1"/>
  <c r="E194" i="11"/>
  <c r="F194" i="11" s="1"/>
  <c r="E174" i="11"/>
  <c r="F174" i="11" s="1"/>
  <c r="E166" i="11"/>
  <c r="F166" i="11" s="1"/>
  <c r="E158" i="11"/>
  <c r="F158" i="11" s="1"/>
  <c r="E150" i="11"/>
  <c r="F150" i="11" s="1"/>
  <c r="E197" i="11"/>
  <c r="F197" i="11" s="1"/>
  <c r="E193" i="11"/>
  <c r="F193" i="11" s="1"/>
  <c r="E189" i="11"/>
  <c r="F189" i="11" s="1"/>
  <c r="E185" i="11"/>
  <c r="F185" i="11" s="1"/>
  <c r="E181" i="11"/>
  <c r="F181" i="11" s="1"/>
  <c r="E177" i="11"/>
  <c r="F177" i="11" s="1"/>
  <c r="E173" i="11"/>
  <c r="F173" i="11" s="1"/>
  <c r="E169" i="11"/>
  <c r="F169" i="11" s="1"/>
  <c r="E165" i="11"/>
  <c r="F165" i="11" s="1"/>
  <c r="E161" i="11"/>
  <c r="F161" i="11" s="1"/>
  <c r="E157" i="11"/>
  <c r="F157" i="11" s="1"/>
  <c r="E153" i="11"/>
  <c r="F153" i="11" s="1"/>
  <c r="E149" i="11"/>
  <c r="F149" i="11" s="1"/>
  <c r="E145" i="11"/>
  <c r="F145" i="11" s="1"/>
  <c r="E141" i="11"/>
  <c r="G141" i="11"/>
  <c r="E235" i="11"/>
  <c r="F235" i="11" s="1"/>
  <c r="E227" i="11"/>
  <c r="F227" i="11" s="1"/>
  <c r="E223" i="11"/>
  <c r="F223" i="11" s="1"/>
  <c r="E219" i="11"/>
  <c r="F219" i="11" s="1"/>
  <c r="E215" i="11"/>
  <c r="F215" i="11" s="1"/>
  <c r="E211" i="11"/>
  <c r="F211" i="11" s="1"/>
  <c r="G211" i="11"/>
  <c r="F207" i="11"/>
  <c r="E207" i="11"/>
  <c r="F203" i="11"/>
  <c r="E203" i="11"/>
  <c r="F199" i="11"/>
  <c r="E199" i="11"/>
  <c r="F195" i="11"/>
  <c r="G195" i="11"/>
  <c r="E195" i="11"/>
  <c r="E191" i="11"/>
  <c r="F191" i="11" s="1"/>
  <c r="F187" i="11"/>
  <c r="E187" i="11"/>
  <c r="E183" i="11"/>
  <c r="F183" i="11" s="1"/>
  <c r="F179" i="11"/>
  <c r="E179" i="11"/>
  <c r="E175" i="11"/>
  <c r="F175" i="11" s="1"/>
  <c r="F171" i="11"/>
  <c r="E171" i="11"/>
  <c r="E167" i="11"/>
  <c r="F167" i="11" s="1"/>
  <c r="F159" i="11"/>
  <c r="E159" i="11"/>
  <c r="E151" i="11"/>
  <c r="F151" i="11" s="1"/>
  <c r="F147" i="11"/>
  <c r="E147" i="11"/>
  <c r="E222" i="11"/>
  <c r="F222" i="11" s="1"/>
  <c r="F218" i="11"/>
  <c r="E218" i="11"/>
  <c r="E210" i="11"/>
  <c r="F210" i="11" s="1"/>
  <c r="F202" i="11"/>
  <c r="E202" i="11"/>
  <c r="E190" i="11"/>
  <c r="F190" i="11" s="1"/>
  <c r="F186" i="11"/>
  <c r="E186" i="11"/>
  <c r="E178" i="11"/>
  <c r="F178" i="11" s="1"/>
  <c r="F170" i="11"/>
  <c r="E170" i="11"/>
  <c r="E162" i="11"/>
  <c r="F162" i="11" s="1"/>
  <c r="F154" i="11"/>
  <c r="E154" i="11"/>
  <c r="E146" i="11"/>
  <c r="F146" i="11" s="1"/>
  <c r="F142" i="11"/>
  <c r="E142" i="11"/>
  <c r="E237" i="11"/>
  <c r="F237" i="11" s="1"/>
  <c r="F233" i="11"/>
  <c r="E233" i="11"/>
  <c r="E229" i="11"/>
  <c r="F229" i="11" s="1"/>
  <c r="G229" i="11"/>
  <c r="F225" i="11"/>
  <c r="E225" i="11"/>
  <c r="F221" i="11"/>
  <c r="E221" i="11"/>
  <c r="F217" i="11"/>
  <c r="E217" i="11"/>
  <c r="F213" i="11"/>
  <c r="E213" i="11"/>
  <c r="F209" i="11"/>
  <c r="E209" i="11"/>
  <c r="F205" i="11"/>
  <c r="E205" i="11"/>
  <c r="F201" i="11"/>
  <c r="E201" i="11"/>
  <c r="F236" i="11"/>
  <c r="E236" i="11"/>
  <c r="F232" i="11"/>
  <c r="E232" i="11"/>
  <c r="F228" i="11"/>
  <c r="E228" i="11"/>
  <c r="F224" i="11"/>
  <c r="E224" i="11"/>
  <c r="F220" i="11"/>
  <c r="E220" i="11"/>
  <c r="F216" i="11"/>
  <c r="E216" i="11"/>
  <c r="F212" i="11"/>
  <c r="E212" i="11"/>
  <c r="F208" i="11"/>
  <c r="E208" i="11"/>
  <c r="F204" i="11"/>
  <c r="E204" i="11"/>
  <c r="F200" i="11"/>
  <c r="E200" i="11"/>
  <c r="F196" i="11"/>
  <c r="E196" i="11"/>
  <c r="F192" i="11"/>
  <c r="E192" i="11"/>
  <c r="F188" i="11"/>
  <c r="E188" i="11"/>
  <c r="F184" i="11"/>
  <c r="E184" i="11"/>
  <c r="F180" i="11"/>
  <c r="E180" i="11"/>
  <c r="F176" i="11"/>
  <c r="E176" i="11"/>
  <c r="F172" i="11"/>
  <c r="E172" i="11"/>
  <c r="F168" i="11"/>
  <c r="E168" i="11"/>
  <c r="F164" i="11"/>
  <c r="E164" i="11"/>
  <c r="F160" i="11"/>
  <c r="E160" i="11"/>
  <c r="F156" i="11"/>
  <c r="E156" i="11"/>
  <c r="F152" i="11"/>
  <c r="E152" i="11"/>
  <c r="F148" i="11"/>
  <c r="E148" i="11"/>
  <c r="F182" i="1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E131" i="11" l="1"/>
  <c r="F131" i="11" s="1"/>
  <c r="E115" i="11"/>
  <c r="F115" i="11" s="1"/>
  <c r="E99" i="11"/>
  <c r="F99" i="11" s="1"/>
  <c r="E83" i="11"/>
  <c r="F83" i="11" s="1"/>
  <c r="E75" i="11"/>
  <c r="F75" i="11" s="1"/>
  <c r="E63" i="11"/>
  <c r="F63" i="11" s="1"/>
  <c r="E55" i="11"/>
  <c r="F55" i="11" s="1"/>
  <c r="E51" i="11"/>
  <c r="F51" i="11" s="1"/>
  <c r="E47" i="11"/>
  <c r="F47" i="11" s="1"/>
  <c r="E39" i="11"/>
  <c r="F39" i="11" s="1"/>
  <c r="E123" i="11"/>
  <c r="F123" i="11" s="1"/>
  <c r="E111" i="11"/>
  <c r="F111" i="11" s="1"/>
  <c r="E103" i="11"/>
  <c r="F103" i="11" s="1"/>
  <c r="E91" i="11"/>
  <c r="F91" i="11" s="1"/>
  <c r="E79" i="11"/>
  <c r="F79" i="11" s="1"/>
  <c r="E67" i="11"/>
  <c r="F67" i="11" s="1"/>
  <c r="E134" i="11"/>
  <c r="F134" i="11" s="1"/>
  <c r="E126" i="11"/>
  <c r="F126" i="11" s="1"/>
  <c r="E122" i="11"/>
  <c r="F122" i="11" s="1"/>
  <c r="E118" i="11"/>
  <c r="F118" i="11" s="1"/>
  <c r="E114" i="11"/>
  <c r="F114" i="11" s="1"/>
  <c r="E106" i="11"/>
  <c r="F106" i="11" s="1"/>
  <c r="E102" i="11"/>
  <c r="F102" i="11" s="1"/>
  <c r="E98" i="11"/>
  <c r="F98" i="11" s="1"/>
  <c r="E94" i="11"/>
  <c r="F94" i="11" s="1"/>
  <c r="E90" i="11"/>
  <c r="F90" i="11" s="1"/>
  <c r="E86" i="11"/>
  <c r="F86" i="11" s="1"/>
  <c r="E74" i="11"/>
  <c r="F74" i="11" s="1"/>
  <c r="E70" i="11"/>
  <c r="F70" i="11" s="1"/>
  <c r="E66" i="11"/>
  <c r="F66" i="11" s="1"/>
  <c r="E62" i="11"/>
  <c r="F62" i="11" s="1"/>
  <c r="E58" i="11"/>
  <c r="F58" i="11" s="1"/>
  <c r="E54" i="11"/>
  <c r="F54" i="11" s="1"/>
  <c r="E50" i="11"/>
  <c r="F50" i="11" s="1"/>
  <c r="E46" i="11"/>
  <c r="F46" i="11" s="1"/>
  <c r="E42" i="11"/>
  <c r="F42" i="11" s="1"/>
  <c r="E127" i="11"/>
  <c r="F127" i="11" s="1"/>
  <c r="E119" i="11"/>
  <c r="F119" i="11" s="1"/>
  <c r="E107" i="11"/>
  <c r="F107" i="11" s="1"/>
  <c r="E95" i="11"/>
  <c r="F95" i="11" s="1"/>
  <c r="E87" i="11"/>
  <c r="F87" i="11" s="1"/>
  <c r="E59" i="11"/>
  <c r="F59" i="11" s="1"/>
  <c r="E43" i="11"/>
  <c r="F43" i="11" s="1"/>
  <c r="E130" i="11"/>
  <c r="F130" i="11" s="1"/>
  <c r="E133" i="11"/>
  <c r="F133" i="11" s="1"/>
  <c r="E129" i="11"/>
  <c r="F129" i="11" s="1"/>
  <c r="E125" i="11"/>
  <c r="F125" i="11" s="1"/>
  <c r="E121" i="11"/>
  <c r="F121" i="11" s="1"/>
  <c r="E113" i="11"/>
  <c r="F113" i="11" s="1"/>
  <c r="E109" i="11"/>
  <c r="F109" i="11" s="1"/>
  <c r="E101" i="11"/>
  <c r="F101" i="11" s="1"/>
  <c r="E97" i="11"/>
  <c r="F97" i="11" s="1"/>
  <c r="E93" i="11"/>
  <c r="F93" i="11" s="1"/>
  <c r="E89" i="11"/>
  <c r="F89" i="11" s="1"/>
  <c r="E85" i="11"/>
  <c r="F85" i="11" s="1"/>
  <c r="E81" i="11"/>
  <c r="F81" i="11" s="1"/>
  <c r="E77" i="11"/>
  <c r="F77" i="11" s="1"/>
  <c r="E73" i="11"/>
  <c r="F73" i="11" s="1"/>
  <c r="E69" i="11"/>
  <c r="F69" i="11" s="1"/>
  <c r="E65" i="11"/>
  <c r="F65" i="11" s="1"/>
  <c r="E61" i="11"/>
  <c r="F61" i="11" s="1"/>
  <c r="E57" i="11"/>
  <c r="F57" i="11" s="1"/>
  <c r="E53" i="11"/>
  <c r="F53" i="11" s="1"/>
  <c r="E45" i="11"/>
  <c r="F45" i="11" s="1"/>
  <c r="E132" i="11"/>
  <c r="F132" i="11" s="1"/>
  <c r="E124" i="11"/>
  <c r="F124" i="11" s="1"/>
  <c r="E120" i="11"/>
  <c r="F120" i="11" s="1"/>
  <c r="E116" i="11"/>
  <c r="F116" i="11" s="1"/>
  <c r="E112" i="11"/>
  <c r="F112" i="11" s="1"/>
  <c r="E108" i="11"/>
  <c r="F108" i="11" s="1"/>
  <c r="E104" i="11"/>
  <c r="F104" i="11" s="1"/>
  <c r="E100" i="11"/>
  <c r="F100" i="11" s="1"/>
  <c r="E96" i="11"/>
  <c r="F96" i="11" s="1"/>
  <c r="E88" i="11"/>
  <c r="F88" i="11" s="1"/>
  <c r="E84" i="11"/>
  <c r="F84" i="11" s="1"/>
  <c r="E80" i="11"/>
  <c r="F80" i="11" s="1"/>
  <c r="E76" i="11"/>
  <c r="F76" i="11" s="1"/>
  <c r="E72" i="11"/>
  <c r="F72" i="11" s="1"/>
  <c r="E68" i="11"/>
  <c r="F68" i="11" s="1"/>
  <c r="E64" i="11"/>
  <c r="F64" i="11" s="1"/>
  <c r="E60" i="11"/>
  <c r="F60" i="11" s="1"/>
  <c r="E56" i="11"/>
  <c r="F56" i="11" s="1"/>
  <c r="E52" i="11"/>
  <c r="F52" i="11" s="1"/>
  <c r="E48" i="11"/>
  <c r="F48" i="11" s="1"/>
  <c r="E44" i="11"/>
  <c r="F44" i="11" s="1"/>
  <c r="E40" i="11"/>
  <c r="F40" i="11" s="1"/>
  <c r="F135" i="11"/>
  <c r="F117" i="11"/>
  <c r="F49" i="11"/>
  <c r="F105" i="11"/>
  <c r="F71" i="11"/>
  <c r="F92" i="11"/>
  <c r="F110" i="11"/>
  <c r="F82" i="11"/>
  <c r="F78" i="11"/>
  <c r="F128" i="11"/>
  <c r="F41"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I62" i="15" s="1"/>
  <c r="C63" i="15"/>
  <c r="D63" i="15"/>
  <c r="C64" i="15"/>
  <c r="D64" i="15"/>
  <c r="C65" i="15"/>
  <c r="D65" i="15"/>
  <c r="C66" i="15"/>
  <c r="D66" i="15"/>
  <c r="C67" i="15"/>
  <c r="D67" i="15"/>
  <c r="C68" i="15"/>
  <c r="D68" i="15"/>
  <c r="C69" i="15"/>
  <c r="D69" i="15"/>
  <c r="C70" i="15"/>
  <c r="D70" i="15"/>
  <c r="C71" i="15"/>
  <c r="D71" i="15"/>
  <c r="C72" i="15"/>
  <c r="D72" i="15"/>
  <c r="H72" i="15" s="1"/>
  <c r="C73" i="15"/>
  <c r="D73" i="15"/>
  <c r="C74" i="15"/>
  <c r="D74" i="15"/>
  <c r="C75" i="15"/>
  <c r="D75" i="15"/>
  <c r="C76" i="15"/>
  <c r="D76" i="15"/>
  <c r="C77" i="15"/>
  <c r="D77" i="15"/>
  <c r="I7" i="15" l="1"/>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43" i="11" l="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K4"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B13" i="5"/>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Y15" i="5" a="1"/>
  <c r="Y15" i="5" s="1"/>
  <c r="H5" i="14"/>
  <c r="I5" i="14" s="1"/>
  <c r="B71" i="8" s="1"/>
  <c r="U16" i="5"/>
  <c r="D22" i="2"/>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K14" i="5"/>
  <c r="AL9" i="5" s="1"/>
  <c r="A24" i="2"/>
  <c r="Y16" i="5" l="1" a="1"/>
  <c r="Y16" i="5" s="1"/>
  <c r="W16" i="5" a="1"/>
  <c r="W16" i="5" s="1"/>
  <c r="AK15" i="5" s="1"/>
  <c r="U17" i="5"/>
  <c r="D18" i="5"/>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W17" i="5" l="1"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W18" i="5" l="1" a="1"/>
  <c r="W18" i="5" s="1"/>
  <c r="AK17" i="5" s="1"/>
  <c r="Y18" i="5" a="1"/>
  <c r="Y18" i="5" s="1"/>
  <c r="U19" i="5"/>
  <c r="D20" i="5"/>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Y21" i="5" a="1"/>
  <c r="Y21" i="5" s="1"/>
  <c r="U22" i="5"/>
  <c r="D28" i="2"/>
  <c r="C23" i="5" s="1"/>
  <c r="E29" i="2"/>
  <c r="D24" i="5" s="1"/>
  <c r="C29" i="2"/>
  <c r="H23" i="5"/>
  <c r="F23" i="5"/>
  <c r="P23" i="5"/>
  <c r="Q23" i="5"/>
  <c r="N23" i="5"/>
  <c r="I23" i="5"/>
  <c r="S23" i="5"/>
  <c r="J23" i="5"/>
  <c r="M23" i="5"/>
  <c r="K23" i="5"/>
  <c r="L23" i="5"/>
  <c r="T23" i="5"/>
  <c r="R23" i="5"/>
  <c r="O23" i="5"/>
  <c r="G23" i="5"/>
  <c r="AK20"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U177" i="5" s="1"/>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U148" i="5" s="1"/>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U135" i="5" s="1"/>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U145" i="5" s="1"/>
  <c r="J214" i="5"/>
  <c r="G204" i="5"/>
  <c r="K180" i="5"/>
  <c r="J100" i="5"/>
  <c r="M106" i="5"/>
  <c r="T180" i="5"/>
  <c r="Q149" i="5"/>
  <c r="H138" i="5"/>
  <c r="F171" i="5"/>
  <c r="N249" i="5"/>
  <c r="F108" i="5"/>
  <c r="N156" i="5"/>
  <c r="P246" i="5"/>
  <c r="P244" i="5"/>
  <c r="O154" i="5"/>
  <c r="I232" i="5"/>
  <c r="P156" i="5"/>
  <c r="F182" i="5"/>
  <c r="N250" i="5"/>
  <c r="F142" i="5"/>
  <c r="U142" i="5" s="1"/>
  <c r="S192" i="5"/>
  <c r="I224" i="5"/>
  <c r="Q97" i="5"/>
  <c r="G121" i="5"/>
  <c r="K138" i="5"/>
  <c r="K112" i="5"/>
  <c r="R245" i="5"/>
  <c r="R109" i="5"/>
  <c r="Q192" i="5"/>
  <c r="F188" i="5"/>
  <c r="O126" i="5"/>
  <c r="T222" i="5"/>
  <c r="L136" i="5"/>
  <c r="J126" i="5"/>
  <c r="M108" i="5"/>
  <c r="Q84" i="5"/>
  <c r="R104" i="5"/>
  <c r="M191" i="5"/>
  <c r="R171" i="5"/>
  <c r="J243" i="5"/>
  <c r="L206" i="5"/>
  <c r="N194" i="5"/>
  <c r="H239" i="5"/>
  <c r="F226" i="5"/>
  <c r="U226" i="5" s="1"/>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U103" i="5" s="1"/>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W226" i="5" l="1" a="1"/>
  <c r="W226" i="5" s="1"/>
  <c r="W142" i="5" a="1"/>
  <c r="W142" i="5" s="1"/>
  <c r="Y142" i="5" a="1"/>
  <c r="Y142" i="5" s="1"/>
  <c r="U90" i="5"/>
  <c r="W74" i="5" a="1"/>
  <c r="W74" i="5" s="1"/>
  <c r="Y74" i="5" a="1"/>
  <c r="Y74" i="5" s="1"/>
  <c r="W177" i="5" a="1"/>
  <c r="W177" i="5" s="1"/>
  <c r="U129" i="5"/>
  <c r="W103" i="5" a="1"/>
  <c r="W103" i="5" s="1"/>
  <c r="Y103" i="5" a="1"/>
  <c r="Y103" i="5" s="1"/>
  <c r="W145" i="5" a="1"/>
  <c r="W145" i="5" s="1"/>
  <c r="W135" i="5" a="1"/>
  <c r="W135" i="5" s="1"/>
  <c r="Y135" i="5" a="1"/>
  <c r="Y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AK73"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AK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AK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AK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AK84" i="5" s="1"/>
  <c r="Y147" i="5" a="1"/>
  <c r="Y147" i="5" s="1"/>
  <c r="W147" i="5" a="1"/>
  <c r="W147" i="5" s="1"/>
  <c r="Y126" i="5" a="1"/>
  <c r="Y126" i="5" s="1"/>
  <c r="W126" i="5" a="1"/>
  <c r="W126" i="5" s="1"/>
  <c r="AK126" i="5" s="1"/>
  <c r="Y85" i="5" a="1"/>
  <c r="Y85" i="5" s="1"/>
  <c r="W85" i="5" a="1"/>
  <c r="W85" i="5" s="1"/>
  <c r="W249" i="5" a="1"/>
  <c r="W249" i="5" s="1"/>
  <c r="Y249" i="5" a="1"/>
  <c r="Y249" i="5" s="1"/>
  <c r="Y192" i="5" a="1"/>
  <c r="Y192" i="5" s="1"/>
  <c r="W192" i="5" a="1"/>
  <c r="W192" i="5" s="1"/>
  <c r="W141" i="5" a="1"/>
  <c r="W141" i="5" s="1"/>
  <c r="Y141" i="5" a="1"/>
  <c r="Y141" i="5" s="1"/>
  <c r="W225" i="5" a="1"/>
  <c r="W225" i="5" s="1"/>
  <c r="Y225" i="5" a="1"/>
  <c r="Y225" i="5" s="1"/>
  <c r="W262" i="5" a="1"/>
  <c r="W262" i="5" s="1"/>
  <c r="Y262" i="5" a="1"/>
  <c r="Y262" i="5" s="1"/>
  <c r="W217" i="5" a="1"/>
  <c r="W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Y119" i="5" a="1"/>
  <c r="Y119" i="5" s="1"/>
  <c r="W173" i="5" a="1"/>
  <c r="W173" i="5" s="1"/>
  <c r="Y173" i="5" a="1"/>
  <c r="Y173" i="5" s="1"/>
  <c r="Y109" i="5" a="1"/>
  <c r="Y109" i="5" s="1"/>
  <c r="W109" i="5" a="1"/>
  <c r="W109" i="5" s="1"/>
  <c r="W78" i="5" a="1"/>
  <c r="W78" i="5" s="1"/>
  <c r="Y78" i="5" a="1"/>
  <c r="Y78" i="5" s="1"/>
  <c r="W134" i="5" a="1"/>
  <c r="W134" i="5" s="1"/>
  <c r="Y134" i="5" a="1"/>
  <c r="Y134" i="5" s="1"/>
  <c r="Y144" i="5" a="1"/>
  <c r="Y144" i="5" s="1"/>
  <c r="W144" i="5" a="1"/>
  <c r="W144" i="5" s="1"/>
  <c r="AK144" i="5" s="1"/>
  <c r="W155" i="5" a="1"/>
  <c r="W155" i="5" s="1"/>
  <c r="Y155" i="5" a="1"/>
  <c r="Y155" i="5" s="1"/>
  <c r="W76" i="5" a="1"/>
  <c r="W76" i="5" s="1"/>
  <c r="Y76" i="5" a="1"/>
  <c r="Y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X232" i="5"/>
  <c r="AM232" i="5" s="1"/>
  <c r="X156" i="5"/>
  <c r="X69" i="5"/>
  <c r="X162" i="5"/>
  <c r="X140" i="5"/>
  <c r="X195" i="5"/>
  <c r="X215" i="5"/>
  <c r="X68" i="5"/>
  <c r="X253" i="5"/>
  <c r="X177" i="5"/>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X15" i="5"/>
  <c r="X53" i="5"/>
  <c r="X198" i="5"/>
  <c r="X52" i="5"/>
  <c r="X73" i="5"/>
  <c r="X235" i="5"/>
  <c r="X127" i="5"/>
  <c r="X239" i="5"/>
  <c r="X84" i="5"/>
  <c r="X7" i="5"/>
  <c r="X149" i="5"/>
  <c r="X34" i="5"/>
  <c r="X23" i="5"/>
  <c r="X6" i="5"/>
  <c r="X38" i="5"/>
  <c r="X224" i="5"/>
  <c r="X80" i="5"/>
  <c r="X212" i="5"/>
  <c r="X220" i="5"/>
  <c r="X181" i="5"/>
  <c r="X17" i="5"/>
  <c r="X42" i="5"/>
  <c r="X74" i="5"/>
  <c r="X192" i="5"/>
  <c r="X50" i="5"/>
  <c r="X252" i="5"/>
  <c r="AM252" i="5" s="1"/>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AM246" i="5" s="1"/>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AM182" i="5" s="1"/>
  <c r="X241" i="5"/>
  <c r="X262" i="5"/>
  <c r="X35" i="5"/>
  <c r="X226" i="5"/>
  <c r="X66" i="5"/>
  <c r="X166" i="5"/>
  <c r="X259" i="5"/>
  <c r="W100" i="5" a="1"/>
  <c r="W100" i="5" s="1"/>
  <c r="Y100" i="5" a="1"/>
  <c r="Y100" i="5" s="1"/>
  <c r="Y191" i="5" a="1"/>
  <c r="Y191" i="5" s="1"/>
  <c r="W191" i="5" a="1"/>
  <c r="W191" i="5" s="1"/>
  <c r="W258" i="5" a="1"/>
  <c r="W258" i="5" s="1"/>
  <c r="Y258" i="5" a="1"/>
  <c r="Y258" i="5" s="1"/>
  <c r="W209" i="5" a="1"/>
  <c r="W209" i="5" s="1"/>
  <c r="Y209" i="5" a="1"/>
  <c r="Y209" i="5" s="1"/>
  <c r="W165" i="5" a="1"/>
  <c r="W165" i="5" s="1"/>
  <c r="AK165" i="5" s="1"/>
  <c r="Y165" i="5" a="1"/>
  <c r="Y165" i="5" s="1"/>
  <c r="W137" i="5" a="1"/>
  <c r="W137" i="5" s="1"/>
  <c r="Y137" i="5" a="1"/>
  <c r="Y137" i="5" s="1"/>
  <c r="W231" i="5" a="1"/>
  <c r="W231" i="5" s="1"/>
  <c r="AM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AK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Y116" i="5" a="1"/>
  <c r="Y116" i="5" s="1"/>
  <c r="Y243" i="5" a="1"/>
  <c r="Y243" i="5" s="1"/>
  <c r="W243" i="5" a="1"/>
  <c r="W243" i="5" s="1"/>
  <c r="AM243" i="5" s="1"/>
  <c r="Y99" i="5" a="1"/>
  <c r="Y99" i="5" s="1"/>
  <c r="W99" i="5" a="1"/>
  <c r="W99"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Y102" i="5" a="1"/>
  <c r="Y102" i="5" s="1"/>
  <c r="W101" i="5" a="1"/>
  <c r="W101" i="5" s="1"/>
  <c r="Y101" i="5" a="1"/>
  <c r="Y101" i="5" s="1"/>
  <c r="Y140" i="5" a="1"/>
  <c r="Y140" i="5" s="1"/>
  <c r="W140" i="5" a="1"/>
  <c r="W140" i="5" s="1"/>
  <c r="W215" i="5" a="1"/>
  <c r="W215" i="5" s="1"/>
  <c r="Y215" i="5" a="1"/>
  <c r="Y215" i="5" s="1"/>
  <c r="W108" i="5" a="1"/>
  <c r="W108" i="5" s="1"/>
  <c r="Y108" i="5" a="1"/>
  <c r="Y108" i="5" s="1"/>
  <c r="W216" i="5" a="1"/>
  <c r="W216" i="5" s="1"/>
  <c r="AK216" i="5" s="1"/>
  <c r="Y216" i="5" a="1"/>
  <c r="Y216" i="5" s="1"/>
  <c r="Y212" i="5" a="1"/>
  <c r="Y212" i="5" s="1"/>
  <c r="W212" i="5" a="1"/>
  <c r="W212" i="5" s="1"/>
  <c r="W256" i="5" a="1"/>
  <c r="W256" i="5" s="1"/>
  <c r="Y256" i="5" a="1"/>
  <c r="Y256" i="5" s="1"/>
  <c r="W208" i="5" a="1"/>
  <c r="W208" i="5" s="1"/>
  <c r="Y208" i="5" a="1"/>
  <c r="Y208" i="5" s="1"/>
  <c r="Y145" i="5" a="1"/>
  <c r="Y145" i="5" s="1"/>
  <c r="Y177" i="5" a="1"/>
  <c r="Y177" i="5" s="1"/>
  <c r="W90" i="5" a="1"/>
  <c r="W90" i="5" s="1"/>
  <c r="Y90" i="5" a="1"/>
  <c r="Y90" i="5" s="1"/>
  <c r="U75" i="5"/>
  <c r="AK233" i="5"/>
  <c r="AM166" i="5"/>
  <c r="AM148" i="5"/>
  <c r="AM245" i="5"/>
  <c r="AM138" i="5"/>
  <c r="AM253" i="5"/>
  <c r="AM259" i="5"/>
  <c r="B14" i="7"/>
  <c r="B15" i="12" s="1"/>
  <c r="B11" i="7"/>
  <c r="B12" i="12" s="1"/>
  <c r="B15" i="7"/>
  <c r="B16" i="12" s="1"/>
  <c r="B8" i="7"/>
  <c r="B9" i="12" s="1"/>
  <c r="AM181" i="5"/>
  <c r="B7" i="7"/>
  <c r="F13" i="15" s="1"/>
  <c r="AM199" i="5"/>
  <c r="B9" i="7"/>
  <c r="B10" i="12" s="1"/>
  <c r="AM122" i="5"/>
  <c r="AM150" i="5"/>
  <c r="AM212" i="5"/>
  <c r="AM237" i="5"/>
  <c r="AM224" i="5"/>
  <c r="AM200" i="5"/>
  <c r="AM82" i="5"/>
  <c r="AM190" i="5"/>
  <c r="AM177" i="5"/>
  <c r="AM153" i="5"/>
  <c r="AM222" i="5"/>
  <c r="AM129" i="5"/>
  <c r="B12" i="7"/>
  <c r="B13" i="12" s="1"/>
  <c r="AM127" i="5"/>
  <c r="AM263" i="5"/>
  <c r="AN263" i="5" s="1"/>
  <c r="B18" i="7"/>
  <c r="B19" i="12" s="1"/>
  <c r="R3" i="3" a="1"/>
  <c r="R3" i="3" s="1"/>
  <c r="AM236" i="5"/>
  <c r="AM118" i="5"/>
  <c r="AM169" i="5"/>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9" i="5"/>
  <c r="AK90" i="5"/>
  <c r="AK85" i="5"/>
  <c r="AK111" i="5"/>
  <c r="AK154" i="5"/>
  <c r="AK106" i="5"/>
  <c r="AK193" i="5"/>
  <c r="AK202" i="5"/>
  <c r="AK107" i="5"/>
  <c r="AK238" i="5"/>
  <c r="AK179" i="5"/>
  <c r="AK108" i="5"/>
  <c r="AK86" i="5"/>
  <c r="AK122" i="5"/>
  <c r="AK175" i="5"/>
  <c r="AK241" i="5"/>
  <c r="AK250" i="5"/>
  <c r="AK237" i="5"/>
  <c r="AL68" i="5"/>
  <c r="AK97" i="5"/>
  <c r="AK79" i="5"/>
  <c r="AK243" i="5"/>
  <c r="AK142" i="5"/>
  <c r="AK140" i="5"/>
  <c r="AK148" i="5"/>
  <c r="AK147" i="5"/>
  <c r="AK98" i="5"/>
  <c r="AK203" i="5"/>
  <c r="AK102" i="5"/>
  <c r="AK116" i="5"/>
  <c r="AK204" i="5"/>
  <c r="AK190" i="5"/>
  <c r="AK258" i="5"/>
  <c r="AK195" i="5"/>
  <c r="AK176" i="5"/>
  <c r="AK104" i="5"/>
  <c r="AK88" i="5"/>
  <c r="AK87" i="5"/>
  <c r="AK160" i="5"/>
  <c r="AK222" i="5"/>
  <c r="AK133" i="5"/>
  <c r="AK134" i="5"/>
  <c r="AK221" i="5"/>
  <c r="AK224" i="5"/>
  <c r="AK151" i="5"/>
  <c r="AK228" i="5"/>
  <c r="AK78" i="5"/>
  <c r="AK76" i="5"/>
  <c r="AK113" i="5"/>
  <c r="AK92" i="5"/>
  <c r="AK212" i="5"/>
  <c r="AK145" i="5"/>
  <c r="AK171" i="5"/>
  <c r="AK96" i="5"/>
  <c r="AK205" i="5"/>
  <c r="AK114" i="5"/>
  <c r="AK217" i="5"/>
  <c r="AK115" i="5"/>
  <c r="AK244" i="5"/>
  <c r="AK213" i="5"/>
  <c r="AK103" i="5"/>
  <c r="AK209" i="5"/>
  <c r="AK208" i="5"/>
  <c r="AK251" i="5"/>
  <c r="AK152" i="5"/>
  <c r="AK232" i="5"/>
  <c r="AK82" i="5"/>
  <c r="AK225" i="5"/>
  <c r="AK77" i="5"/>
  <c r="AK153" i="5"/>
  <c r="AK188" i="5"/>
  <c r="AK242" i="5"/>
  <c r="AK83" i="5"/>
  <c r="AK236" i="5"/>
  <c r="AK191" i="5"/>
  <c r="AK210" i="5"/>
  <c r="AK150" i="5"/>
  <c r="AK200" i="5"/>
  <c r="AK249" i="5"/>
  <c r="AK128" i="5"/>
  <c r="AK245" i="5"/>
  <c r="AK261" i="5"/>
  <c r="AK124" i="5"/>
  <c r="AK226" i="5"/>
  <c r="AK182" i="5"/>
  <c r="AK125" i="5"/>
  <c r="AK149" i="5"/>
  <c r="AK263" i="5"/>
  <c r="AL263" i="5" s="1"/>
  <c r="AK262" i="5"/>
  <c r="AK132" i="5"/>
  <c r="AK172" i="5"/>
  <c r="AK117" i="5"/>
  <c r="AK198" i="5"/>
  <c r="AK183" i="5"/>
  <c r="AK146" i="5"/>
  <c r="AK127" i="5"/>
  <c r="AK223" i="5"/>
  <c r="AK177" i="5"/>
  <c r="AK95" i="5"/>
  <c r="AK118" i="5"/>
  <c r="AK192" i="5"/>
  <c r="AK180" i="5"/>
  <c r="AK181" i="5"/>
  <c r="AK129" i="5"/>
  <c r="AK137" i="5"/>
  <c r="AK130" i="5"/>
  <c r="AK211" i="5"/>
  <c r="AK227" i="5"/>
  <c r="AK91" i="5"/>
  <c r="AK189" i="5"/>
  <c r="AK141" i="5"/>
  <c r="AK112" i="5"/>
  <c r="AK252" i="5"/>
  <c r="AK220" i="5"/>
  <c r="AK155" i="5"/>
  <c r="AK206" i="5" l="1"/>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L256" i="5" s="1"/>
  <c r="AK100" i="5"/>
  <c r="AM131" i="5"/>
  <c r="AM158" i="5"/>
  <c r="AK99" i="5"/>
  <c r="AL96" i="5" s="1"/>
  <c r="AK256" i="5"/>
  <c r="AK168" i="5"/>
  <c r="AK231" i="5"/>
  <c r="AK139" i="5"/>
  <c r="AK161" i="5"/>
  <c r="AK109" i="5"/>
  <c r="AK110" i="5"/>
  <c r="AK229" i="5"/>
  <c r="AL224" i="5" s="1"/>
  <c r="AK81" i="5"/>
  <c r="AK196" i="5"/>
  <c r="AK121" i="5"/>
  <c r="AL117" i="5" s="1"/>
  <c r="AK215" i="5"/>
  <c r="AL214" i="5" s="1"/>
  <c r="AK143" i="5"/>
  <c r="AK240" i="5"/>
  <c r="AK158" i="5"/>
  <c r="AL156" i="5" s="1"/>
  <c r="AK164" i="5"/>
  <c r="AL162" i="5" s="1"/>
  <c r="AM258" i="5"/>
  <c r="AM240" i="5"/>
  <c r="Y75" i="5" a="1"/>
  <c r="Y75" i="5" s="1"/>
  <c r="W75" i="5" a="1"/>
  <c r="W75" i="5" s="1"/>
  <c r="AM75" i="5" s="1"/>
  <c r="AK230" i="5"/>
  <c r="AK235" i="5"/>
  <c r="AK138" i="5"/>
  <c r="H8" i="15"/>
  <c r="N3" i="7" s="1"/>
  <c r="N55" i="7" s="1"/>
  <c r="B7" i="12"/>
  <c r="H13" i="15"/>
  <c r="T3" i="7" s="1"/>
  <c r="T27" i="7" s="1"/>
  <c r="B8" i="12"/>
  <c r="E6" i="7"/>
  <c r="E7" i="7" s="1"/>
  <c r="I5" i="13"/>
  <c r="A5" i="10"/>
  <c r="A3" i="20" s="1"/>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L120" i="5"/>
  <c r="AL230" i="5"/>
  <c r="AM140" i="5"/>
  <c r="AL91" i="5"/>
  <c r="AL255" i="5"/>
  <c r="AL220" i="5"/>
  <c r="AL112" i="5"/>
  <c r="AL168" i="5"/>
  <c r="AL128" i="5"/>
  <c r="AL199" i="5"/>
  <c r="AL77" i="5"/>
  <c r="AL244" i="5"/>
  <c r="AL155" i="5"/>
  <c r="AL177" i="5"/>
  <c r="AL127" i="5"/>
  <c r="AL146" i="5"/>
  <c r="AL185" i="5"/>
  <c r="AL152" i="5"/>
  <c r="AL208" i="5"/>
  <c r="AL126" i="5"/>
  <c r="AL254" i="5"/>
  <c r="AL100" i="5"/>
  <c r="AL83" i="5"/>
  <c r="AL104" i="5"/>
  <c r="AM113" i="5"/>
  <c r="AM93" i="5"/>
  <c r="AM27" i="5"/>
  <c r="AM107" i="5"/>
  <c r="AM114" i="5"/>
  <c r="AM128" i="5"/>
  <c r="AM126" i="5"/>
  <c r="AM144" i="5"/>
  <c r="AM60" i="5"/>
  <c r="AL181" i="5"/>
  <c r="AL262" i="5"/>
  <c r="AL24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K75" i="5"/>
  <c r="AL75" i="5" s="1"/>
  <c r="AL186" i="5"/>
  <c r="AM79" i="5"/>
  <c r="AL80" i="5"/>
  <c r="AL87" i="5"/>
  <c r="AM260" i="5"/>
  <c r="AL184" i="5"/>
  <c r="AM103" i="5"/>
  <c r="AL94" i="5"/>
  <c r="AL140" i="5"/>
  <c r="AL170" i="5"/>
  <c r="AL234" i="5"/>
  <c r="AL105" i="5"/>
  <c r="AL86" i="5"/>
  <c r="AL173" i="5"/>
  <c r="AL93" i="5"/>
  <c r="AL192" i="5"/>
  <c r="AL196" i="5"/>
  <c r="AL232" i="5"/>
  <c r="AL251" i="5"/>
  <c r="AL144" i="5"/>
  <c r="AM9" i="5"/>
  <c r="AM99" i="5"/>
  <c r="AM175" i="5"/>
  <c r="AM130" i="5"/>
  <c r="AM71" i="5"/>
  <c r="AM147" i="5"/>
  <c r="AM133" i="5"/>
  <c r="AM187" i="5"/>
  <c r="AM136" i="5"/>
  <c r="AM196" i="5"/>
  <c r="AM226" i="5"/>
  <c r="AM6" i="5"/>
  <c r="AM111" i="5"/>
  <c r="AM132" i="5"/>
  <c r="AM255" i="5"/>
  <c r="AM192" i="5"/>
  <c r="AM76" i="5"/>
  <c r="AM189" i="5"/>
  <c r="AL252" i="5"/>
  <c r="AL248" i="5"/>
  <c r="AM228" i="5"/>
  <c r="AL180" i="5"/>
  <c r="AM142" i="5"/>
  <c r="AL189" i="5"/>
  <c r="AL223" i="5"/>
  <c r="AL182" i="5"/>
  <c r="AL261" i="5"/>
  <c r="AL245" i="5"/>
  <c r="AL249" i="5"/>
  <c r="AL206" i="5"/>
  <c r="AL188" i="5"/>
  <c r="AL103" i="5"/>
  <c r="AL217" i="5"/>
  <c r="AM88" i="5"/>
  <c r="AM221" i="5"/>
  <c r="AM174" i="5"/>
  <c r="AL131" i="5"/>
  <c r="AL141" i="5"/>
  <c r="AL211" i="5"/>
  <c r="AL129" i="5"/>
  <c r="AL219" i="5"/>
  <c r="AL172" i="5"/>
  <c r="AL149" i="5"/>
  <c r="AL125" i="5"/>
  <c r="AL139" i="5"/>
  <c r="AM163" i="5"/>
  <c r="AM262" i="5"/>
  <c r="AN262" i="5" s="1"/>
  <c r="AL216" i="5"/>
  <c r="AL209" i="5"/>
  <c r="AL257" i="5"/>
  <c r="AL115" i="5"/>
  <c r="AL218" i="5"/>
  <c r="AM115" i="5"/>
  <c r="AL20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171" i="5"/>
  <c r="AL143" i="5"/>
  <c r="AL92" i="5"/>
  <c r="AL110" i="5"/>
  <c r="AL76" i="5"/>
  <c r="AL78" i="5"/>
  <c r="AM168" i="5"/>
  <c r="AL233" i="5"/>
  <c r="AL151" i="5"/>
  <c r="AL201" i="5"/>
  <c r="AL221" i="5"/>
  <c r="AM134" i="5"/>
  <c r="AL123" i="5"/>
  <c r="AL187" i="5"/>
  <c r="AL88" i="5"/>
  <c r="AL176" i="5"/>
  <c r="AL194" i="5"/>
  <c r="AL147" i="5"/>
  <c r="AL148" i="5"/>
  <c r="AM141" i="5"/>
  <c r="AL79" i="5"/>
  <c r="AM235" i="5"/>
  <c r="AM251" i="5"/>
  <c r="AM242" i="5"/>
  <c r="AM176" i="5"/>
  <c r="AL122" i="5"/>
  <c r="AL174" i="5"/>
  <c r="AL193" i="5"/>
  <c r="AM155" i="5"/>
  <c r="AL111" i="5"/>
  <c r="AL85" i="5"/>
  <c r="AL89" i="5"/>
  <c r="AL246" i="5"/>
  <c r="AM121" i="5"/>
  <c r="AM137" i="5"/>
  <c r="AM47" i="5"/>
  <c r="AM116" i="5"/>
  <c r="AM241" i="5"/>
  <c r="AM84" i="5"/>
  <c r="AM215" i="5"/>
  <c r="AM69" i="5"/>
  <c r="AM39" i="5"/>
  <c r="AM194" i="5"/>
  <c r="AM49" i="5"/>
  <c r="AM54" i="5"/>
  <c r="AM44" i="5"/>
  <c r="AM87" i="5"/>
  <c r="AM171" i="5"/>
  <c r="AM19" i="5"/>
  <c r="AM230" i="5"/>
  <c r="AM78" i="5"/>
  <c r="AM157" i="5"/>
  <c r="AM160" i="5"/>
  <c r="AM256" i="5"/>
  <c r="AM172" i="5"/>
  <c r="AL145" i="5"/>
  <c r="AL212" i="5"/>
  <c r="AL247" i="5"/>
  <c r="AL178" i="5"/>
  <c r="AL195" i="5"/>
  <c r="AL190" i="5"/>
  <c r="AM205" i="5"/>
  <c r="AL203" i="5"/>
  <c r="AM149" i="5"/>
  <c r="AL243" i="5"/>
  <c r="AL250" i="5"/>
  <c r="AL241" i="5"/>
  <c r="AL175" i="5"/>
  <c r="AM123" i="5"/>
  <c r="AL179" i="5"/>
  <c r="AL107" i="5"/>
  <c r="AL202" i="5"/>
  <c r="AM112" i="5"/>
  <c r="AL90" i="5"/>
  <c r="AM90" i="5"/>
  <c r="AM164" i="5"/>
  <c r="AL207" i="5"/>
  <c r="AL81" i="5"/>
  <c r="AL183" i="5"/>
  <c r="AL198" i="5"/>
  <c r="AL231" i="5"/>
  <c r="AL82" i="5"/>
  <c r="AL84" i="5"/>
  <c r="AL124" i="5"/>
  <c r="AL200" i="5"/>
  <c r="AL150" i="5"/>
  <c r="AL191" i="5"/>
  <c r="AL121" i="5"/>
  <c r="AM186" i="5"/>
  <c r="AL109"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L204" i="5"/>
  <c r="AM185" i="5"/>
  <c r="AL102" i="5"/>
  <c r="AL101" i="5"/>
  <c r="AL142" i="5"/>
  <c r="AM257" i="5"/>
  <c r="AL237" i="5"/>
  <c r="AL108" i="5"/>
  <c r="AM159" i="5"/>
  <c r="AL238" i="5"/>
  <c r="AM108" i="5"/>
  <c r="AL253" i="5"/>
  <c r="AL106" i="5"/>
  <c r="AM219" i="5"/>
  <c r="AL167" i="5" l="1"/>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C5" i="10"/>
  <c r="N28" i="7"/>
  <c r="P28" i="7" s="1"/>
  <c r="N47" i="7"/>
  <c r="P47" i="7" s="1"/>
  <c r="N29" i="7"/>
  <c r="P29" i="7" s="1"/>
  <c r="T23" i="7"/>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A4" i="20" s="1"/>
  <c r="E8" i="7"/>
  <c r="A7" i="10"/>
  <c r="A5"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4" i="5"/>
  <c r="AL72" i="5"/>
  <c r="AL69" i="5"/>
  <c r="AL73" i="5"/>
  <c r="AL71"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52" i="13" l="1"/>
  <c r="AL56" i="13"/>
  <c r="AL53" i="13"/>
  <c r="J35" i="11" a="1"/>
  <c r="J35" i="11" s="1"/>
  <c r="BF6" i="10" s="1"/>
  <c r="K35" i="11" a="1"/>
  <c r="K35" i="11" s="1"/>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6" i="20"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7" i="10" l="1"/>
  <c r="B6" i="10"/>
  <c r="L35" i="11" a="1"/>
  <c r="L35" i="11" s="1"/>
  <c r="BC8" i="10" s="1"/>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A7" i="20" s="1"/>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B8" i="10" l="1"/>
  <c r="M35" i="11" a="1"/>
  <c r="M35" i="11" s="1"/>
  <c r="BJ9" i="10"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A8" i="20" s="1"/>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A9" i="20" s="1"/>
  <c r="I11" i="13"/>
  <c r="E12" i="7"/>
  <c r="K59" i="7"/>
  <c r="G63" i="7" s="1" a="1"/>
  <c r="G63" i="7" s="1"/>
  <c r="B32" i="8" l="1"/>
  <c r="O35" i="1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0" i="20" s="1"/>
  <c r="A142" i="10"/>
  <c r="E13" i="7"/>
  <c r="I12" i="13"/>
  <c r="P35" i="11" l="1" a="1"/>
  <c r="P35" i="11" s="1"/>
  <c r="K12" i="10" s="1"/>
  <c r="O138" i="11" a="1"/>
  <c r="O138" i="11" s="1"/>
  <c r="E257" i="10"/>
  <c r="F221" i="10"/>
  <c r="F246" i="10"/>
  <c r="F257" i="10" s="1"/>
  <c r="F109" i="10"/>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1" i="20" s="1"/>
  <c r="A143" i="10"/>
  <c r="B12" i="10" l="1"/>
  <c r="Q35" i="11" a="1"/>
  <c r="Q35" i="11" s="1"/>
  <c r="K13" i="10"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R35" i="11" l="1" a="1"/>
  <c r="R35" i="11"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A14" i="20" s="1"/>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A15" i="20" s="1"/>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6" i="20" s="1"/>
  <c r="A148" i="10"/>
  <c r="E19" i="7"/>
  <c r="I18" i="13"/>
  <c r="V35" i="11" l="1" a="1"/>
  <c r="V35" i="11" s="1"/>
  <c r="AM18" i="10"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A17" i="20" s="1"/>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A19" i="20" s="1"/>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P112" i="10"/>
  <c r="Q247" i="10" l="1"/>
  <c r="Z35" i="1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21" i="20" s="1"/>
  <c r="A153" i="10"/>
  <c r="E24" i="7"/>
  <c r="Q91" i="10"/>
  <c r="BJ22" i="10" l="1"/>
  <c r="AA35" i="11" a="1"/>
  <c r="AA35" i="11" s="1"/>
  <c r="BC23" i="10" s="1"/>
  <c r="B23" i="10"/>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22" i="20" s="1"/>
  <c r="A154" i="10"/>
  <c r="I24" i="13"/>
  <c r="AB35" i="11" l="1" a="1"/>
  <c r="AB35" i="11" s="1"/>
  <c r="K24" i="10"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AC35" i="11" l="1" a="1"/>
  <c r="AC35" i="11" s="1"/>
  <c r="W25" i="10" s="1"/>
  <c r="B25" i="10"/>
  <c r="AB138" i="11" a="1"/>
  <c r="AB138" i="11" s="1"/>
  <c r="S109" i="10"/>
  <c r="C24" i="10"/>
  <c r="T96" i="10"/>
  <c r="T114" i="10" s="1"/>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91" i="10"/>
  <c r="V241" i="10" a="1"/>
  <c r="V241" i="10" s="1"/>
  <c r="V205" i="10" a="1"/>
  <c r="V205" i="10" s="1"/>
  <c r="V223" i="10" a="1"/>
  <c r="V223" i="10" s="1"/>
  <c r="V111" i="10" a="1"/>
  <c r="V111" i="10" s="1"/>
  <c r="V93" i="10" a="1"/>
  <c r="V93" i="10" s="1"/>
  <c r="V75" i="10" a="1"/>
  <c r="V75" i="10" s="1"/>
  <c r="I26" i="13"/>
  <c r="A26" i="10"/>
  <c r="A24" i="20" s="1"/>
  <c r="E27" i="7"/>
  <c r="A156" i="10"/>
  <c r="AD35" i="11" l="1" a="1"/>
  <c r="AD35" i="11" s="1"/>
  <c r="K26" i="10" s="1"/>
  <c r="B26" i="10"/>
  <c r="AC138" i="11" a="1"/>
  <c r="AC138" i="11" s="1"/>
  <c r="U95" i="10"/>
  <c r="U113" i="10" s="1"/>
  <c r="C25" i="10"/>
  <c r="T109" i="10"/>
  <c r="T113" i="10"/>
  <c r="T127" i="10" s="1"/>
  <c r="U94" i="10"/>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25" i="20" s="1"/>
  <c r="A157" i="10"/>
  <c r="E28" i="7"/>
  <c r="U109" i="10" l="1"/>
  <c r="AE35" i="11" a="1"/>
  <c r="AE35" i="11" s="1"/>
  <c r="BF27" i="10" s="1"/>
  <c r="B27" i="10"/>
  <c r="AD138" i="11" a="1"/>
  <c r="AD138" i="11" s="1"/>
  <c r="C26" i="10"/>
  <c r="W95" i="10" s="1"/>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AF35" i="11" l="1" a="1"/>
  <c r="AF35" i="11" s="1"/>
  <c r="AM28" i="10"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27" i="20" s="1"/>
  <c r="A159" i="10"/>
  <c r="E30" i="7"/>
  <c r="AG35" i="11" l="1" a="1"/>
  <c r="AG35" i="11" s="1"/>
  <c r="AM29" i="10"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28" i="20" s="1"/>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A29" i="20" s="1"/>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30" i="20" s="1"/>
  <c r="A162" i="10"/>
  <c r="AJ35" i="11" l="1" a="1"/>
  <c r="AJ35" i="11" s="1"/>
  <c r="B32" i="10"/>
  <c r="AI138" i="11" a="1"/>
  <c r="AI138" i="11" s="1"/>
  <c r="C31" i="10"/>
  <c r="AB95" i="10" s="1"/>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94" i="10"/>
  <c r="AB98" i="10"/>
  <c r="AB97" i="10"/>
  <c r="AB101" i="10"/>
  <c r="AB105" i="10"/>
  <c r="AB100" i="10"/>
  <c r="AB104" i="10"/>
  <c r="AB103" i="10"/>
  <c r="AB102" i="10"/>
  <c r="AB108" i="10"/>
  <c r="AB106" i="10"/>
  <c r="AB107" i="10"/>
  <c r="AA115"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K35" i="11" l="1" a="1"/>
  <c r="AK35" i="11" s="1"/>
  <c r="B33" i="10"/>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32" i="20" s="1"/>
  <c r="A164" i="10"/>
  <c r="AB91" i="10"/>
  <c r="AB112" i="10"/>
  <c r="AL35" i="11" l="1" a="1"/>
  <c r="AL35" i="11" s="1"/>
  <c r="AX34" i="10" s="1"/>
  <c r="B34" i="10"/>
  <c r="AK138" i="11" a="1"/>
  <c r="AK138" i="11" s="1"/>
  <c r="C33" i="10"/>
  <c r="AC96" i="10"/>
  <c r="AC114" i="10" s="1"/>
  <c r="AC95" i="10"/>
  <c r="AC94" i="10"/>
  <c r="AC112" i="10" s="1"/>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165" i="10"/>
  <c r="E36" i="7"/>
  <c r="I35" i="13"/>
  <c r="A35" i="10"/>
  <c r="A33" i="20" s="1"/>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A34" i="20" s="1"/>
  <c r="I36" i="13"/>
  <c r="A166" i="10"/>
  <c r="E37" i="7"/>
  <c r="AN35" i="11" l="1" a="1"/>
  <c r="AN35" i="11" s="1"/>
  <c r="B36" i="10"/>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P35" i="11" l="1" a="1"/>
  <c r="AP35" i="11" s="1"/>
  <c r="W38" i="10" s="1"/>
  <c r="B38" i="10"/>
  <c r="AF112" i="10"/>
  <c r="AF127" i="10" s="1"/>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Q35" i="11" l="1" a="1"/>
  <c r="AQ35" i="11" s="1"/>
  <c r="AM39" i="10"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R35" i="11" l="1" a="1"/>
  <c r="AR35" i="11" s="1"/>
  <c r="BJ40" i="10"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S35" i="11" l="1" a="1"/>
  <c r="AS35" i="11" s="1"/>
  <c r="B41" i="10"/>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T35" i="11" l="1" a="1"/>
  <c r="AT35" i="11" s="1"/>
  <c r="B42" i="10" s="1"/>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M42" i="10" l="1"/>
  <c r="AU35" i="11" a="1"/>
  <c r="AU35" i="11" s="1"/>
  <c r="CD43" i="10"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V35" i="11" l="1" a="1"/>
  <c r="AV35" i="11" s="1"/>
  <c r="BF44" i="10"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43" i="20" s="1"/>
  <c r="A175" i="10"/>
  <c r="AM112" i="10"/>
  <c r="AM91" i="10"/>
  <c r="AO93" i="10" a="1"/>
  <c r="AO93" i="10" s="1"/>
  <c r="AO111" i="10" a="1"/>
  <c r="AO111" i="10" s="1"/>
  <c r="AO205" i="10" a="1"/>
  <c r="AO205" i="10" s="1"/>
  <c r="AO223" i="10" a="1"/>
  <c r="AO223" i="10" s="1"/>
  <c r="AO241" i="10" a="1"/>
  <c r="AO241" i="10" s="1"/>
  <c r="AO75" i="10" a="1"/>
  <c r="AO75" i="10" s="1"/>
  <c r="AW35" i="11" l="1" a="1"/>
  <c r="AW35" i="11" s="1"/>
  <c r="K45" i="10"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44" i="20" s="1"/>
  <c r="AX35" i="11" l="1" a="1"/>
  <c r="AX35" i="11" s="1"/>
  <c r="BJ46" i="10" s="1"/>
  <c r="B46" i="10"/>
  <c r="AW138" i="11" a="1"/>
  <c r="AW138" i="11" s="1"/>
  <c r="C45" i="10"/>
  <c r="AO96" i="10"/>
  <c r="AO114" i="10" s="1"/>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Y35" i="11" l="1" a="1"/>
  <c r="AY35" i="11" s="1"/>
  <c r="CD47" i="10" s="1"/>
  <c r="B47" i="10"/>
  <c r="AX138" i="11" a="1"/>
  <c r="AX138" i="11" s="1"/>
  <c r="C46" i="10"/>
  <c r="AQ95" i="10" s="1"/>
  <c r="AO109" i="10"/>
  <c r="AO112" i="10"/>
  <c r="AO127" i="10" s="1"/>
  <c r="AP95" i="10"/>
  <c r="AP113" i="10" s="1"/>
  <c r="CA46" i="10"/>
  <c r="AC46" i="10"/>
  <c r="BP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46" i="20" s="1"/>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W48" i="10" l="1"/>
  <c r="BA35" i="11" a="1"/>
  <c r="BA35" i="11" s="1"/>
  <c r="BC49" i="10"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AS113" i="10" s="1"/>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BC35" i="11" l="1" a="1"/>
  <c r="BC35" i="11" s="1"/>
  <c r="W51" i="10"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A50" i="20" s="1"/>
  <c r="I52" i="13"/>
  <c r="AT112" i="10"/>
  <c r="AT91" i="10"/>
  <c r="AV223" i="10" a="1"/>
  <c r="AV223" i="10" s="1"/>
  <c r="AV75" i="10" a="1"/>
  <c r="AV75" i="10" s="1"/>
  <c r="AV241" i="10" a="1"/>
  <c r="AV241" i="10" s="1"/>
  <c r="AV93" i="10" a="1"/>
  <c r="AV93" i="10" s="1"/>
  <c r="AV111" i="10" a="1"/>
  <c r="AV111" i="10" s="1"/>
  <c r="AV205" i="10" a="1"/>
  <c r="AV205" i="10" s="1"/>
  <c r="BD35" i="11" l="1" a="1"/>
  <c r="BD35" i="11" s="1"/>
  <c r="BF52" i="10" s="1"/>
  <c r="B52" i="10"/>
  <c r="BC138" i="11" a="1"/>
  <c r="BC138" i="11" s="1"/>
  <c r="AT109" i="10"/>
  <c r="C51" i="10"/>
  <c r="AU115" i="10"/>
  <c r="AU96" i="10"/>
  <c r="AU114" i="10" s="1"/>
  <c r="AU95" i="10"/>
  <c r="AU113" i="10" s="1"/>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A51" i="20" s="1"/>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53" i="20" s="1"/>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X112" i="10" s="1"/>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G39" i="11" s="1"/>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4" i="13" l="1"/>
  <c r="F93" i="13"/>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E2" i="20" s="1"/>
  <c r="I276" i="10"/>
  <c r="C82" i="13"/>
  <c r="B3" i="20" l="1"/>
  <c r="F2" i="20"/>
  <c r="J276" i="10"/>
  <c r="C63" i="12"/>
  <c r="E82" i="13"/>
  <c r="F82" i="13" s="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<sst xmlns="http://schemas.openxmlformats.org/spreadsheetml/2006/main" count="907" uniqueCount="270">
  <si>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</si>
  <si>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</si>
  <si>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</si>
  <si>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</si>
  <si>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</si>
  <si>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</si>
  <si>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</si>
  <si>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</si>
  <si>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</si>
  <si>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</si>
  <si>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</si>
  <si>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</si>
  <si>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</si>
  <si>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</si>
  <si>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</si>
  <si>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</si>
  <si>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</si>
  <si>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</si>
  <si>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</si>
  <si>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</si>
  <si>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</si>
  <si>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</si>
  <si>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</si>
  <si>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</si>
  <si>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</si>
  <si>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</si>
  <si>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</si>
  <si>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</si>
  <si>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</si>
  <si>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</si>
  <si>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</si>
  <si>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</si>
  <si>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</si>
  <si>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</si>
  <si>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</si>
  <si>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</si>
  <si>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</si>
  <si>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</si>
  <si>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</si>
  <si>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</si>
  <si>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</si>
  <si>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</si>
  <si>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</si>
  <si>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</si>
  <si>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</si>
  <si>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</si>
  <si>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</si>
  <si>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</si>
  <si>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</si>
  <si>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</si>
  <si>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</si>
  <si>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</si>
  <si>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</si>
  <si>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</si>
  <si>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</si>
  <si>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</si>
  <si>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</si>
  <si>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</si>
  <si>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</si>
  <si>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</si>
  <si>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</si>
  <si>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</si>
  <si>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</si>
  <si>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</si>
  <si>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</si>
  <si>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</si>
  <si>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</si>
  <si>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</si>
  <si>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</si>
  <si>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</si>
  <si>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</si>
  <si>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</si>
  <si>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</si>
  <si>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</si>
  <si>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</si>
  <si>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</si>
  <si>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</si>
  <si>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</si>
  <si>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</si>
  <si>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</si>
  <si>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</si>
  <si>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</si>
  <si>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</si>
  <si>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</si>
  <si>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</si>
  <si>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</si>
  <si>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</si>
  <si>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</si>
  <si>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</si>
  <si>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</si>
  <si>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</si>
  <si>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</si>
  <si>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</si>
  <si>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</si>
  <si>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</si>
  <si>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</si>
  <si>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</si>
  <si>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</si>
  <si>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</si>
  <si>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</si>
  <si>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</si>
  <si>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</si>
  <si>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</si>
  <si>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</si>
  <si>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</si>
  <si>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</si>
  <si>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</si>
  <si>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</si>
  <si>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</si>
  <si>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</si>
  <si>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</si>
  <si>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</si>
  <si>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</si>
  <si>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</si>
  <si>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</si>
  <si>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</si>
  <si>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</si>
  <si>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</si>
  <si>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</si>
  <si>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</si>
  <si>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</si>
  <si>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</si>
  <si>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</si>
  <si>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</si>
  <si>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</si>
  <si>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</si>
  <si>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</si>
  <si>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</si>
  <si>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</si>
  <si>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</si>
  <si>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</si>
  <si>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</si>
  <si>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</si>
  <si>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</si>
  <si>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</si>
  <si>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</si>
  <si>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</si>
  <si>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</si>
  <si>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</si>
  <si>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</si>
  <si>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</si>
  <si>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</si>
  <si>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</si>
  <si>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</si>
  <si>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</si>
  <si>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</si>
  <si>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</si>
  <si>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</si>
  <si>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</si>
  <si>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</si>
  <si>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</si>
  <si>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</si>
  <si>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</si>
  <si>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</si>
  <si>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</si>
  <si>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</si>
  <si>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</si>
  <si>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</si>
  <si>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</si>
  <si>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</si>
  <si>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</si>
  <si>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</si>
  <si>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</si>
  <si>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</si>
  <si>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</si>
  <si>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</si>
  <si>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</si>
  <si>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</si>
  <si>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</si>
  <si>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</si>
  <si>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</si>
  <si>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</si>
  <si>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</si>
  <si>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</si>
  <si>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</si>
  <si>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</si>
  <si>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</si>
  <si>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</si>
  <si>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</si>
  <si>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</si>
  <si>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</si>
  <si>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</si>
  <si>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</si>
  <si>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</si>
  <si>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</si>
  <si>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</si>
  <si>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</si>
  <si>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</si>
  <si>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</si>
  <si>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</si>
  <si>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</si>
  <si>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</si>
  <si>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</si>
  <si>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</si>
  <si>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</si>
  <si>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</si>
  <si>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</si>
  <si>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</si>
  <si>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</si>
  <si>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</si>
  <si>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</si>
  <si>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</si>
  <si>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</si>
  <si>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</si>
  <si>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</si>
  <si>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</si>
  <si>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</si>
  <si>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</si>
  <si>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</si>
  <si>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</si>
  <si>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</si>
  <si>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</si>
  <si>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</si>
  <si>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</si>
  <si>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</si>
  <si>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</si>
  <si>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</si>
  <si>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</si>
  <si>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</si>
  <si>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</si>
  <si>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</si>
  <si>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</si>
  <si>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</si>
  <si>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</si>
  <si>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</si>
  <si>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</si>
  <si>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</si>
  <si>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</si>
  <si>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</si>
  <si>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</si>
  <si>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</si>
  <si>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</si>
  <si>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</si>
  <si>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</si>
  <si>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</si>
  <si>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</si>
  <si>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</si>
  <si>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</si>
  <si>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</si>
  <si>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</si>
  <si>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Test Organisation</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</si>
  <si>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</si>
  <si>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</si>
  <si>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</si>
  <si>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</si>
  <si>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</si>
  <si>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</si>
  <si>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</si>
  <si>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</si>
  <si>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</si>
  <si>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Overview</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</si>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</sst>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xf numFmtId="1" fontId="2" fillId="0" borderId="0" xfId="0" applyNumberFormat="1" applyFont="1"/>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136.10000000000002</c:v>
                </c:pt>
                <c:pt idx="1">
                  <c:v>136.10000000000002</c:v>
                </c:pt>
                <c:pt idx="2">
                  <c:v>136.10000000000002</c:v>
                </c:pt>
                <c:pt idx="3">
                  <c:v>136.10000000000002</c:v>
                </c:pt>
                <c:pt idx="4">
                  <c:v>136.10000000000002</c:v>
                </c:pt>
                <c:pt idx="5">
                  <c:v>136.10000000000002</c:v>
                </c:pt>
                <c:pt idx="6">
                  <c:v>136.10000000000002</c:v>
                </c:pt>
                <c:pt idx="7">
                  <c:v>136.10000000000002</c:v>
                </c:pt>
                <c:pt idx="8">
                  <c:v>136.10000000000002</c:v>
                </c:pt>
                <c:pt idx="9">
                  <c:v>136.10000000000002</c:v>
                </c:pt>
                <c:pt idx="10">
                  <c:v>136.10000000000002</c:v>
                </c:pt>
                <c:pt idx="11">
                  <c:v>136.10000000000002</c:v>
                </c:pt>
                <c:pt idx="12">
                  <c:v>136.10000000000002</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33.44999999999996</c:v>
                </c:pt>
                <c:pt idx="1">
                  <c:v>33.44999999999996</c:v>
                </c:pt>
                <c:pt idx="2">
                  <c:v>33.44999999999996</c:v>
                </c:pt>
                <c:pt idx="3">
                  <c:v>33.44999999999996</c:v>
                </c:pt>
                <c:pt idx="4">
                  <c:v>33.44999999999996</c:v>
                </c:pt>
                <c:pt idx="5">
                  <c:v>33.44999999999996</c:v>
                </c:pt>
                <c:pt idx="6">
                  <c:v>33.44999999999996</c:v>
                </c:pt>
                <c:pt idx="7">
                  <c:v>33.44999999999996</c:v>
                </c:pt>
                <c:pt idx="8">
                  <c:v>33.44999999999996</c:v>
                </c:pt>
                <c:pt idx="9">
                  <c:v>33.44999999999996</c:v>
                </c:pt>
                <c:pt idx="10">
                  <c:v>33.44999999999996</c:v>
                </c:pt>
                <c:pt idx="11">
                  <c:v>33.44999999999996</c:v>
                </c:pt>
                <c:pt idx="12">
                  <c:v>33.44999999999996</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137.58333333333334</c:v>
                </c:pt>
                <c:pt idx="1">
                  <c:v>137.58333333333334</c:v>
                </c:pt>
                <c:pt idx="2">
                  <c:v>137.58333333333334</c:v>
                </c:pt>
                <c:pt idx="3">
                  <c:v>137.58333333333334</c:v>
                </c:pt>
                <c:pt idx="4">
                  <c:v>137.58333333333334</c:v>
                </c:pt>
                <c:pt idx="5">
                  <c:v>137.58333333333334</c:v>
                </c:pt>
                <c:pt idx="6">
                  <c:v>137.58333333333334</c:v>
                </c:pt>
                <c:pt idx="7">
                  <c:v>137.58333333333334</c:v>
                </c:pt>
                <c:pt idx="8">
                  <c:v>137.58333333333334</c:v>
                </c:pt>
                <c:pt idx="9">
                  <c:v>137.58333333333334</c:v>
                </c:pt>
                <c:pt idx="10">
                  <c:v>137.58333333333334</c:v>
                </c:pt>
                <c:pt idx="11">
                  <c:v>137.58333333333334</c:v>
                </c:pt>
                <c:pt idx="12">
                  <c:v>137.58333333333334</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130</c:v>
                </c:pt>
                <c:pt idx="1">
                  <c:v>109</c:v>
                </c:pt>
                <c:pt idx="2">
                  <c:v>117</c:v>
                </c:pt>
                <c:pt idx="3">
                  <c:v>123</c:v>
                </c:pt>
                <c:pt idx="4">
                  <c:v>129</c:v>
                </c:pt>
                <c:pt idx="5">
                  <c:v>131</c:v>
                </c:pt>
                <c:pt idx="6">
                  <c:v>126</c:v>
                </c:pt>
                <c:pt idx="7">
                  <c:v>121</c:v>
                </c:pt>
                <c:pt idx="8">
                  <c:v>165</c:v>
                </c:pt>
                <c:pt idx="9">
                  <c:v>165</c:v>
                </c:pt>
                <c:pt idx="10">
                  <c:v>178</c:v>
                </c:pt>
                <c:pt idx="11">
                  <c:v>192</c:v>
                </c:pt>
                <c:pt idx="12">
                  <c:v>95</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186.56382978723406</c:v>
                </c:pt>
                <c:pt idx="1">
                  <c:v>186.56382978723406</c:v>
                </c:pt>
                <c:pt idx="2">
                  <c:v>186.56382978723406</c:v>
                </c:pt>
                <c:pt idx="3">
                  <c:v>186.56382978723406</c:v>
                </c:pt>
                <c:pt idx="4">
                  <c:v>186.56382978723406</c:v>
                </c:pt>
                <c:pt idx="5">
                  <c:v>186.56382978723406</c:v>
                </c:pt>
                <c:pt idx="6">
                  <c:v>186.56382978723406</c:v>
                </c:pt>
                <c:pt idx="7">
                  <c:v>186.56382978723406</c:v>
                </c:pt>
                <c:pt idx="8">
                  <c:v>186.56382978723406</c:v>
                </c:pt>
                <c:pt idx="9">
                  <c:v>186.56382978723406</c:v>
                </c:pt>
                <c:pt idx="10">
                  <c:v>186.56382978723406</c:v>
                </c:pt>
                <c:pt idx="11">
                  <c:v>186.56382978723406</c:v>
                </c:pt>
                <c:pt idx="12">
                  <c:v>186.56382978723406</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88.60283687943263</c:v>
                </c:pt>
                <c:pt idx="1">
                  <c:v>88.60283687943263</c:v>
                </c:pt>
                <c:pt idx="2">
                  <c:v>88.60283687943263</c:v>
                </c:pt>
                <c:pt idx="3">
                  <c:v>88.60283687943263</c:v>
                </c:pt>
                <c:pt idx="4">
                  <c:v>88.60283687943263</c:v>
                </c:pt>
                <c:pt idx="5">
                  <c:v>88.60283687943263</c:v>
                </c:pt>
                <c:pt idx="6">
                  <c:v>88.60283687943263</c:v>
                </c:pt>
                <c:pt idx="7">
                  <c:v>88.60283687943263</c:v>
                </c:pt>
                <c:pt idx="8">
                  <c:v>88.60283687943263</c:v>
                </c:pt>
                <c:pt idx="9">
                  <c:v>88.60283687943263</c:v>
                </c:pt>
                <c:pt idx="10">
                  <c:v>88.60283687943263</c:v>
                </c:pt>
                <c:pt idx="11">
                  <c:v>88.60283687943263</c:v>
                </c:pt>
                <c:pt idx="12">
                  <c:v>88.60283687943263</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192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#N/A</c:v>
                </c:pt>
                <c:pt idx="1">
                  <c:v>#N/A</c:v>
                </c:pt>
                <c:pt idx="2">
                  <c:v>#N/A</c:v>
                </c:pt>
                <c:pt idx="3">
                  <c:v>#N/A</c:v>
                </c:pt>
                <c:pt idx="4">
                  <c:v>#N/A</c:v>
                </c:pt>
                <c:pt idx="5">
                  <c:v>#N/A</c:v>
                </c:pt>
                <c:pt idx="6">
                  <c:v>#N/A</c:v>
                </c:pt>
                <c:pt idx="7">
                  <c:v>#N/A</c:v>
                </c:pt>
                <c:pt idx="8">
                  <c:v>#N/A</c:v>
                </c:pt>
                <c:pt idx="9">
                  <c:v>165</c:v>
                </c:pt>
                <c:pt idx="10">
                  <c:v>#N/A</c:v>
                </c:pt>
                <c:pt idx="11">
                  <c:v>#N/A</c:v>
                </c:pt>
                <c:pt idx="12">
                  <c:v>95</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95</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104.92966903073287</c:v>
                </c:pt>
                <c:pt idx="1">
                  <c:v>104.92966903073287</c:v>
                </c:pt>
                <c:pt idx="2">
                  <c:v>104.92966903073287</c:v>
                </c:pt>
                <c:pt idx="3">
                  <c:v>104.92966903073287</c:v>
                </c:pt>
                <c:pt idx="4">
                  <c:v>104.92966903073287</c:v>
                </c:pt>
                <c:pt idx="5">
                  <c:v>104.92966903073287</c:v>
                </c:pt>
                <c:pt idx="6">
                  <c:v>104.92966903073287</c:v>
                </c:pt>
                <c:pt idx="7">
                  <c:v>104.92966903073287</c:v>
                </c:pt>
                <c:pt idx="8">
                  <c:v>104.92966903073287</c:v>
                </c:pt>
                <c:pt idx="9">
                  <c:v>104.92966903073287</c:v>
                </c:pt>
                <c:pt idx="10">
                  <c:v>104.92966903073287</c:v>
                </c:pt>
                <c:pt idx="11">
                  <c:v>104.92966903073287</c:v>
                </c:pt>
                <c:pt idx="12">
                  <c:v>104.92966903073287</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121.25650118203311</c:v>
                </c:pt>
                <c:pt idx="1">
                  <c:v>121.25650118203311</c:v>
                </c:pt>
                <c:pt idx="2">
                  <c:v>121.25650118203311</c:v>
                </c:pt>
                <c:pt idx="3">
                  <c:v>121.25650118203311</c:v>
                </c:pt>
                <c:pt idx="4">
                  <c:v>121.25650118203311</c:v>
                </c:pt>
                <c:pt idx="5">
                  <c:v>121.25650118203311</c:v>
                </c:pt>
                <c:pt idx="6">
                  <c:v>121.25650118203311</c:v>
                </c:pt>
                <c:pt idx="7">
                  <c:v>121.25650118203311</c:v>
                </c:pt>
                <c:pt idx="8">
                  <c:v>121.25650118203311</c:v>
                </c:pt>
                <c:pt idx="9">
                  <c:v>121.25650118203311</c:v>
                </c:pt>
                <c:pt idx="10">
                  <c:v>121.25650118203311</c:v>
                </c:pt>
                <c:pt idx="11">
                  <c:v>121.25650118203311</c:v>
                </c:pt>
                <c:pt idx="12">
                  <c:v>121.25650118203311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153.91016548463358</c:v>
                </c:pt>
                <c:pt idx="1">
                  <c:v>153.91016548463358</c:v>
                </c:pt>
                <c:pt idx="2">
                  <c:v>153.91016548463358</c:v>
                </c:pt>
                <c:pt idx="3">
                  <c:v>153.91016548463358</c:v>
                </c:pt>
                <c:pt idx="4">
                  <c:v>153.91016548463358</c:v>
                </c:pt>
                <c:pt idx="5">
                  <c:v>153.91016548463358</c:v>
                </c:pt>
                <c:pt idx="6">
                  <c:v>153.91016548463358</c:v>
                </c:pt>
                <c:pt idx="7">
                  <c:v>153.91016548463358</c:v>
                </c:pt>
                <c:pt idx="8">
                  <c:v>153.91016548463358</c:v>
                </c:pt>
                <c:pt idx="9">
                  <c:v>153.91016548463358</c:v>
                </c:pt>
                <c:pt idx="10">
                  <c:v>153.91016548463358</c:v>
                </c:pt>
                <c:pt idx="11">
                  <c:v>153.91016548463358</c:v>
                </c:pt>
                <c:pt idx="12">
                  <c:v>153.91016548463358</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170.23699763593382</c:v>
                </c:pt>
                <c:pt idx="1">
                  <c:v>170.23699763593382</c:v>
                </c:pt>
                <c:pt idx="2">
                  <c:v>170.23699763593382</c:v>
                </c:pt>
                <c:pt idx="3">
                  <c:v>170.23699763593382</c:v>
                </c:pt>
                <c:pt idx="4">
                  <c:v>170.23699763593382</c:v>
                </c:pt>
                <c:pt idx="5">
                  <c:v>170.23699763593382</c:v>
                </c:pt>
                <c:pt idx="6">
                  <c:v>170.23699763593382</c:v>
                </c:pt>
                <c:pt idx="7">
                  <c:v>170.23699763593382</c:v>
                </c:pt>
                <c:pt idx="8">
                  <c:v>170.23699763593382</c:v>
                </c:pt>
                <c:pt idx="9">
                  <c:v>170.23699763593382</c:v>
                </c:pt>
                <c:pt idx="10">
                  <c:v>170.23699763593382</c:v>
                </c:pt>
                <c:pt idx="11">
                  <c:v>170.23699763593382</c:v>
                </c:pt>
                <c:pt idx="12">
                  <c:v>170.23699763593382</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40 Group Session,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157.54000000000002</c:v>
                </c:pt>
                <c:pt idx="1">
                  <c:v>157.54000000000002</c:v>
                </c:pt>
                <c:pt idx="2">
                  <c:v>157.54000000000002</c:v>
                </c:pt>
                <c:pt idx="3">
                  <c:v>157.54000000000002</c:v>
                </c:pt>
                <c:pt idx="4">
                  <c:v>157.54000000000002</c:v>
                </c:pt>
                <c:pt idx="5">
                  <c:v>157.54000000000002</c:v>
                </c:pt>
                <c:pt idx="6">
                  <c:v>157.54000000000002</c:v>
                </c:pt>
                <c:pt idx="7">
                  <c:v>157.54000000000002</c:v>
                </c:pt>
                <c:pt idx="8">
                  <c:v>157.54000000000002</c:v>
                </c:pt>
                <c:pt idx="9">
                  <c:v>157.54000000000002</c:v>
                </c:pt>
                <c:pt idx="10">
                  <c:v>157.54000000000002</c:v>
                </c:pt>
                <c:pt idx="11">
                  <c:v>157.54000000000002</c:v>
                </c:pt>
                <c:pt idx="12">
                  <c:v>157.54000000000002</c:v>
                </c:pt>
                <c:pt idx="13">
                  <c:v>157.54000000000002</c:v>
                </c:pt>
                <c:pt idx="14">
                  <c:v>157.54000000000002</c:v>
                </c:pt>
                <c:pt idx="15">
                  <c:v>157.54000000000002</c:v>
                </c:pt>
                <c:pt idx="16">
                  <c:v>157.54000000000002</c:v>
                </c:pt>
                <c:pt idx="17">
                  <c:v>157.54000000000002</c:v>
                </c:pt>
                <c:pt idx="18">
                  <c:v>157.54000000000002</c:v>
                </c:pt>
                <c:pt idx="19">
                  <c:v>157.54000000000002</c:v>
                </c:pt>
                <c:pt idx="20">
                  <c:v>157.54000000000002</c:v>
                </c:pt>
                <c:pt idx="21">
                  <c:v>157.54000000000002</c:v>
                </c:pt>
                <c:pt idx="22">
                  <c:v>157.54000000000002</c:v>
                </c:pt>
                <c:pt idx="23">
                  <c:v>157.54000000000002</c:v>
                </c:pt>
                <c:pt idx="24">
                  <c:v>157.54000000000002</c:v>
                </c:pt>
                <c:pt idx="25">
                  <c:v>157.54000000000002</c:v>
                </c:pt>
                <c:pt idx="26">
                  <c:v>157.54000000000002</c:v>
                </c:pt>
                <c:pt idx="27">
                  <c:v>157.54000000000002</c:v>
                </c:pt>
                <c:pt idx="28">
                  <c:v>157.54000000000002</c:v>
                </c:pt>
                <c:pt idx="29">
                  <c:v>157.54000000000002</c:v>
                </c:pt>
                <c:pt idx="30">
                  <c:v>157.54000000000002</c:v>
                </c:pt>
                <c:pt idx="31">
                  <c:v>157.54000000000002</c:v>
                </c:pt>
                <c:pt idx="32">
                  <c:v>157.54000000000002</c:v>
                </c:pt>
                <c:pt idx="33">
                  <c:v>157.54000000000002</c:v>
                </c:pt>
                <c:pt idx="34">
                  <c:v>157.54000000000002</c:v>
                </c:pt>
                <c:pt idx="35">
                  <c:v>157.54000000000002</c:v>
                </c:pt>
                <c:pt idx="36">
                  <c:v>157.54000000000002</c:v>
                </c:pt>
                <c:pt idx="37">
                  <c:v>157.54000000000002</c:v>
                </c:pt>
                <c:pt idx="38">
                  <c:v>157.54000000000002</c:v>
                </c:pt>
                <c:pt idx="39">
                  <c:v>157.54000000000002</c:v>
                </c:pt>
                <c:pt idx="40">
                  <c:v>157.54000000000002</c:v>
                </c:pt>
                <c:pt idx="41">
                  <c:v>157.54000000000002</c:v>
                </c:pt>
                <c:pt idx="42">
                  <c:v>157.54000000000002</c:v>
                </c:pt>
                <c:pt idx="43">
                  <c:v>157.54000000000002</c:v>
                </c:pt>
                <c:pt idx="44">
                  <c:v>157.54000000000002</c:v>
                </c:pt>
                <c:pt idx="45">
                  <c:v>157.54000000000002</c:v>
                </c:pt>
                <c:pt idx="46">
                  <c:v>157.54000000000002</c:v>
                </c:pt>
                <c:pt idx="47">
                  <c:v>157.54000000000002</c:v>
                </c:pt>
                <c:pt idx="48">
                  <c:v>157.54000000000002</c:v>
                </c:pt>
                <c:pt idx="49">
                  <c:v>157.54000000000002</c:v>
                </c:pt>
                <c:pt idx="50">
                  <c:v>157.54000000000002</c:v>
                </c:pt>
                <c:pt idx="51">
                  <c:v>157.54000000000002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(Hide)'!$F$63:$F$77</c:f>
              <c:numCache>
                <c:formatCode>General</c:formatCode>
                <c:ptCount val="5"/>
                <c:pt idx="0">
                  <c:v>46.50250000000004</c:v>
                </c:pt>
                <c:pt idx="1">
                  <c:v>21.000000000000004</c:v>
                </c:pt>
                <c:pt idx="2">
                  <c:v>12</c:v>
                </c:pt>
                <c:pt idx="3">
                  <c:v>48.037499999999952</c:v>
                </c:pt>
                <c:pt idx="4">
                  <c:v>30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5"/>
                <c:pt idx="0">
                  <c:v>20 Group Sessions</c:v>
                </c:pt>
                <c:pt idx="1">
                  <c:v>40 Group Session</c:v>
                </c:pt>
                <c:pt idx="2">
                  <c:v>8 Group Session</c:v>
                </c:pt>
                <c:pt idx="3">
                  <c:v>20 Individual</c:v>
                </c:pt>
                <c:pt idx="4">
                  <c:v>40 Individual</c:v>
                </c:pt>
              </c:strCache>
            </c:strRef>
          </c:cat>
          <c:val>
            <c:numRef>
              <c:f>'Required Capacity (Hide)'!$G$63:$G$77</c:f>
              <c:numCache>
                <c:formatCode>General</c:formatCode>
                <c:ptCount val="5"/>
                <c:pt idx="0">
                  <c:v>7.4375</c:v>
                </c:pt>
                <c:pt idx="1">
                  <c:v>24.599999999999948</c:v>
                </c:pt>
                <c:pt idx="2">
                  <c:v>1.6666666666666666E-2</c:v>
                </c:pt>
                <c:pt idx="3">
                  <c:v>4.4625000000000483</c:v>
                </c:pt>
                <c:pt idx="4">
                  <c:v>1</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5"/>
                <c:pt idx="0">
                  <c:v>60</c:v>
                </c:pt>
                <c:pt idx="1">
                  <c:v>60</c:v>
                </c:pt>
                <c:pt idx="2">
                  <c:v>60</c:v>
                </c:pt>
                <c:pt idx="3">
                  <c:v>0</c:v>
                </c:pt>
                <c:pt idx="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15.796714285714286</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157.54</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37.516666666666666</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2686.212</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550.18799999999692</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99.75</c:v>
                </c:pt>
                <c:pt idx="1">
                  <c:v>99.75</c:v>
                </c:pt>
                <c:pt idx="2">
                  <c:v>99.75</c:v>
                </c:pt>
                <c:pt idx="3">
                  <c:v>99.75</c:v>
                </c:pt>
                <c:pt idx="4">
                  <c:v>99.75</c:v>
                </c:pt>
                <c:pt idx="5">
                  <c:v>99.75</c:v>
                </c:pt>
                <c:pt idx="6">
                  <c:v>99.75</c:v>
                </c:pt>
                <c:pt idx="7">
                  <c:v>99.75</c:v>
                </c:pt>
                <c:pt idx="8">
                  <c:v>99.75</c:v>
                </c:pt>
                <c:pt idx="9">
                  <c:v>99.75</c:v>
                </c:pt>
                <c:pt idx="10">
                  <c:v>99.75</c:v>
                </c:pt>
                <c:pt idx="11">
                  <c:v>99.75</c:v>
                </c:pt>
                <c:pt idx="12">
                  <c:v>99.75</c:v>
                </c:pt>
                <c:pt idx="13">
                  <c:v>99.75</c:v>
                </c:pt>
                <c:pt idx="14">
                  <c:v>99.75</c:v>
                </c:pt>
                <c:pt idx="15">
                  <c:v>99.75</c:v>
                </c:pt>
                <c:pt idx="16">
                  <c:v>99.75</c:v>
                </c:pt>
                <c:pt idx="17">
                  <c:v>99.75</c:v>
                </c:pt>
                <c:pt idx="18">
                  <c:v>99.75</c:v>
                </c:pt>
                <c:pt idx="19">
                  <c:v>99.75</c:v>
                </c:pt>
                <c:pt idx="20">
                  <c:v>99.75</c:v>
                </c:pt>
                <c:pt idx="21">
                  <c:v>99.75</c:v>
                </c:pt>
                <c:pt idx="22">
                  <c:v>99.75</c:v>
                </c:pt>
                <c:pt idx="23">
                  <c:v>99.75</c:v>
                </c:pt>
                <c:pt idx="24">
                  <c:v>99.75</c:v>
                </c:pt>
                <c:pt idx="25">
                  <c:v>99.75</c:v>
                </c:pt>
                <c:pt idx="26">
                  <c:v>99.75</c:v>
                </c:pt>
                <c:pt idx="27">
                  <c:v>99.75</c:v>
                </c:pt>
                <c:pt idx="28">
                  <c:v>99.75</c:v>
                </c:pt>
                <c:pt idx="29">
                  <c:v>99.75</c:v>
                </c:pt>
                <c:pt idx="30">
                  <c:v>99.75</c:v>
                </c:pt>
                <c:pt idx="31">
                  <c:v>99.75</c:v>
                </c:pt>
                <c:pt idx="32">
                  <c:v>99.75</c:v>
                </c:pt>
                <c:pt idx="33">
                  <c:v>99.75</c:v>
                </c:pt>
                <c:pt idx="34">
                  <c:v>99.75</c:v>
                </c:pt>
                <c:pt idx="35">
                  <c:v>99.75</c:v>
                </c:pt>
                <c:pt idx="36">
                  <c:v>99.75</c:v>
                </c:pt>
                <c:pt idx="37">
                  <c:v>99.75</c:v>
                </c:pt>
                <c:pt idx="38">
                  <c:v>99.75</c:v>
                </c:pt>
                <c:pt idx="39">
                  <c:v>99.75</c:v>
                </c:pt>
                <c:pt idx="40">
                  <c:v>99.75</c:v>
                </c:pt>
                <c:pt idx="41">
                  <c:v>99.75</c:v>
                </c:pt>
                <c:pt idx="42">
                  <c:v>99.75</c:v>
                </c:pt>
                <c:pt idx="43">
                  <c:v>99.75</c:v>
                </c:pt>
                <c:pt idx="44">
                  <c:v>99.75</c:v>
                </c:pt>
                <c:pt idx="45">
                  <c:v>99.75</c:v>
                </c:pt>
                <c:pt idx="46">
                  <c:v>99.75</c:v>
                </c:pt>
                <c:pt idx="47">
                  <c:v>99.75</c:v>
                </c:pt>
                <c:pt idx="48">
                  <c:v>99.75</c:v>
                </c:pt>
                <c:pt idx="49">
                  <c:v>99.75</c:v>
                </c:pt>
                <c:pt idx="50">
                  <c:v>99.75</c:v>
                </c:pt>
                <c:pt idx="51">
                  <c:v>99.75</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10.5</c:v>
                </c:pt>
                <c:pt idx="1">
                  <c:v>10.5</c:v>
                </c:pt>
                <c:pt idx="2">
                  <c:v>10.5</c:v>
                </c:pt>
                <c:pt idx="3">
                  <c:v>10.5</c:v>
                </c:pt>
                <c:pt idx="4">
                  <c:v>10.5</c:v>
                </c:pt>
                <c:pt idx="5">
                  <c:v>10.5</c:v>
                </c:pt>
                <c:pt idx="6">
                  <c:v>10.5</c:v>
                </c:pt>
                <c:pt idx="7">
                  <c:v>10.5</c:v>
                </c:pt>
                <c:pt idx="8">
                  <c:v>10.5</c:v>
                </c:pt>
                <c:pt idx="9">
                  <c:v>10.5</c:v>
                </c:pt>
                <c:pt idx="10">
                  <c:v>10.5</c:v>
                </c:pt>
                <c:pt idx="11">
                  <c:v>10.5</c:v>
                </c:pt>
                <c:pt idx="12">
                  <c:v>10.5</c:v>
                </c:pt>
                <c:pt idx="13">
                  <c:v>10.5</c:v>
                </c:pt>
                <c:pt idx="14">
                  <c:v>10.5</c:v>
                </c:pt>
                <c:pt idx="15">
                  <c:v>10.5</c:v>
                </c:pt>
                <c:pt idx="16">
                  <c:v>10.5</c:v>
                </c:pt>
                <c:pt idx="17">
                  <c:v>10.5</c:v>
                </c:pt>
                <c:pt idx="18">
                  <c:v>10.5</c:v>
                </c:pt>
                <c:pt idx="19">
                  <c:v>10.5</c:v>
                </c:pt>
                <c:pt idx="20">
                  <c:v>10.5</c:v>
                </c:pt>
                <c:pt idx="21">
                  <c:v>10.5</c:v>
                </c:pt>
                <c:pt idx="22">
                  <c:v>10.5</c:v>
                </c:pt>
                <c:pt idx="23">
                  <c:v>10.5</c:v>
                </c:pt>
                <c:pt idx="24">
                  <c:v>10.5</c:v>
                </c:pt>
                <c:pt idx="25">
                  <c:v>10.5</c:v>
                </c:pt>
                <c:pt idx="26">
                  <c:v>10.5</c:v>
                </c:pt>
                <c:pt idx="27">
                  <c:v>10.5</c:v>
                </c:pt>
                <c:pt idx="28">
                  <c:v>10.5</c:v>
                </c:pt>
                <c:pt idx="29">
                  <c:v>10.5</c:v>
                </c:pt>
                <c:pt idx="30">
                  <c:v>10.5</c:v>
                </c:pt>
                <c:pt idx="31">
                  <c:v>10.5</c:v>
                </c:pt>
                <c:pt idx="32">
                  <c:v>10.5</c:v>
                </c:pt>
                <c:pt idx="33">
                  <c:v>10.5</c:v>
                </c:pt>
                <c:pt idx="34">
                  <c:v>10.5</c:v>
                </c:pt>
                <c:pt idx="35">
                  <c:v>10.5</c:v>
                </c:pt>
                <c:pt idx="36">
                  <c:v>10.5</c:v>
                </c:pt>
                <c:pt idx="37">
                  <c:v>10.5</c:v>
                </c:pt>
                <c:pt idx="38">
                  <c:v>10.5</c:v>
                </c:pt>
                <c:pt idx="39">
                  <c:v>10.5</c:v>
                </c:pt>
                <c:pt idx="40">
                  <c:v>10.5</c:v>
                </c:pt>
                <c:pt idx="41">
                  <c:v>10.5</c:v>
                </c:pt>
                <c:pt idx="42">
                  <c:v>10.5</c:v>
                </c:pt>
                <c:pt idx="43">
                  <c:v>10.5</c:v>
                </c:pt>
                <c:pt idx="44">
                  <c:v>10.5</c:v>
                </c:pt>
                <c:pt idx="45">
                  <c:v>10.5</c:v>
                </c:pt>
                <c:pt idx="46">
                  <c:v>10.5</c:v>
                </c:pt>
                <c:pt idx="47">
                  <c:v>10.5</c:v>
                </c:pt>
                <c:pt idx="48">
                  <c:v>10.5</c:v>
                </c:pt>
                <c:pt idx="49">
                  <c:v>10.5</c:v>
                </c:pt>
                <c:pt idx="50">
                  <c:v>10.5</c:v>
                </c:pt>
                <c:pt idx="51">
                  <c:v>10.5</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137.60999876405884</c:v>
                </c:pt>
                <c:pt idx="1">
                  <c:v>165.21999752811769</c:v>
                </c:pt>
                <c:pt idx="2">
                  <c:v>192.82999629217653</c:v>
                </c:pt>
                <c:pt idx="3">
                  <c:v>220.43999505623538</c:v>
                </c:pt>
                <c:pt idx="4">
                  <c:v>248.04999382029422</c:v>
                </c:pt>
                <c:pt idx="5">
                  <c:v>275.65999258435306</c:v>
                </c:pt>
                <c:pt idx="6">
                  <c:v>303.26999134841191</c:v>
                </c:pt>
                <c:pt idx="7">
                  <c:v>330.87999011247075</c:v>
                </c:pt>
                <c:pt idx="8">
                  <c:v>358.48998887652959</c:v>
                </c:pt>
                <c:pt idx="9">
                  <c:v>386.09998764058844</c:v>
                </c:pt>
                <c:pt idx="10">
                  <c:v>413.70998640464728</c:v>
                </c:pt>
                <c:pt idx="11">
                  <c:v>441.31998516870613</c:v>
                </c:pt>
                <c:pt idx="12">
                  <c:v>468.92998393276497</c:v>
                </c:pt>
                <c:pt idx="13">
                  <c:v>496.53998269682381</c:v>
                </c:pt>
                <c:pt idx="14">
                  <c:v>524.1499814608826</c:v>
                </c:pt>
                <c:pt idx="15">
                  <c:v>551.75998022494139</c:v>
                </c:pt>
                <c:pt idx="16">
                  <c:v>579.36997898900017</c:v>
                </c:pt>
                <c:pt idx="17">
                  <c:v>606.97997775305896</c:v>
                </c:pt>
                <c:pt idx="18">
                  <c:v>634.58997651711775</c:v>
                </c:pt>
                <c:pt idx="19">
                  <c:v>662.19997528117653</c:v>
                </c:pt>
                <c:pt idx="20">
                  <c:v>689.80997404523532</c:v>
                </c:pt>
                <c:pt idx="21">
                  <c:v>717.41997280929411</c:v>
                </c:pt>
                <c:pt idx="22">
                  <c:v>745.0299715733529</c:v>
                </c:pt>
                <c:pt idx="23">
                  <c:v>772.63997033741168</c:v>
                </c:pt>
                <c:pt idx="24">
                  <c:v>800.24996910147047</c:v>
                </c:pt>
                <c:pt idx="25">
                  <c:v>827.85996786552926</c:v>
                </c:pt>
                <c:pt idx="26">
                  <c:v>855.46996662958804</c:v>
                </c:pt>
                <c:pt idx="27">
                  <c:v>883.07996539364683</c:v>
                </c:pt>
                <c:pt idx="28">
                  <c:v>910.68996415770562</c:v>
                </c:pt>
                <c:pt idx="29">
                  <c:v>938.2999629217644</c:v>
                </c:pt>
                <c:pt idx="30">
                  <c:v>965.90996168582319</c:v>
                </c:pt>
                <c:pt idx="31">
                  <c:v>993.51996044988198</c:v>
                </c:pt>
                <c:pt idx="32">
                  <c:v>1021.1299592139408</c:v>
                </c:pt>
                <c:pt idx="33">
                  <c:v>1048.7399579779997</c:v>
                </c:pt>
                <c:pt idx="34">
                  <c:v>1076.3499567420586</c:v>
                </c:pt>
                <c:pt idx="35">
                  <c:v>1103.9599555061175</c:v>
                </c:pt>
                <c:pt idx="36">
                  <c:v>1131.5699542701764</c:v>
                </c:pt>
                <c:pt idx="37">
                  <c:v>1159.1799530342353</c:v>
                </c:pt>
                <c:pt idx="38">
                  <c:v>1186.7899517982942</c:v>
                </c:pt>
                <c:pt idx="39">
                  <c:v>1214.3999505623531</c:v>
                </c:pt>
                <c:pt idx="40">
                  <c:v>1242.009949326412</c:v>
                </c:pt>
                <c:pt idx="41">
                  <c:v>1269.6199480904709</c:v>
                </c:pt>
                <c:pt idx="42">
                  <c:v>1297.2299468545298</c:v>
                </c:pt>
                <c:pt idx="43">
                  <c:v>1324.8399456185887</c:v>
                </c:pt>
                <c:pt idx="44">
                  <c:v>1352.4499443826476</c:v>
                </c:pt>
                <c:pt idx="45">
                  <c:v>1380.0599431467065</c:v>
                </c:pt>
                <c:pt idx="46">
                  <c:v>1407.6699419107654</c:v>
                </c:pt>
                <c:pt idx="47">
                  <c:v>1435.2799406748243</c:v>
                </c:pt>
                <c:pt idx="48">
                  <c:v>1462.8899394388832</c:v>
                </c:pt>
                <c:pt idx="49">
                  <c:v>1490.4999382029421</c:v>
                </c:pt>
                <c:pt idx="50">
                  <c:v>1518.109936967001</c:v>
                </c:pt>
                <c:pt idx="51">
                  <c:v>1545.7199357310599</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447675</xdr:colOff>
      <xdr:row>1</xdr:row>
      <xdr:rowOff>160336</xdr:rowOff>
    </xdr:from>
    <xdr:to>
      <xdr:col>25</xdr:col>
      <xdr:colOff>447675</xdr:colOff>
      <xdr:row>24</xdr:row>
      <xdr:rowOff>123824</xdr:rowOff>
    </xdr:to>
    <xdr:graphicFrame macro="">
      <xdr:nvGraphicFramePr>
        <xdr:cNvPr id="2" name="TimeChart" hidden="1">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444500</xdr:colOff>
      <xdr:row>1</xdr:row>
      <xdr:rowOff>158750</xdr:rowOff>
    </xdr:from>
    <xdr:to>
      <xdr:col>25</xdr:col>
      <xdr:colOff>447675</xdr:colOff>
      <xdr:row>24</xdr:row>
      <xdr:rowOff>120650</xdr:rowOff>
    </xdr:to>
    <xdr:graphicFrame macro="">
      <xdr:nvGraphicFramePr>
        <xdr:cNvPr id="4" name="OverviewChart">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806450</xdr:colOff>
      <xdr:row>41</xdr:row>
      <xdr:rowOff>257174</xdr:rowOff>
    </xdr:from>
    <xdr:to>
      <xdr:col>26</xdr:col>
      <xdr:colOff>520701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800100</xdr:colOff>
      <xdr:row>41</xdr:row>
      <xdr:rowOff>193674</xdr:rowOff>
    </xdr:from>
    <xdr:to>
      <xdr:col>23</xdr:col>
      <xdr:colOff>368300</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457200</xdr:colOff>
      <xdr:row>1</xdr:row>
      <xdr:rowOff>158750</xdr:rowOff>
    </xdr:from>
    <xdr:to>
      <xdr:col>25</xdr:col>
      <xdr:colOff>485775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20 Group Sessions</v>
      </c>
      <c r="D2">
        <v>1</v>
      </c>
      <c r="F2" t="s">
        <v>55</v>
      </c>
      <c r="H2" t="s">
        <v>73</v>
      </c>
      <c r="I2">
        <v>0.65</v>
      </c>
      <c r="K2" t="s">
        <v>113</v>
      </c>
      <c r="L2">
        <v>7</v>
      </c>
      <c r="N2" t="s">
        <v>86</v>
      </c>
      <c r="P2" t="s">
        <v>106</v>
      </c>
      <c r="R2" t="str" cm="1">
        <f t="array" ref="R2">IF(Setup!B11="Weekly",INDEX('SPC Backing (Hide)'!$B$4:$B$263,IF(Demand!$A$8&lt;51, 1, Demand!$A$8-51),1),INDEX('SPC Backing (Hide)'!E4:E263,Demand!A8-11,1))</f>
        <v>Apr-2019</v>
      </c>
      <c r="T2" t="str">
        <f>"All "&amp;Setup!$B$15</f>
        <v>All Clusters</v>
      </c>
      <c r="V2" t="s">
        <v>159</v>
      </c>
      <c r="X2" s="76" t="s">
        <v>11</v>
      </c>
      <c r="Z2" t="s">
        <v>183</v>
      </c>
      <c r="AB2" t="s">
        <v>91</v>
      </c>
      <c r="AD2" t="s">
        <v>197</v>
      </c>
    </row>
    <row r="3" spans="1:30" x14ac:dyDescent="0.35">
      <c r="B3" t="str">
        <f>Setup!A21</f>
        <v>40 Group Session</v>
      </c>
      <c r="D3">
        <v>2</v>
      </c>
      <c r="F3" t="s">
        <v>47</v>
      </c>
      <c r="H3" t="s">
        <v>74</v>
      </c>
      <c r="I3">
        <v>0.7</v>
      </c>
      <c r="K3" t="s">
        <v>112</v>
      </c>
      <c r="L3">
        <v>5</v>
      </c>
      <c r="N3" t="s">
        <v>87</v>
      </c>
      <c r="P3" t="s">
        <v>107</v>
      </c>
      <c r="R3" t="str" cm="1">
        <f t="array" ref="R3">IF(Setup!B11="Weekly",INDEX('SPC Backing (Hide)'!$B$4:$B$263,Demand!A8,1),INDEX('SPC Backing (Hide)'!E4:E263,Demand!A8,1))</f>
        <v>Mar-2020</v>
      </c>
      <c r="T3" t="str">
        <f>Setup!A20</f>
        <v>20 Group Sessions</v>
      </c>
      <c r="V3" t="s">
        <v>160</v>
      </c>
      <c r="X3" s="76" t="s">
        <v>178</v>
      </c>
      <c r="Z3" t="s">
        <v>100</v>
      </c>
      <c r="AB3" t="s">
        <v>134</v>
      </c>
      <c r="AD3" t="s">
        <v>198</v>
      </c>
    </row>
    <row r="4" spans="1:30" x14ac:dyDescent="0.35">
      <c r="B4" t="str">
        <f>Setup!A22</f>
        <v>8 Group Session</v>
      </c>
      <c r="D4">
        <v>3</v>
      </c>
      <c r="F4" t="s">
        <v>60</v>
      </c>
      <c r="H4" t="s">
        <v>75</v>
      </c>
      <c r="I4">
        <v>0.75</v>
      </c>
      <c r="K4" t="s">
        <v>78</v>
      </c>
      <c r="L4">
        <v>2</v>
      </c>
      <c r="T4" t="str">
        <f>Setup!A21</f>
        <v>40 Group Session</v>
      </c>
      <c r="X4" s="76" t="s">
        <v>164</v>
      </c>
    </row>
    <row r="5" spans="1:30" x14ac:dyDescent="0.35">
      <c r="B5" t="str">
        <f>Setup!A23</f>
        <v>20 Individual</v>
      </c>
      <c r="D5">
        <v>4</v>
      </c>
      <c r="H5" t="s">
        <v>76</v>
      </c>
      <c r="I5">
        <v>0.8</v>
      </c>
      <c r="K5" t="s">
        <v>79</v>
      </c>
      <c r="L5">
        <v>1</v>
      </c>
      <c r="T5" t="str">
        <f>Setup!A22</f>
        <v>8 Group Session</v>
      </c>
      <c r="X5" s="76" t="s">
        <v>165</v>
      </c>
    </row>
    <row r="6" spans="1:30" x14ac:dyDescent="0.35">
      <c r="B6" t="str">
        <f>Setup!A24</f>
        <v>40 Individual</v>
      </c>
      <c r="D6">
        <v>5</v>
      </c>
      <c r="K6" t="s">
        <v>80</v>
      </c>
      <c r="L6">
        <v>0.5</v>
      </c>
      <c r="T6" t="str">
        <f>Setup!A23</f>
        <v>20 Individual</v>
      </c>
      <c r="X6" s="76" t="s">
        <v>166</v>
      </c>
    </row>
    <row r="7" spans="1:30" x14ac:dyDescent="0.35">
      <c r="B7" t="str">
        <f>Setup!A25</f>
        <v>Caseload 6</v>
      </c>
      <c r="D7">
        <v>6</v>
      </c>
      <c r="K7" t="s">
        <v>81</v>
      </c>
      <c r="L7">
        <v>0.25</v>
      </c>
      <c r="T7" t="str">
        <f>Setup!A24</f>
        <v>40 Individual</v>
      </c>
      <c r="X7" s="76" t="s">
        <v>167</v>
      </c>
    </row>
    <row r="8" spans="1:30" x14ac:dyDescent="0.35">
      <c r="B8" t="str">
        <f>Setup!A26</f>
        <v>Caseload 7</v>
      </c>
      <c r="D8">
        <v>7</v>
      </c>
      <c r="K8" t="s">
        <v>82</v>
      </c>
      <c r="L8">
        <v>3.7999999999999999E-2</v>
      </c>
      <c r="T8" t="str">
        <f>Setup!A25</f>
        <v>Caseload 6</v>
      </c>
      <c r="X8" s="76" t="s">
        <v>168</v>
      </c>
    </row>
    <row r="9" spans="1:30" x14ac:dyDescent="0.35">
      <c r="B9" t="str">
        <f>Setup!A27</f>
        <v>Caseload 8</v>
      </c>
      <c r="D9">
        <v>8</v>
      </c>
      <c r="K9" t="s">
        <v>83</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9" sqref="A9"/>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229</v>
      </c>
      <c r="B1" s="172" t="s">
        <v>230</v>
      </c>
      <c r="C1" s="172" t="s">
        <v>231</v>
      </c>
    </row>
    <row r="2" spans="1:3" ht="58" x14ac:dyDescent="0.35">
      <c r="A2" s="170" t="s">
        <v>215</v>
      </c>
      <c r="B2" s="170" t="s">
        <v>232</v>
      </c>
      <c r="C2" s="171" t="s">
        <v>233</v>
      </c>
    </row>
    <row r="3" spans="1:3" ht="43.5" x14ac:dyDescent="0.35">
      <c r="A3" s="170" t="s">
        <v>234</v>
      </c>
      <c r="B3" s="170" t="s">
        <v>235</v>
      </c>
      <c r="C3" s="171" t="s">
        <v>236</v>
      </c>
    </row>
    <row r="4" spans="1:3" x14ac:dyDescent="0.35">
      <c r="A4" s="170" t="s">
        <v>237</v>
      </c>
      <c r="B4" s="170" t="s">
        <v>235</v>
      </c>
      <c r="C4" s="170" t="s">
        <v>238</v>
      </c>
    </row>
    <row r="5" spans="1:3" ht="29" x14ac:dyDescent="0.35">
      <c r="A5" s="170" t="s">
        <v>239</v>
      </c>
      <c r="B5" s="170" t="s">
        <v>232</v>
      </c>
      <c r="C5" s="171" t="s">
        <v>243</v>
      </c>
    </row>
    <row r="6" spans="1:3" ht="29" x14ac:dyDescent="0.35">
      <c r="A6" s="170" t="s">
        <v>246</v>
      </c>
      <c r="B6" s="170" t="s">
        <v>232</v>
      </c>
      <c r="C6" s="171" t="s">
        <v>247</v>
      </c>
    </row>
    <row r="7" spans="1:3" ht="43.5" x14ac:dyDescent="0.35">
      <c r="A7" s="170" t="s">
        <v>260</v>
      </c>
      <c r="B7" s="170" t="s">
        <v>232</v>
      </c>
      <c r="C7" s="171" t="s">
        <v>265</v>
      </c>
    </row>
    <row r="8" spans="1:3" ht="43.5" x14ac:dyDescent="0.35">
      <c r="A8" s="170" t="s">
        <v>268</v>
      </c>
      <c r="B8" s="170" t="s">
        <v>232</v>
      </c>
      <c r="C8" s="171" t="s">
        <v>269</v>
      </c>
    </row>
    <row r="9" spans="1:3" x14ac:dyDescent="0.35">
      <c r="A9" s="170"/>
      <c r="B9" s="170"/>
      <c r="C9" s="170"/>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Demand and capacity analysis notes for Test Organisation</v>
      </c>
      <c r="C2" s="179"/>
      <c r="D2" s="179"/>
      <c r="E2" s="179"/>
      <c r="F2" s="179"/>
      <c r="G2" s="179"/>
      <c r="H2" s="179"/>
      <c r="I2" s="179"/>
      <c r="J2" s="179"/>
      <c r="K2" s="179"/>
      <c r="L2" s="179"/>
      <c r="M2" s="179"/>
      <c r="N2" s="179"/>
      <c r="O2" s="179"/>
      <c r="P2" s="179"/>
      <c r="Q2" s="179"/>
      <c r="R2" s="179"/>
      <c r="S2" s="179"/>
      <c r="T2" s="179"/>
      <c r="U2" s="179"/>
    </row>
    <row r="3" spans="2:21" ht="15" thickBot="1" x14ac:dyDescent="0.4">
      <c r="B3" s="173" t="s">
        <v>241</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75"/>
      <c r="C6" s="175"/>
      <c r="D6" s="175"/>
      <c r="E6" s="175"/>
      <c r="F6" s="175"/>
      <c r="G6" s="175"/>
      <c r="H6" s="175"/>
      <c r="I6" s="175"/>
      <c r="J6" s="175"/>
      <c r="K6" s="175"/>
      <c r="L6" s="175"/>
      <c r="M6" s="175"/>
      <c r="N6" s="175"/>
      <c r="O6" s="175"/>
      <c r="P6" s="175"/>
      <c r="Q6" s="175"/>
      <c r="R6" s="175"/>
      <c r="S6" s="175"/>
      <c r="T6" s="175"/>
      <c r="U6" s="175"/>
    </row>
    <row r="7" spans="2:21" x14ac:dyDescent="0.35">
      <c r="B7" s="175"/>
      <c r="C7" s="175"/>
      <c r="D7" s="175"/>
      <c r="E7" s="175"/>
      <c r="F7" s="175"/>
      <c r="G7" s="175"/>
      <c r="H7" s="175"/>
      <c r="I7" s="175"/>
      <c r="J7" s="175"/>
      <c r="K7" s="175"/>
      <c r="L7" s="175"/>
      <c r="M7" s="175"/>
      <c r="N7" s="175"/>
      <c r="O7" s="175"/>
      <c r="P7" s="175"/>
      <c r="Q7" s="175"/>
      <c r="R7" s="175"/>
      <c r="S7" s="175"/>
      <c r="T7" s="175"/>
      <c r="U7" s="175"/>
    </row>
    <row r="8" spans="2:21" x14ac:dyDescent="0.35">
      <c r="B8" s="175"/>
      <c r="C8" s="175"/>
      <c r="D8" s="175"/>
      <c r="E8" s="175"/>
      <c r="F8" s="175"/>
      <c r="G8" s="175"/>
      <c r="H8" s="175"/>
      <c r="I8" s="175"/>
      <c r="J8" s="175"/>
      <c r="K8" s="175"/>
      <c r="L8" s="175"/>
      <c r="M8" s="175"/>
      <c r="N8" s="175"/>
      <c r="O8" s="175"/>
      <c r="P8" s="175"/>
      <c r="Q8" s="175"/>
      <c r="R8" s="175"/>
      <c r="S8" s="175"/>
      <c r="T8" s="175"/>
      <c r="U8" s="175"/>
    </row>
    <row r="9" spans="2:21" x14ac:dyDescent="0.35">
      <c r="B9" s="175"/>
      <c r="C9" s="175"/>
      <c r="D9" s="175"/>
      <c r="E9" s="175"/>
      <c r="F9" s="175"/>
      <c r="G9" s="175"/>
      <c r="H9" s="175"/>
      <c r="I9" s="175"/>
      <c r="J9" s="175"/>
      <c r="K9" s="175"/>
      <c r="L9" s="175"/>
      <c r="M9" s="175"/>
      <c r="N9" s="175"/>
      <c r="O9" s="175"/>
      <c r="P9" s="175"/>
      <c r="Q9" s="175"/>
      <c r="R9" s="175"/>
      <c r="S9" s="175"/>
      <c r="T9" s="175"/>
      <c r="U9" s="175"/>
    </row>
    <row r="10" spans="2:21" x14ac:dyDescent="0.35">
      <c r="B10" s="175"/>
      <c r="C10" s="175"/>
      <c r="D10" s="175"/>
      <c r="E10" s="175"/>
      <c r="F10" s="175"/>
      <c r="G10" s="175"/>
      <c r="H10" s="175"/>
      <c r="I10" s="175"/>
      <c r="J10" s="175"/>
      <c r="K10" s="175"/>
      <c r="L10" s="175"/>
      <c r="M10" s="175"/>
      <c r="N10" s="175"/>
      <c r="O10" s="175"/>
      <c r="P10" s="175"/>
      <c r="Q10" s="175"/>
      <c r="R10" s="175"/>
      <c r="S10" s="175"/>
      <c r="T10" s="175"/>
      <c r="U10" s="175"/>
    </row>
    <row r="11" spans="2:21" x14ac:dyDescent="0.35">
      <c r="B11" s="175"/>
      <c r="C11" s="175"/>
      <c r="D11" s="175"/>
      <c r="E11" s="175"/>
      <c r="F11" s="175"/>
      <c r="G11" s="175"/>
      <c r="H11" s="175"/>
      <c r="I11" s="175"/>
      <c r="J11" s="175"/>
      <c r="K11" s="175"/>
      <c r="L11" s="175"/>
      <c r="M11" s="175"/>
      <c r="N11" s="175"/>
      <c r="O11" s="175"/>
      <c r="P11" s="175"/>
      <c r="Q11" s="175"/>
      <c r="R11" s="175"/>
      <c r="S11" s="175"/>
      <c r="T11" s="175"/>
      <c r="U11" s="175"/>
    </row>
    <row r="12" spans="2:21" x14ac:dyDescent="0.35">
      <c r="B12" s="175"/>
      <c r="C12" s="175"/>
      <c r="D12" s="175"/>
      <c r="E12" s="175"/>
      <c r="F12" s="175"/>
      <c r="G12" s="175"/>
      <c r="H12" s="175"/>
      <c r="I12" s="175"/>
      <c r="J12" s="175"/>
      <c r="K12" s="175"/>
      <c r="L12" s="175"/>
      <c r="M12" s="175"/>
      <c r="N12" s="175"/>
      <c r="O12" s="175"/>
      <c r="P12" s="175"/>
      <c r="Q12" s="175"/>
      <c r="R12" s="175"/>
      <c r="S12" s="175"/>
      <c r="T12" s="175"/>
      <c r="U12" s="175"/>
    </row>
    <row r="13" spans="2:21" x14ac:dyDescent="0.35">
      <c r="B13" s="175"/>
      <c r="C13" s="175"/>
      <c r="D13" s="175"/>
      <c r="E13" s="175"/>
      <c r="F13" s="175"/>
      <c r="G13" s="175"/>
      <c r="H13" s="175"/>
      <c r="I13" s="175"/>
      <c r="J13" s="175"/>
      <c r="K13" s="175"/>
      <c r="L13" s="175"/>
      <c r="M13" s="175"/>
      <c r="N13" s="175"/>
      <c r="O13" s="175"/>
      <c r="P13" s="175"/>
      <c r="Q13" s="175"/>
      <c r="R13" s="175"/>
      <c r="S13" s="175"/>
      <c r="T13" s="175"/>
      <c r="U13" s="175"/>
    </row>
    <row r="14" spans="2:21" x14ac:dyDescent="0.35">
      <c r="B14" s="175"/>
      <c r="C14" s="175"/>
      <c r="D14" s="175"/>
      <c r="E14" s="175"/>
      <c r="F14" s="175"/>
      <c r="G14" s="175"/>
      <c r="H14" s="175"/>
      <c r="I14" s="175"/>
      <c r="J14" s="175"/>
      <c r="K14" s="175"/>
      <c r="L14" s="175"/>
      <c r="M14" s="175"/>
      <c r="N14" s="175"/>
      <c r="O14" s="175"/>
      <c r="P14" s="175"/>
      <c r="Q14" s="175"/>
      <c r="R14" s="175"/>
      <c r="S14" s="175"/>
      <c r="T14" s="175"/>
      <c r="U14" s="175"/>
    </row>
    <row r="15" spans="2:21" x14ac:dyDescent="0.35">
      <c r="B15" s="175"/>
      <c r="C15" s="175"/>
      <c r="D15" s="175"/>
      <c r="E15" s="175"/>
      <c r="F15" s="175"/>
      <c r="G15" s="175"/>
      <c r="H15" s="175"/>
      <c r="I15" s="175"/>
      <c r="J15" s="175"/>
      <c r="K15" s="175"/>
      <c r="L15" s="175"/>
      <c r="M15" s="175"/>
      <c r="N15" s="175"/>
      <c r="O15" s="175"/>
      <c r="P15" s="175"/>
      <c r="Q15" s="175"/>
      <c r="R15" s="175"/>
      <c r="S15" s="175"/>
      <c r="T15" s="175"/>
      <c r="U15" s="175"/>
    </row>
    <row r="16" spans="2:21" x14ac:dyDescent="0.35">
      <c r="B16" s="175"/>
      <c r="C16" s="175"/>
      <c r="D16" s="175"/>
      <c r="E16" s="175"/>
      <c r="F16" s="175"/>
      <c r="G16" s="175"/>
      <c r="H16" s="175"/>
      <c r="I16" s="175"/>
      <c r="J16" s="175"/>
      <c r="K16" s="175"/>
      <c r="L16" s="175"/>
      <c r="M16" s="175"/>
      <c r="N16" s="175"/>
      <c r="O16" s="175"/>
      <c r="P16" s="175"/>
      <c r="Q16" s="175"/>
      <c r="R16" s="175"/>
      <c r="S16" s="175"/>
      <c r="T16" s="175"/>
      <c r="U16" s="175"/>
    </row>
    <row r="17" spans="2:21" x14ac:dyDescent="0.35">
      <c r="B17" s="175"/>
      <c r="C17" s="175"/>
      <c r="D17" s="175"/>
      <c r="E17" s="175"/>
      <c r="F17" s="175"/>
      <c r="G17" s="175"/>
      <c r="H17" s="175"/>
      <c r="I17" s="175"/>
      <c r="J17" s="175"/>
      <c r="K17" s="175"/>
      <c r="L17" s="175"/>
      <c r="M17" s="175"/>
      <c r="N17" s="175"/>
      <c r="O17" s="175"/>
      <c r="P17" s="175"/>
      <c r="Q17" s="175"/>
      <c r="R17" s="175"/>
      <c r="S17" s="175"/>
      <c r="T17" s="175"/>
      <c r="U17" s="175"/>
    </row>
    <row r="18" spans="2:21" x14ac:dyDescent="0.35">
      <c r="B18" s="175"/>
      <c r="C18" s="175"/>
      <c r="D18" s="175"/>
      <c r="E18" s="175"/>
      <c r="F18" s="175"/>
      <c r="G18" s="175"/>
      <c r="H18" s="175"/>
      <c r="I18" s="175"/>
      <c r="J18" s="175"/>
      <c r="K18" s="175"/>
      <c r="L18" s="175"/>
      <c r="M18" s="175"/>
      <c r="N18" s="175"/>
      <c r="O18" s="175"/>
      <c r="P18" s="175"/>
      <c r="Q18" s="175"/>
      <c r="R18" s="175"/>
      <c r="S18" s="175"/>
      <c r="T18" s="175"/>
      <c r="U18" s="175"/>
    </row>
    <row r="19" spans="2:21" x14ac:dyDescent="0.35">
      <c r="B19" s="175"/>
      <c r="C19" s="175"/>
      <c r="D19" s="175"/>
      <c r="E19" s="175"/>
      <c r="F19" s="175"/>
      <c r="G19" s="175"/>
      <c r="H19" s="175"/>
      <c r="I19" s="175"/>
      <c r="J19" s="175"/>
      <c r="K19" s="175"/>
      <c r="L19" s="175"/>
      <c r="M19" s="175"/>
      <c r="N19" s="175"/>
      <c r="O19" s="175"/>
      <c r="P19" s="175"/>
      <c r="Q19" s="175"/>
      <c r="R19" s="175"/>
      <c r="S19" s="175"/>
      <c r="T19" s="175"/>
      <c r="U19" s="175"/>
    </row>
    <row r="20" spans="2:21" x14ac:dyDescent="0.35">
      <c r="B20" s="175"/>
      <c r="C20" s="175"/>
      <c r="D20" s="175"/>
      <c r="E20" s="175"/>
      <c r="F20" s="175"/>
      <c r="G20" s="175"/>
      <c r="H20" s="175"/>
      <c r="I20" s="175"/>
      <c r="J20" s="175"/>
      <c r="K20" s="175"/>
      <c r="L20" s="175"/>
      <c r="M20" s="175"/>
      <c r="N20" s="175"/>
      <c r="O20" s="175"/>
      <c r="P20" s="175"/>
      <c r="Q20" s="175"/>
      <c r="R20" s="175"/>
      <c r="S20" s="175"/>
      <c r="T20" s="175"/>
      <c r="U20" s="175"/>
    </row>
    <row r="21" spans="2:21" x14ac:dyDescent="0.35">
      <c r="B21" s="175"/>
      <c r="C21" s="175"/>
      <c r="D21" s="175"/>
      <c r="E21" s="175"/>
      <c r="F21" s="175"/>
      <c r="G21" s="175"/>
      <c r="H21" s="175"/>
      <c r="I21" s="175"/>
      <c r="J21" s="175"/>
      <c r="K21" s="175"/>
      <c r="L21" s="175"/>
      <c r="M21" s="175"/>
      <c r="N21" s="175"/>
      <c r="O21" s="175"/>
      <c r="P21" s="175"/>
      <c r="Q21" s="175"/>
      <c r="R21" s="175"/>
      <c r="S21" s="175"/>
      <c r="T21" s="175"/>
      <c r="U21" s="175"/>
    </row>
    <row r="22" spans="2:21" x14ac:dyDescent="0.35">
      <c r="B22" s="175"/>
      <c r="C22" s="175"/>
      <c r="D22" s="175"/>
      <c r="E22" s="175"/>
      <c r="F22" s="175"/>
      <c r="G22" s="175"/>
      <c r="H22" s="175"/>
      <c r="I22" s="175"/>
      <c r="J22" s="175"/>
      <c r="K22" s="175"/>
      <c r="L22" s="175"/>
      <c r="M22" s="175"/>
      <c r="N22" s="175"/>
      <c r="O22" s="175"/>
      <c r="P22" s="175"/>
      <c r="Q22" s="175"/>
      <c r="R22" s="175"/>
      <c r="S22" s="175"/>
      <c r="T22" s="175"/>
      <c r="U22" s="175"/>
    </row>
    <row r="23" spans="2:21" x14ac:dyDescent="0.35">
      <c r="B23" s="175"/>
      <c r="C23" s="175"/>
      <c r="D23" s="175"/>
      <c r="E23" s="175"/>
      <c r="F23" s="175"/>
      <c r="G23" s="175"/>
      <c r="H23" s="175"/>
      <c r="I23" s="175"/>
      <c r="J23" s="175"/>
      <c r="K23" s="175"/>
      <c r="L23" s="175"/>
      <c r="M23" s="175"/>
      <c r="N23" s="175"/>
      <c r="O23" s="175"/>
      <c r="P23" s="175"/>
      <c r="Q23" s="175"/>
      <c r="R23" s="175"/>
      <c r="S23" s="175"/>
      <c r="T23" s="175"/>
      <c r="U23" s="175"/>
    </row>
    <row r="24" spans="2:21" x14ac:dyDescent="0.35">
      <c r="B24" s="175"/>
      <c r="C24" s="175"/>
      <c r="D24" s="175"/>
      <c r="E24" s="175"/>
      <c r="F24" s="175"/>
      <c r="G24" s="175"/>
      <c r="H24" s="175"/>
      <c r="I24" s="175"/>
      <c r="J24" s="175"/>
      <c r="K24" s="175"/>
      <c r="L24" s="175"/>
      <c r="M24" s="175"/>
      <c r="N24" s="175"/>
      <c r="O24" s="175"/>
      <c r="P24" s="175"/>
      <c r="Q24" s="175"/>
      <c r="R24" s="175"/>
      <c r="S24" s="175"/>
      <c r="T24" s="175"/>
      <c r="U24" s="175"/>
    </row>
    <row r="25" spans="2:21" x14ac:dyDescent="0.35">
      <c r="B25" s="175"/>
      <c r="C25" s="175"/>
      <c r="D25" s="175"/>
      <c r="E25" s="175"/>
      <c r="F25" s="175"/>
      <c r="G25" s="175"/>
      <c r="H25" s="175"/>
      <c r="I25" s="175"/>
      <c r="J25" s="175"/>
      <c r="K25" s="175"/>
      <c r="L25" s="175"/>
      <c r="M25" s="175"/>
      <c r="N25" s="175"/>
      <c r="O25" s="175"/>
      <c r="P25" s="175"/>
      <c r="Q25" s="175"/>
      <c r="R25" s="175"/>
      <c r="S25" s="175"/>
      <c r="T25" s="175"/>
      <c r="U25" s="175"/>
    </row>
    <row r="26" spans="2:21" x14ac:dyDescent="0.35">
      <c r="B26" s="175"/>
      <c r="C26" s="175"/>
      <c r="D26" s="175"/>
      <c r="E26" s="175"/>
      <c r="F26" s="175"/>
      <c r="G26" s="175"/>
      <c r="H26" s="175"/>
      <c r="I26" s="175"/>
      <c r="J26" s="175"/>
      <c r="K26" s="175"/>
      <c r="L26" s="175"/>
      <c r="M26" s="175"/>
      <c r="N26" s="175"/>
      <c r="O26" s="175"/>
      <c r="P26" s="175"/>
      <c r="Q26" s="175"/>
      <c r="R26" s="175"/>
      <c r="S26" s="175"/>
      <c r="T26" s="175"/>
      <c r="U26" s="175"/>
    </row>
    <row r="27" spans="2:21" x14ac:dyDescent="0.35">
      <c r="B27" s="175"/>
      <c r="C27" s="175"/>
      <c r="D27" s="175"/>
      <c r="E27" s="175"/>
      <c r="F27" s="175"/>
      <c r="G27" s="175"/>
      <c r="H27" s="175"/>
      <c r="I27" s="175"/>
      <c r="J27" s="175"/>
      <c r="K27" s="175"/>
      <c r="L27" s="175"/>
      <c r="M27" s="175"/>
      <c r="N27" s="175"/>
      <c r="O27" s="175"/>
      <c r="P27" s="175"/>
      <c r="Q27" s="175"/>
      <c r="R27" s="175"/>
      <c r="S27" s="175"/>
      <c r="T27" s="175"/>
      <c r="U27" s="175"/>
    </row>
    <row r="28" spans="2:21" x14ac:dyDescent="0.35">
      <c r="B28" s="175"/>
      <c r="C28" s="175"/>
      <c r="D28" s="175"/>
      <c r="E28" s="175"/>
      <c r="F28" s="175"/>
      <c r="G28" s="175"/>
      <c r="H28" s="175"/>
      <c r="I28" s="175"/>
      <c r="J28" s="175"/>
      <c r="K28" s="175"/>
      <c r="L28" s="175"/>
      <c r="M28" s="175"/>
      <c r="N28" s="175"/>
      <c r="O28" s="175"/>
      <c r="P28" s="175"/>
      <c r="Q28" s="175"/>
      <c r="R28" s="175"/>
      <c r="S28" s="175"/>
      <c r="T28" s="175"/>
      <c r="U28" s="175"/>
    </row>
    <row r="29" spans="2:21" x14ac:dyDescent="0.35">
      <c r="B29" s="175"/>
      <c r="C29" s="175"/>
      <c r="D29" s="175"/>
      <c r="E29" s="175"/>
      <c r="F29" s="175"/>
      <c r="G29" s="175"/>
      <c r="H29" s="175"/>
      <c r="I29" s="175"/>
      <c r="J29" s="175"/>
      <c r="K29" s="175"/>
      <c r="L29" s="175"/>
      <c r="M29" s="175"/>
      <c r="N29" s="175"/>
      <c r="O29" s="175"/>
      <c r="P29" s="175"/>
      <c r="Q29" s="175"/>
      <c r="R29" s="175"/>
      <c r="S29" s="175"/>
      <c r="T29" s="175"/>
      <c r="U29" s="175"/>
    </row>
    <row r="30" spans="2:21" x14ac:dyDescent="0.35">
      <c r="B30" s="175"/>
      <c r="C30" s="175"/>
      <c r="D30" s="175"/>
      <c r="E30" s="175"/>
      <c r="F30" s="175"/>
      <c r="G30" s="175"/>
      <c r="H30" s="175"/>
      <c r="I30" s="175"/>
      <c r="J30" s="175"/>
      <c r="K30" s="175"/>
      <c r="L30" s="175"/>
      <c r="M30" s="175"/>
      <c r="N30" s="175"/>
      <c r="O30" s="175"/>
      <c r="P30" s="175"/>
      <c r="Q30" s="175"/>
      <c r="R30" s="175"/>
      <c r="S30" s="175"/>
      <c r="T30" s="175"/>
      <c r="U30" s="175"/>
    </row>
    <row r="31" spans="2:21" x14ac:dyDescent="0.35">
      <c r="B31" s="175"/>
      <c r="C31" s="175"/>
      <c r="D31" s="175"/>
      <c r="E31" s="175"/>
      <c r="F31" s="175"/>
      <c r="G31" s="175"/>
      <c r="H31" s="175"/>
      <c r="I31" s="175"/>
      <c r="J31" s="175"/>
      <c r="K31" s="175"/>
      <c r="L31" s="175"/>
      <c r="M31" s="175"/>
      <c r="N31" s="175"/>
      <c r="O31" s="175"/>
      <c r="P31" s="175"/>
      <c r="Q31" s="175"/>
      <c r="R31" s="175"/>
      <c r="S31" s="175"/>
      <c r="T31" s="175"/>
      <c r="U31" s="175"/>
    </row>
    <row r="32" spans="2:21" x14ac:dyDescent="0.35">
      <c r="B32" s="175"/>
      <c r="C32" s="175"/>
      <c r="D32" s="175"/>
      <c r="E32" s="175"/>
      <c r="F32" s="175"/>
      <c r="G32" s="175"/>
      <c r="H32" s="175"/>
      <c r="I32" s="175"/>
      <c r="J32" s="175"/>
      <c r="K32" s="175"/>
      <c r="L32" s="175"/>
      <c r="M32" s="175"/>
      <c r="N32" s="175"/>
      <c r="O32" s="175"/>
      <c r="P32" s="175"/>
      <c r="Q32" s="175"/>
      <c r="R32" s="175"/>
      <c r="S32" s="175"/>
      <c r="T32" s="175"/>
      <c r="U32" s="175"/>
    </row>
    <row r="33" spans="2:21" x14ac:dyDescent="0.35">
      <c r="B33" s="175"/>
      <c r="C33" s="175"/>
      <c r="D33" s="175"/>
      <c r="E33" s="175"/>
      <c r="F33" s="175"/>
      <c r="G33" s="175"/>
      <c r="H33" s="175"/>
      <c r="I33" s="175"/>
      <c r="J33" s="175"/>
      <c r="K33" s="175"/>
      <c r="L33" s="175"/>
      <c r="M33" s="175"/>
      <c r="N33" s="175"/>
      <c r="O33" s="175"/>
      <c r="P33" s="175"/>
      <c r="Q33" s="175"/>
      <c r="R33" s="175"/>
      <c r="S33" s="175"/>
      <c r="T33" s="175"/>
      <c r="U33" s="175"/>
    </row>
    <row r="34" spans="2:21" x14ac:dyDescent="0.35">
      <c r="B34" s="175"/>
      <c r="C34" s="175"/>
      <c r="D34" s="175"/>
      <c r="E34" s="175"/>
      <c r="F34" s="175"/>
      <c r="G34" s="175"/>
      <c r="H34" s="175"/>
      <c r="I34" s="175"/>
      <c r="J34" s="175"/>
      <c r="K34" s="175"/>
      <c r="L34" s="175"/>
      <c r="M34" s="175"/>
      <c r="N34" s="175"/>
      <c r="O34" s="175"/>
      <c r="P34" s="175"/>
      <c r="Q34" s="175"/>
      <c r="R34" s="175"/>
      <c r="S34" s="175"/>
      <c r="T34" s="175"/>
      <c r="U34" s="175"/>
    </row>
    <row r="35" spans="2:21" x14ac:dyDescent="0.35">
      <c r="B35" s="175"/>
      <c r="C35" s="175"/>
      <c r="D35" s="175"/>
      <c r="E35" s="175"/>
      <c r="F35" s="175"/>
      <c r="G35" s="175"/>
      <c r="H35" s="175"/>
      <c r="I35" s="175"/>
      <c r="J35" s="175"/>
      <c r="K35" s="175"/>
      <c r="L35" s="175"/>
      <c r="M35" s="175"/>
      <c r="N35" s="175"/>
      <c r="O35" s="175"/>
      <c r="P35" s="175"/>
      <c r="Q35" s="175"/>
      <c r="R35" s="175"/>
      <c r="S35" s="175"/>
      <c r="T35" s="175"/>
      <c r="U35" s="175"/>
    </row>
    <row r="36" spans="2:21" x14ac:dyDescent="0.35">
      <c r="B36" s="175"/>
      <c r="C36" s="175"/>
      <c r="D36" s="175"/>
      <c r="E36" s="175"/>
      <c r="F36" s="175"/>
      <c r="G36" s="175"/>
      <c r="H36" s="175"/>
      <c r="I36" s="175"/>
      <c r="J36" s="175"/>
      <c r="K36" s="175"/>
      <c r="L36" s="175"/>
      <c r="M36" s="175"/>
      <c r="N36" s="175"/>
      <c r="O36" s="175"/>
      <c r="P36" s="175"/>
      <c r="Q36" s="175"/>
      <c r="R36" s="175"/>
      <c r="S36" s="175"/>
      <c r="T36" s="175"/>
      <c r="U36" s="175"/>
    </row>
    <row r="37" spans="2:21" x14ac:dyDescent="0.35">
      <c r="B37" s="175"/>
      <c r="C37" s="175"/>
      <c r="D37" s="175"/>
      <c r="E37" s="175"/>
      <c r="F37" s="175"/>
      <c r="G37" s="175"/>
      <c r="H37" s="175"/>
      <c r="I37" s="175"/>
      <c r="J37" s="175"/>
      <c r="K37" s="175"/>
      <c r="L37" s="175"/>
      <c r="M37" s="175"/>
      <c r="N37" s="175"/>
      <c r="O37" s="175"/>
      <c r="P37" s="175"/>
      <c r="Q37" s="175"/>
      <c r="R37" s="175"/>
      <c r="S37" s="175"/>
      <c r="T37" s="175"/>
      <c r="U37" s="175"/>
    </row>
    <row r="38" spans="2:21" x14ac:dyDescent="0.35">
      <c r="B38" s="175"/>
      <c r="C38" s="175"/>
      <c r="D38" s="175"/>
      <c r="E38" s="175"/>
      <c r="F38" s="175"/>
      <c r="G38" s="175"/>
      <c r="H38" s="175"/>
      <c r="I38" s="175"/>
      <c r="J38" s="175"/>
      <c r="K38" s="175"/>
      <c r="L38" s="175"/>
      <c r="M38" s="175"/>
      <c r="N38" s="175"/>
      <c r="O38" s="175"/>
      <c r="P38" s="175"/>
      <c r="Q38" s="175"/>
      <c r="R38" s="175"/>
      <c r="S38" s="175"/>
      <c r="T38" s="175"/>
      <c r="U38" s="175"/>
    </row>
    <row r="39" spans="2:21" x14ac:dyDescent="0.35">
      <c r="B39" s="175"/>
      <c r="C39" s="175"/>
      <c r="D39" s="175"/>
      <c r="E39" s="175"/>
      <c r="F39" s="175"/>
      <c r="G39" s="175"/>
      <c r="H39" s="175"/>
      <c r="I39" s="175"/>
      <c r="J39" s="175"/>
      <c r="K39" s="175"/>
      <c r="L39" s="175"/>
      <c r="M39" s="175"/>
      <c r="N39" s="175"/>
      <c r="O39" s="175"/>
      <c r="P39" s="175"/>
      <c r="Q39" s="175"/>
      <c r="R39" s="175"/>
      <c r="S39" s="175"/>
      <c r="T39" s="175"/>
      <c r="U39" s="175"/>
    </row>
    <row r="40" spans="2:21" x14ac:dyDescent="0.35">
      <c r="B40" s="175"/>
      <c r="C40" s="175"/>
      <c r="D40" s="175"/>
      <c r="E40" s="175"/>
      <c r="F40" s="175"/>
      <c r="G40" s="175"/>
      <c r="H40" s="175"/>
      <c r="I40" s="175"/>
      <c r="J40" s="175"/>
      <c r="K40" s="175"/>
      <c r="L40" s="175"/>
      <c r="M40" s="175"/>
      <c r="N40" s="175"/>
      <c r="O40" s="175"/>
      <c r="P40" s="175"/>
      <c r="Q40" s="175"/>
      <c r="R40" s="175"/>
      <c r="S40" s="175"/>
      <c r="T40" s="175"/>
      <c r="U40" s="175"/>
    </row>
    <row r="41" spans="2:21" x14ac:dyDescent="0.35">
      <c r="B41" s="175"/>
      <c r="C41" s="175"/>
      <c r="D41" s="175"/>
      <c r="E41" s="175"/>
      <c r="F41" s="175"/>
      <c r="G41" s="175"/>
      <c r="H41" s="175"/>
      <c r="I41" s="175"/>
      <c r="J41" s="175"/>
      <c r="K41" s="175"/>
      <c r="L41" s="175"/>
      <c r="M41" s="175"/>
      <c r="N41" s="175"/>
      <c r="O41" s="175"/>
      <c r="P41" s="175"/>
      <c r="Q41" s="175"/>
      <c r="R41" s="175"/>
      <c r="S41" s="175"/>
      <c r="T41" s="175"/>
      <c r="U41" s="175"/>
    </row>
    <row r="42" spans="2:21" x14ac:dyDescent="0.35">
      <c r="B42" s="175"/>
      <c r="C42" s="175"/>
      <c r="D42" s="175"/>
      <c r="E42" s="175"/>
      <c r="F42" s="175"/>
      <c r="G42" s="175"/>
      <c r="H42" s="175"/>
      <c r="I42" s="175"/>
      <c r="J42" s="175"/>
      <c r="K42" s="175"/>
      <c r="L42" s="175"/>
      <c r="M42" s="175"/>
      <c r="N42" s="175"/>
      <c r="O42" s="175"/>
      <c r="P42" s="175"/>
      <c r="Q42" s="175"/>
      <c r="R42" s="175"/>
      <c r="S42" s="175"/>
      <c r="T42" s="175"/>
      <c r="U42" s="175"/>
    </row>
    <row r="43" spans="2:21" x14ac:dyDescent="0.35">
      <c r="B43" s="175"/>
      <c r="C43" s="175"/>
      <c r="D43" s="175"/>
      <c r="E43" s="175"/>
      <c r="F43" s="175"/>
      <c r="G43" s="175"/>
      <c r="H43" s="175"/>
      <c r="I43" s="175"/>
      <c r="J43" s="175"/>
      <c r="K43" s="175"/>
      <c r="L43" s="175"/>
      <c r="M43" s="175"/>
      <c r="N43" s="175"/>
      <c r="O43" s="175"/>
      <c r="P43" s="175"/>
      <c r="Q43" s="175"/>
      <c r="R43" s="175"/>
      <c r="S43" s="175"/>
      <c r="T43" s="175"/>
      <c r="U43" s="175"/>
    </row>
    <row r="44" spans="2:21" x14ac:dyDescent="0.35">
      <c r="B44" s="175"/>
      <c r="C44" s="175"/>
      <c r="D44" s="175"/>
      <c r="E44" s="175"/>
      <c r="F44" s="175"/>
      <c r="G44" s="175"/>
      <c r="H44" s="175"/>
      <c r="I44" s="175"/>
      <c r="J44" s="175"/>
      <c r="K44" s="175"/>
      <c r="L44" s="175"/>
      <c r="M44" s="175"/>
      <c r="N44" s="175"/>
      <c r="O44" s="175"/>
      <c r="P44" s="175"/>
      <c r="Q44" s="175"/>
      <c r="R44" s="175"/>
      <c r="S44" s="175"/>
      <c r="T44" s="175"/>
      <c r="U44" s="175"/>
    </row>
    <row r="45" spans="2:21" x14ac:dyDescent="0.35">
      <c r="B45" s="175"/>
      <c r="C45" s="175"/>
      <c r="D45" s="175"/>
      <c r="E45" s="175"/>
      <c r="F45" s="175"/>
      <c r="G45" s="175"/>
      <c r="H45" s="175"/>
      <c r="I45" s="175"/>
      <c r="J45" s="175"/>
      <c r="K45" s="175"/>
      <c r="L45" s="175"/>
      <c r="M45" s="175"/>
      <c r="N45" s="175"/>
      <c r="O45" s="175"/>
      <c r="P45" s="175"/>
      <c r="Q45" s="175"/>
      <c r="R45" s="175"/>
      <c r="S45" s="175"/>
      <c r="T45" s="175"/>
      <c r="U45" s="175"/>
    </row>
    <row r="46" spans="2:21" x14ac:dyDescent="0.35">
      <c r="B46" s="175"/>
      <c r="C46" s="175"/>
      <c r="D46" s="175"/>
      <c r="E46" s="175"/>
      <c r="F46" s="175"/>
      <c r="G46" s="175"/>
      <c r="H46" s="175"/>
      <c r="I46" s="175"/>
      <c r="J46" s="175"/>
      <c r="K46" s="175"/>
      <c r="L46" s="175"/>
      <c r="M46" s="175"/>
      <c r="N46" s="175"/>
      <c r="O46" s="175"/>
      <c r="P46" s="175"/>
      <c r="Q46" s="175"/>
      <c r="R46" s="175"/>
      <c r="S46" s="175"/>
      <c r="T46" s="175"/>
      <c r="U46" s="175"/>
    </row>
    <row r="47" spans="2:21" x14ac:dyDescent="0.35">
      <c r="B47" s="175"/>
      <c r="C47" s="175"/>
      <c r="D47" s="175"/>
      <c r="E47" s="175"/>
      <c r="F47" s="175"/>
      <c r="G47" s="175"/>
      <c r="H47" s="175"/>
      <c r="I47" s="175"/>
      <c r="J47" s="175"/>
      <c r="K47" s="175"/>
      <c r="L47" s="175"/>
      <c r="M47" s="175"/>
      <c r="N47" s="175"/>
      <c r="O47" s="175"/>
      <c r="P47" s="175"/>
      <c r="Q47" s="175"/>
      <c r="R47" s="175"/>
      <c r="S47" s="175"/>
      <c r="T47" s="175"/>
      <c r="U47" s="175"/>
    </row>
    <row r="48" spans="2:21" x14ac:dyDescent="0.35">
      <c r="B48" s="175"/>
      <c r="C48" s="175"/>
      <c r="D48" s="175"/>
      <c r="E48" s="175"/>
      <c r="F48" s="175"/>
      <c r="G48" s="175"/>
      <c r="H48" s="175"/>
      <c r="I48" s="175"/>
      <c r="J48" s="175"/>
      <c r="K48" s="175"/>
      <c r="L48" s="175"/>
      <c r="M48" s="175"/>
      <c r="N48" s="175"/>
      <c r="O48" s="175"/>
      <c r="P48" s="175"/>
      <c r="Q48" s="175"/>
      <c r="R48" s="175"/>
      <c r="S48" s="175"/>
      <c r="T48" s="175"/>
      <c r="U48" s="175"/>
    </row>
    <row r="49" spans="2:21" x14ac:dyDescent="0.35">
      <c r="B49" s="175"/>
      <c r="C49" s="175"/>
      <c r="D49" s="175"/>
      <c r="E49" s="175"/>
      <c r="F49" s="175"/>
      <c r="G49" s="175"/>
      <c r="H49" s="175"/>
      <c r="I49" s="175"/>
      <c r="J49" s="175"/>
      <c r="K49" s="175"/>
      <c r="L49" s="175"/>
      <c r="M49" s="175"/>
      <c r="N49" s="175"/>
      <c r="O49" s="175"/>
      <c r="P49" s="175"/>
      <c r="Q49" s="175"/>
      <c r="R49" s="175"/>
      <c r="S49" s="175"/>
      <c r="T49" s="175"/>
      <c r="U49" s="175"/>
    </row>
    <row r="50" spans="2:21" x14ac:dyDescent="0.35">
      <c r="B50" s="175"/>
      <c r="C50" s="175"/>
      <c r="D50" s="175"/>
      <c r="E50" s="175"/>
      <c r="F50" s="175"/>
      <c r="G50" s="175"/>
      <c r="H50" s="175"/>
      <c r="I50" s="175"/>
      <c r="J50" s="175"/>
      <c r="K50" s="175"/>
      <c r="L50" s="175"/>
      <c r="M50" s="175"/>
      <c r="N50" s="175"/>
      <c r="O50" s="175"/>
      <c r="P50" s="175"/>
      <c r="Q50" s="175"/>
      <c r="R50" s="175"/>
      <c r="S50" s="175"/>
      <c r="T50" s="175"/>
      <c r="U50" s="175"/>
    </row>
    <row r="51" spans="2:21" x14ac:dyDescent="0.35">
      <c r="B51" s="175"/>
      <c r="C51" s="175"/>
      <c r="D51" s="175"/>
      <c r="E51" s="175"/>
      <c r="F51" s="175"/>
      <c r="G51" s="175"/>
      <c r="H51" s="175"/>
      <c r="I51" s="175"/>
      <c r="J51" s="175"/>
      <c r="K51" s="175"/>
      <c r="L51" s="175"/>
      <c r="M51" s="175"/>
      <c r="N51" s="175"/>
      <c r="O51" s="175"/>
      <c r="P51" s="175"/>
      <c r="Q51" s="175"/>
      <c r="R51" s="175"/>
      <c r="S51" s="175"/>
      <c r="T51" s="175"/>
      <c r="U51" s="175"/>
    </row>
    <row r="52" spans="2:21" x14ac:dyDescent="0.35">
      <c r="B52" s="175"/>
      <c r="C52" s="175"/>
      <c r="D52" s="175"/>
      <c r="E52" s="175"/>
      <c r="F52" s="175"/>
      <c r="G52" s="175"/>
      <c r="H52" s="175"/>
      <c r="I52" s="175"/>
      <c r="J52" s="175"/>
      <c r="K52" s="175"/>
      <c r="L52" s="175"/>
      <c r="M52" s="175"/>
      <c r="N52" s="175"/>
      <c r="O52" s="175"/>
      <c r="P52" s="175"/>
      <c r="Q52" s="175"/>
      <c r="R52" s="175"/>
      <c r="S52" s="175"/>
      <c r="T52" s="175"/>
      <c r="U52" s="175"/>
    </row>
    <row r="53" spans="2:21" x14ac:dyDescent="0.35">
      <c r="B53" s="175"/>
      <c r="C53" s="175"/>
      <c r="D53" s="175"/>
      <c r="E53" s="175"/>
      <c r="F53" s="175"/>
      <c r="G53" s="175"/>
      <c r="H53" s="175"/>
      <c r="I53" s="175"/>
      <c r="J53" s="175"/>
      <c r="K53" s="175"/>
      <c r="L53" s="175"/>
      <c r="M53" s="175"/>
      <c r="N53" s="175"/>
      <c r="O53" s="175"/>
      <c r="P53" s="175"/>
      <c r="Q53" s="175"/>
      <c r="R53" s="175"/>
      <c r="S53" s="175"/>
      <c r="T53" s="175"/>
      <c r="U53" s="175"/>
    </row>
    <row r="54" spans="2:21" x14ac:dyDescent="0.35">
      <c r="B54" s="175"/>
      <c r="C54" s="175"/>
      <c r="D54" s="175"/>
      <c r="E54" s="175"/>
      <c r="F54" s="175"/>
      <c r="G54" s="175"/>
      <c r="H54" s="175"/>
      <c r="I54" s="175"/>
      <c r="J54" s="175"/>
      <c r="K54" s="175"/>
      <c r="L54" s="175"/>
      <c r="M54" s="175"/>
      <c r="N54" s="175"/>
      <c r="O54" s="175"/>
      <c r="P54" s="175"/>
      <c r="Q54" s="175"/>
      <c r="R54" s="175"/>
      <c r="S54" s="175"/>
      <c r="T54" s="175"/>
      <c r="U54" s="175"/>
    </row>
    <row r="55" spans="2:21" x14ac:dyDescent="0.35">
      <c r="B55" s="175"/>
      <c r="C55" s="175"/>
      <c r="D55" s="175"/>
      <c r="E55" s="175"/>
      <c r="F55" s="175"/>
      <c r="G55" s="175"/>
      <c r="H55" s="175"/>
      <c r="I55" s="175"/>
      <c r="J55" s="175"/>
      <c r="K55" s="175"/>
      <c r="L55" s="175"/>
      <c r="M55" s="175"/>
      <c r="N55" s="175"/>
      <c r="O55" s="175"/>
      <c r="P55" s="175"/>
      <c r="Q55" s="175"/>
      <c r="R55" s="175"/>
      <c r="S55" s="175"/>
      <c r="T55" s="175"/>
      <c r="U55" s="175"/>
    </row>
    <row r="56" spans="2:21" x14ac:dyDescent="0.35">
      <c r="B56" s="175"/>
      <c r="C56" s="175"/>
      <c r="D56" s="175"/>
      <c r="E56" s="175"/>
      <c r="F56" s="175"/>
      <c r="G56" s="175"/>
      <c r="H56" s="175"/>
      <c r="I56" s="175"/>
      <c r="J56" s="175"/>
      <c r="K56" s="175"/>
      <c r="L56" s="175"/>
      <c r="M56" s="175"/>
      <c r="N56" s="175"/>
      <c r="O56" s="175"/>
      <c r="P56" s="175"/>
      <c r="Q56" s="175"/>
      <c r="R56" s="175"/>
      <c r="S56" s="175"/>
      <c r="T56" s="175"/>
      <c r="U56" s="175"/>
    </row>
    <row r="57" spans="2:21" x14ac:dyDescent="0.35">
      <c r="B57" s="175"/>
      <c r="C57" s="175"/>
      <c r="D57" s="175"/>
      <c r="E57" s="175"/>
      <c r="F57" s="175"/>
      <c r="G57" s="175"/>
      <c r="H57" s="175"/>
      <c r="I57" s="175"/>
      <c r="J57" s="175"/>
      <c r="K57" s="175"/>
      <c r="L57" s="175"/>
      <c r="M57" s="175"/>
      <c r="N57" s="175"/>
      <c r="O57" s="175"/>
      <c r="P57" s="175"/>
      <c r="Q57" s="175"/>
      <c r="R57" s="175"/>
      <c r="S57" s="175"/>
      <c r="T57" s="175"/>
      <c r="U57" s="175"/>
    </row>
    <row r="58" spans="2:21" x14ac:dyDescent="0.35">
      <c r="B58" s="175"/>
      <c r="C58" s="175"/>
      <c r="D58" s="175"/>
      <c r="E58" s="175"/>
      <c r="F58" s="175"/>
      <c r="G58" s="175"/>
      <c r="H58" s="175"/>
      <c r="I58" s="175"/>
      <c r="J58" s="175"/>
      <c r="K58" s="175"/>
      <c r="L58" s="175"/>
      <c r="M58" s="175"/>
      <c r="N58" s="175"/>
      <c r="O58" s="175"/>
      <c r="P58" s="175"/>
      <c r="Q58" s="175"/>
      <c r="R58" s="175"/>
      <c r="S58" s="175"/>
      <c r="T58" s="175"/>
      <c r="U58" s="175"/>
    </row>
    <row r="59" spans="2:21" x14ac:dyDescent="0.35">
      <c r="B59" s="175"/>
      <c r="C59" s="175"/>
      <c r="D59" s="175"/>
      <c r="E59" s="175"/>
      <c r="F59" s="175"/>
      <c r="G59" s="175"/>
      <c r="H59" s="175"/>
      <c r="I59" s="175"/>
      <c r="J59" s="175"/>
      <c r="K59" s="175"/>
      <c r="L59" s="175"/>
      <c r="M59" s="175"/>
      <c r="N59" s="175"/>
      <c r="O59" s="175"/>
      <c r="P59" s="175"/>
      <c r="Q59" s="175"/>
      <c r="R59" s="175"/>
      <c r="S59" s="175"/>
      <c r="T59" s="175"/>
      <c r="U59" s="175"/>
    </row>
    <row r="60" spans="2:21" x14ac:dyDescent="0.35">
      <c r="B60" s="175"/>
      <c r="C60" s="175"/>
      <c r="D60" s="175"/>
      <c r="E60" s="175"/>
      <c r="F60" s="175"/>
      <c r="G60" s="175"/>
      <c r="H60" s="175"/>
      <c r="I60" s="175"/>
      <c r="J60" s="175"/>
      <c r="K60" s="175"/>
      <c r="L60" s="175"/>
      <c r="M60" s="175"/>
      <c r="N60" s="175"/>
      <c r="O60" s="175"/>
      <c r="P60" s="175"/>
      <c r="Q60" s="175"/>
      <c r="R60" s="175"/>
      <c r="S60" s="175"/>
      <c r="T60" s="175"/>
      <c r="U60" s="175"/>
    </row>
    <row r="61" spans="2:21" x14ac:dyDescent="0.35">
      <c r="B61" s="175"/>
      <c r="C61" s="175"/>
      <c r="D61" s="175"/>
      <c r="E61" s="175"/>
      <c r="F61" s="175"/>
      <c r="G61" s="175"/>
      <c r="H61" s="175"/>
      <c r="I61" s="175"/>
      <c r="J61" s="175"/>
      <c r="K61" s="175"/>
      <c r="L61" s="175"/>
      <c r="M61" s="175"/>
      <c r="N61" s="175"/>
      <c r="O61" s="175"/>
      <c r="P61" s="175"/>
      <c r="Q61" s="175"/>
      <c r="R61" s="175"/>
      <c r="S61" s="175"/>
      <c r="T61" s="175"/>
      <c r="U61" s="175"/>
    </row>
    <row r="62" spans="2:21" x14ac:dyDescent="0.35">
      <c r="B62" s="175"/>
      <c r="C62" s="175"/>
      <c r="D62" s="175"/>
      <c r="E62" s="175"/>
      <c r="F62" s="175"/>
      <c r="G62" s="175"/>
      <c r="H62" s="175"/>
      <c r="I62" s="175"/>
      <c r="J62" s="175"/>
      <c r="K62" s="175"/>
      <c r="L62" s="175"/>
      <c r="M62" s="175"/>
      <c r="N62" s="175"/>
      <c r="O62" s="175"/>
      <c r="P62" s="175"/>
      <c r="Q62" s="175"/>
      <c r="R62" s="175"/>
      <c r="S62" s="175"/>
      <c r="T62" s="175"/>
      <c r="U62" s="175"/>
    </row>
    <row r="63" spans="2:21" x14ac:dyDescent="0.35">
      <c r="B63" s="175"/>
      <c r="C63" s="175"/>
      <c r="D63" s="175"/>
      <c r="E63" s="175"/>
      <c r="F63" s="175"/>
      <c r="G63" s="175"/>
      <c r="H63" s="175"/>
      <c r="I63" s="175"/>
      <c r="J63" s="175"/>
      <c r="K63" s="175"/>
      <c r="L63" s="175"/>
      <c r="M63" s="175"/>
      <c r="N63" s="175"/>
      <c r="O63" s="175"/>
      <c r="P63" s="175"/>
      <c r="Q63" s="175"/>
      <c r="R63" s="175"/>
      <c r="S63" s="175"/>
      <c r="T63" s="175"/>
      <c r="U63" s="175"/>
    </row>
    <row r="64" spans="2:21" x14ac:dyDescent="0.35">
      <c r="B64" s="175"/>
      <c r="C64" s="175"/>
      <c r="D64" s="175"/>
      <c r="E64" s="175"/>
      <c r="F64" s="175"/>
      <c r="G64" s="175"/>
      <c r="H64" s="175"/>
      <c r="I64" s="175"/>
      <c r="J64" s="175"/>
      <c r="K64" s="175"/>
      <c r="L64" s="175"/>
      <c r="M64" s="175"/>
      <c r="N64" s="175"/>
      <c r="O64" s="175"/>
      <c r="P64" s="175"/>
      <c r="Q64" s="175"/>
      <c r="R64" s="175"/>
      <c r="S64" s="175"/>
      <c r="T64" s="175"/>
      <c r="U64" s="175"/>
    </row>
    <row r="65" spans="2:21" x14ac:dyDescent="0.35">
      <c r="B65" s="175"/>
      <c r="C65" s="175"/>
      <c r="D65" s="175"/>
      <c r="E65" s="175"/>
      <c r="F65" s="175"/>
      <c r="G65" s="175"/>
      <c r="H65" s="175"/>
      <c r="I65" s="175"/>
      <c r="J65" s="175"/>
      <c r="K65" s="175"/>
      <c r="L65" s="175"/>
      <c r="M65" s="175"/>
      <c r="N65" s="175"/>
      <c r="O65" s="175"/>
      <c r="P65" s="175"/>
      <c r="Q65" s="175"/>
      <c r="R65" s="175"/>
      <c r="S65" s="175"/>
      <c r="T65" s="175"/>
      <c r="U65" s="175"/>
    </row>
    <row r="66" spans="2:21" x14ac:dyDescent="0.35">
      <c r="B66" s="175"/>
      <c r="C66" s="175"/>
      <c r="D66" s="175"/>
      <c r="E66" s="175"/>
      <c r="F66" s="175"/>
      <c r="G66" s="175"/>
      <c r="H66" s="175"/>
      <c r="I66" s="175"/>
      <c r="J66" s="175"/>
      <c r="K66" s="175"/>
      <c r="L66" s="175"/>
      <c r="M66" s="175"/>
      <c r="N66" s="175"/>
      <c r="O66" s="175"/>
      <c r="P66" s="175"/>
      <c r="Q66" s="175"/>
      <c r="R66" s="175"/>
      <c r="S66" s="175"/>
      <c r="T66" s="175"/>
      <c r="U66" s="175"/>
    </row>
    <row r="67" spans="2:21" x14ac:dyDescent="0.35">
      <c r="B67" s="175"/>
      <c r="C67" s="175"/>
      <c r="D67" s="175"/>
      <c r="E67" s="175"/>
      <c r="F67" s="175"/>
      <c r="G67" s="175"/>
      <c r="H67" s="175"/>
      <c r="I67" s="175"/>
      <c r="J67" s="175"/>
      <c r="K67" s="175"/>
      <c r="L67" s="175"/>
      <c r="M67" s="175"/>
      <c r="N67" s="175"/>
      <c r="O67" s="175"/>
      <c r="P67" s="175"/>
      <c r="Q67" s="175"/>
      <c r="R67" s="175"/>
      <c r="S67" s="175"/>
      <c r="T67" s="175"/>
      <c r="U67" s="175"/>
    </row>
    <row r="68" spans="2:21" x14ac:dyDescent="0.35">
      <c r="B68" s="175"/>
      <c r="C68" s="175"/>
      <c r="D68" s="175"/>
      <c r="E68" s="175"/>
      <c r="F68" s="175"/>
      <c r="G68" s="175"/>
      <c r="H68" s="175"/>
      <c r="I68" s="175"/>
      <c r="J68" s="175"/>
      <c r="K68" s="175"/>
      <c r="L68" s="175"/>
      <c r="M68" s="175"/>
      <c r="N68" s="175"/>
      <c r="O68" s="175"/>
      <c r="P68" s="175"/>
      <c r="Q68" s="175"/>
      <c r="R68" s="175"/>
      <c r="S68" s="175"/>
      <c r="T68" s="175"/>
      <c r="U68" s="175"/>
    </row>
    <row r="69" spans="2:21" x14ac:dyDescent="0.35">
      <c r="B69" s="175"/>
      <c r="C69" s="175"/>
      <c r="D69" s="175"/>
      <c r="E69" s="175"/>
      <c r="F69" s="175"/>
      <c r="G69" s="175"/>
      <c r="H69" s="175"/>
      <c r="I69" s="175"/>
      <c r="J69" s="175"/>
      <c r="K69" s="175"/>
      <c r="L69" s="175"/>
      <c r="M69" s="175"/>
      <c r="N69" s="175"/>
      <c r="O69" s="175"/>
      <c r="P69" s="175"/>
      <c r="Q69" s="175"/>
      <c r="R69" s="175"/>
      <c r="S69" s="175"/>
      <c r="T69" s="175"/>
      <c r="U69" s="175"/>
    </row>
    <row r="70" spans="2:21" x14ac:dyDescent="0.35">
      <c r="B70" s="175"/>
      <c r="C70" s="175"/>
      <c r="D70" s="175"/>
      <c r="E70" s="175"/>
      <c r="F70" s="175"/>
      <c r="G70" s="175"/>
      <c r="H70" s="175"/>
      <c r="I70" s="175"/>
      <c r="J70" s="175"/>
      <c r="K70" s="175"/>
      <c r="L70" s="175"/>
      <c r="M70" s="175"/>
      <c r="N70" s="175"/>
      <c r="O70" s="175"/>
      <c r="P70" s="175"/>
      <c r="Q70" s="175"/>
      <c r="R70" s="175"/>
      <c r="S70" s="175"/>
      <c r="T70" s="175"/>
      <c r="U70" s="175"/>
    </row>
    <row r="71" spans="2:21" x14ac:dyDescent="0.35">
      <c r="B71" s="175"/>
      <c r="C71" s="175"/>
      <c r="D71" s="175"/>
      <c r="E71" s="175"/>
      <c r="F71" s="175"/>
      <c r="G71" s="175"/>
      <c r="H71" s="175"/>
      <c r="I71" s="175"/>
      <c r="J71" s="175"/>
      <c r="K71" s="175"/>
      <c r="L71" s="175"/>
      <c r="M71" s="175"/>
      <c r="N71" s="175"/>
      <c r="O71" s="175"/>
      <c r="P71" s="175"/>
      <c r="Q71" s="175"/>
      <c r="R71" s="175"/>
      <c r="S71" s="175"/>
      <c r="T71" s="175"/>
      <c r="U71" s="175"/>
    </row>
    <row r="72" spans="2:21" x14ac:dyDescent="0.35">
      <c r="B72" s="175"/>
      <c r="C72" s="175"/>
      <c r="D72" s="175"/>
      <c r="E72" s="175"/>
      <c r="F72" s="175"/>
      <c r="G72" s="175"/>
      <c r="H72" s="175"/>
      <c r="I72" s="175"/>
      <c r="J72" s="175"/>
      <c r="K72" s="175"/>
      <c r="L72" s="175"/>
      <c r="M72" s="175"/>
      <c r="N72" s="175"/>
      <c r="O72" s="175"/>
      <c r="P72" s="175"/>
      <c r="Q72" s="175"/>
      <c r="R72" s="175"/>
      <c r="S72" s="175"/>
      <c r="T72" s="175"/>
      <c r="U72" s="175"/>
    </row>
    <row r="73" spans="2:21" x14ac:dyDescent="0.35">
      <c r="B73" s="175"/>
      <c r="C73" s="175"/>
      <c r="D73" s="175"/>
      <c r="E73" s="175"/>
      <c r="F73" s="175"/>
      <c r="G73" s="175"/>
      <c r="H73" s="175"/>
      <c r="I73" s="175"/>
      <c r="J73" s="175"/>
      <c r="K73" s="175"/>
      <c r="L73" s="175"/>
      <c r="M73" s="175"/>
      <c r="N73" s="175"/>
      <c r="O73" s="175"/>
      <c r="P73" s="175"/>
      <c r="Q73" s="175"/>
      <c r="R73" s="175"/>
      <c r="S73" s="175"/>
      <c r="T73" s="175"/>
      <c r="U73" s="175"/>
    </row>
    <row r="74" spans="2:21" x14ac:dyDescent="0.35">
      <c r="B74" s="175"/>
      <c r="C74" s="175"/>
      <c r="D74" s="175"/>
      <c r="E74" s="175"/>
      <c r="F74" s="175"/>
      <c r="G74" s="175"/>
      <c r="H74" s="175"/>
      <c r="I74" s="175"/>
      <c r="J74" s="175"/>
      <c r="K74" s="175"/>
      <c r="L74" s="175"/>
      <c r="M74" s="175"/>
      <c r="N74" s="175"/>
      <c r="O74" s="175"/>
      <c r="P74" s="175"/>
      <c r="Q74" s="175"/>
      <c r="R74" s="175"/>
      <c r="S74" s="175"/>
      <c r="T74" s="175"/>
      <c r="U74" s="175"/>
    </row>
    <row r="75" spans="2:21" x14ac:dyDescent="0.35">
      <c r="B75" s="175"/>
      <c r="C75" s="175"/>
      <c r="D75" s="175"/>
      <c r="E75" s="175"/>
      <c r="F75" s="175"/>
      <c r="G75" s="175"/>
      <c r="H75" s="175"/>
      <c r="I75" s="175"/>
      <c r="J75" s="175"/>
      <c r="K75" s="175"/>
      <c r="L75" s="175"/>
      <c r="M75" s="175"/>
      <c r="N75" s="175"/>
      <c r="O75" s="175"/>
      <c r="P75" s="175"/>
      <c r="Q75" s="175"/>
      <c r="R75" s="175"/>
      <c r="S75" s="175"/>
      <c r="T75" s="175"/>
      <c r="U75" s="175"/>
    </row>
    <row r="76" spans="2:21" x14ac:dyDescent="0.35">
      <c r="B76" s="175"/>
      <c r="C76" s="175"/>
      <c r="D76" s="175"/>
      <c r="E76" s="175"/>
      <c r="F76" s="175"/>
      <c r="G76" s="175"/>
      <c r="H76" s="175"/>
      <c r="I76" s="175"/>
      <c r="J76" s="175"/>
      <c r="K76" s="175"/>
      <c r="L76" s="175"/>
      <c r="M76" s="175"/>
      <c r="N76" s="175"/>
      <c r="O76" s="175"/>
      <c r="P76" s="175"/>
      <c r="Q76" s="175"/>
      <c r="R76" s="175"/>
      <c r="S76" s="175"/>
      <c r="T76" s="175"/>
      <c r="U76" s="175"/>
    </row>
    <row r="77" spans="2:21" x14ac:dyDescent="0.35">
      <c r="B77" s="175"/>
      <c r="C77" s="175"/>
      <c r="D77" s="175"/>
      <c r="E77" s="175"/>
      <c r="F77" s="175"/>
      <c r="G77" s="175"/>
      <c r="H77" s="175"/>
      <c r="I77" s="175"/>
      <c r="J77" s="175"/>
      <c r="K77" s="175"/>
      <c r="L77" s="175"/>
      <c r="M77" s="175"/>
      <c r="N77" s="175"/>
      <c r="O77" s="175"/>
      <c r="P77" s="175"/>
      <c r="Q77" s="175"/>
      <c r="R77" s="175"/>
      <c r="S77" s="175"/>
      <c r="T77" s="175"/>
      <c r="U77" s="175"/>
    </row>
    <row r="78" spans="2:21" x14ac:dyDescent="0.35">
      <c r="B78" s="175"/>
      <c r="C78" s="175"/>
      <c r="D78" s="175"/>
      <c r="E78" s="175"/>
      <c r="F78" s="175"/>
      <c r="G78" s="175"/>
      <c r="H78" s="175"/>
      <c r="I78" s="175"/>
      <c r="J78" s="175"/>
      <c r="K78" s="175"/>
      <c r="L78" s="175"/>
      <c r="M78" s="175"/>
      <c r="N78" s="175"/>
      <c r="O78" s="175"/>
      <c r="P78" s="175"/>
      <c r="Q78" s="175"/>
      <c r="R78" s="175"/>
      <c r="S78" s="175"/>
      <c r="T78" s="175"/>
      <c r="U78" s="175"/>
    </row>
    <row r="79" spans="2:21" x14ac:dyDescent="0.35">
      <c r="B79" s="175"/>
      <c r="C79" s="175"/>
      <c r="D79" s="175"/>
      <c r="E79" s="175"/>
      <c r="F79" s="175"/>
      <c r="G79" s="175"/>
      <c r="H79" s="175"/>
      <c r="I79" s="175"/>
      <c r="J79" s="175"/>
      <c r="K79" s="175"/>
      <c r="L79" s="175"/>
      <c r="M79" s="175"/>
      <c r="N79" s="175"/>
      <c r="O79" s="175"/>
      <c r="P79" s="175"/>
      <c r="Q79" s="175"/>
      <c r="R79" s="175"/>
      <c r="S79" s="175"/>
      <c r="T79" s="175"/>
      <c r="U79" s="175"/>
    </row>
    <row r="80" spans="2:21" x14ac:dyDescent="0.35">
      <c r="B80" s="175"/>
      <c r="C80" s="175"/>
      <c r="D80" s="175"/>
      <c r="E80" s="175"/>
      <c r="F80" s="175"/>
      <c r="G80" s="175"/>
      <c r="H80" s="175"/>
      <c r="I80" s="175"/>
      <c r="J80" s="175"/>
      <c r="K80" s="175"/>
      <c r="L80" s="175"/>
      <c r="M80" s="175"/>
      <c r="N80" s="175"/>
      <c r="O80" s="175"/>
      <c r="P80" s="175"/>
      <c r="Q80" s="175"/>
      <c r="R80" s="175"/>
      <c r="S80" s="175"/>
      <c r="T80" s="175"/>
      <c r="U80" s="175"/>
    </row>
    <row r="81" spans="2:21" x14ac:dyDescent="0.35">
      <c r="B81" s="175"/>
      <c r="C81" s="175"/>
      <c r="D81" s="175"/>
      <c r="E81" s="175"/>
      <c r="F81" s="175"/>
      <c r="G81" s="175"/>
      <c r="H81" s="175"/>
      <c r="I81" s="175"/>
      <c r="J81" s="175"/>
      <c r="K81" s="175"/>
      <c r="L81" s="175"/>
      <c r="M81" s="175"/>
      <c r="N81" s="175"/>
      <c r="O81" s="175"/>
      <c r="P81" s="175"/>
      <c r="Q81" s="175"/>
      <c r="R81" s="175"/>
      <c r="S81" s="175"/>
      <c r="T81" s="175"/>
      <c r="U81" s="175"/>
    </row>
    <row r="82" spans="2:21" x14ac:dyDescent="0.35">
      <c r="B82" s="175"/>
      <c r="C82" s="175"/>
      <c r="D82" s="175"/>
      <c r="E82" s="175"/>
      <c r="F82" s="175"/>
      <c r="G82" s="175"/>
      <c r="H82" s="175"/>
      <c r="I82" s="175"/>
      <c r="J82" s="175"/>
      <c r="K82" s="175"/>
      <c r="L82" s="175"/>
      <c r="M82" s="175"/>
      <c r="N82" s="175"/>
      <c r="O82" s="175"/>
      <c r="P82" s="175"/>
      <c r="Q82" s="175"/>
      <c r="R82" s="175"/>
      <c r="S82" s="175"/>
      <c r="T82" s="175"/>
      <c r="U82" s="175"/>
    </row>
    <row r="83" spans="2:21" x14ac:dyDescent="0.35">
      <c r="B83" s="175"/>
      <c r="C83" s="175"/>
      <c r="D83" s="175"/>
      <c r="E83" s="175"/>
      <c r="F83" s="175"/>
      <c r="G83" s="175"/>
      <c r="H83" s="175"/>
      <c r="I83" s="175"/>
      <c r="J83" s="175"/>
      <c r="K83" s="175"/>
      <c r="L83" s="175"/>
      <c r="M83" s="175"/>
      <c r="N83" s="175"/>
      <c r="O83" s="175"/>
      <c r="P83" s="175"/>
      <c r="Q83" s="175"/>
      <c r="R83" s="175"/>
      <c r="S83" s="175"/>
      <c r="T83" s="175"/>
      <c r="U83" s="175"/>
    </row>
    <row r="84" spans="2:21" x14ac:dyDescent="0.35">
      <c r="B84" s="175"/>
      <c r="C84" s="175"/>
      <c r="D84" s="175"/>
      <c r="E84" s="175"/>
      <c r="F84" s="175"/>
      <c r="G84" s="175"/>
      <c r="H84" s="175"/>
      <c r="I84" s="175"/>
      <c r="J84" s="175"/>
      <c r="K84" s="175"/>
      <c r="L84" s="175"/>
      <c r="M84" s="175"/>
      <c r="N84" s="175"/>
      <c r="O84" s="175"/>
      <c r="P84" s="175"/>
      <c r="Q84" s="175"/>
      <c r="R84" s="175"/>
      <c r="S84" s="175"/>
      <c r="T84" s="175"/>
      <c r="U84" s="175"/>
    </row>
    <row r="85" spans="2:21" x14ac:dyDescent="0.35">
      <c r="B85" s="175"/>
      <c r="C85" s="175"/>
      <c r="D85" s="175"/>
      <c r="E85" s="175"/>
      <c r="F85" s="175"/>
      <c r="G85" s="175"/>
      <c r="H85" s="175"/>
      <c r="I85" s="175"/>
      <c r="J85" s="175"/>
      <c r="K85" s="175"/>
      <c r="L85" s="175"/>
      <c r="M85" s="175"/>
      <c r="N85" s="175"/>
      <c r="O85" s="175"/>
      <c r="P85" s="175"/>
      <c r="Q85" s="175"/>
      <c r="R85" s="175"/>
      <c r="S85" s="175"/>
      <c r="T85" s="175"/>
      <c r="U85" s="175"/>
    </row>
    <row r="86" spans="2:21" x14ac:dyDescent="0.35">
      <c r="B86" s="175"/>
      <c r="C86" s="175"/>
      <c r="D86" s="175"/>
      <c r="E86" s="175"/>
      <c r="F86" s="175"/>
      <c r="G86" s="175"/>
      <c r="H86" s="175"/>
      <c r="I86" s="175"/>
      <c r="J86" s="175"/>
      <c r="K86" s="175"/>
      <c r="L86" s="175"/>
      <c r="M86" s="175"/>
      <c r="N86" s="175"/>
      <c r="O86" s="175"/>
      <c r="P86" s="175"/>
      <c r="Q86" s="175"/>
      <c r="R86" s="175"/>
      <c r="S86" s="175"/>
      <c r="T86" s="175"/>
      <c r="U86" s="175"/>
    </row>
    <row r="87" spans="2:21" x14ac:dyDescent="0.35">
      <c r="B87" s="175"/>
      <c r="C87" s="175"/>
      <c r="D87" s="175"/>
      <c r="E87" s="175"/>
      <c r="F87" s="175"/>
      <c r="G87" s="175"/>
      <c r="H87" s="175"/>
      <c r="I87" s="175"/>
      <c r="J87" s="175"/>
      <c r="K87" s="175"/>
      <c r="L87" s="175"/>
      <c r="M87" s="175"/>
      <c r="N87" s="175"/>
      <c r="O87" s="175"/>
      <c r="P87" s="175"/>
      <c r="Q87" s="175"/>
      <c r="R87" s="175"/>
      <c r="S87" s="175"/>
      <c r="T87" s="175"/>
      <c r="U87" s="175"/>
    </row>
    <row r="88" spans="2:21" x14ac:dyDescent="0.35">
      <c r="B88" s="175"/>
      <c r="C88" s="175"/>
      <c r="D88" s="175"/>
      <c r="E88" s="175"/>
      <c r="F88" s="175"/>
      <c r="G88" s="175"/>
      <c r="H88" s="175"/>
      <c r="I88" s="175"/>
      <c r="J88" s="175"/>
      <c r="K88" s="175"/>
      <c r="L88" s="175"/>
      <c r="M88" s="175"/>
      <c r="N88" s="175"/>
      <c r="O88" s="175"/>
      <c r="P88" s="175"/>
      <c r="Q88" s="175"/>
      <c r="R88" s="175"/>
      <c r="S88" s="175"/>
      <c r="T88" s="175"/>
      <c r="U88" s="175"/>
    </row>
    <row r="89" spans="2:21" x14ac:dyDescent="0.35">
      <c r="B89" s="175"/>
      <c r="C89" s="175"/>
      <c r="D89" s="175"/>
      <c r="E89" s="175"/>
      <c r="F89" s="175"/>
      <c r="G89" s="175"/>
      <c r="H89" s="175"/>
      <c r="I89" s="175"/>
      <c r="J89" s="175"/>
      <c r="K89" s="175"/>
      <c r="L89" s="175"/>
      <c r="M89" s="175"/>
      <c r="N89" s="175"/>
      <c r="O89" s="175"/>
      <c r="P89" s="175"/>
      <c r="Q89" s="175"/>
      <c r="R89" s="175"/>
      <c r="S89" s="175"/>
      <c r="T89" s="175"/>
      <c r="U89" s="175"/>
    </row>
    <row r="90" spans="2:21" x14ac:dyDescent="0.35">
      <c r="B90" s="175"/>
      <c r="C90" s="175"/>
      <c r="D90" s="175"/>
      <c r="E90" s="175"/>
      <c r="F90" s="175"/>
      <c r="G90" s="175"/>
      <c r="H90" s="175"/>
      <c r="I90" s="175"/>
      <c r="J90" s="175"/>
      <c r="K90" s="175"/>
      <c r="L90" s="175"/>
      <c r="M90" s="175"/>
      <c r="N90" s="175"/>
      <c r="O90" s="175"/>
      <c r="P90" s="175"/>
      <c r="Q90" s="175"/>
      <c r="R90" s="175"/>
      <c r="S90" s="175"/>
      <c r="T90" s="175"/>
      <c r="U90" s="175"/>
    </row>
    <row r="91" spans="2:21" x14ac:dyDescent="0.35">
      <c r="B91" s="175"/>
      <c r="C91" s="175"/>
      <c r="D91" s="175"/>
      <c r="E91" s="175"/>
      <c r="F91" s="175"/>
      <c r="G91" s="175"/>
      <c r="H91" s="175"/>
      <c r="I91" s="175"/>
      <c r="J91" s="175"/>
      <c r="K91" s="175"/>
      <c r="L91" s="175"/>
      <c r="M91" s="175"/>
      <c r="N91" s="175"/>
      <c r="O91" s="175"/>
      <c r="P91" s="175"/>
      <c r="Q91" s="175"/>
      <c r="R91" s="175"/>
      <c r="S91" s="175"/>
      <c r="T91" s="175"/>
      <c r="U91" s="175"/>
    </row>
    <row r="92" spans="2:21" x14ac:dyDescent="0.35">
      <c r="B92" s="175"/>
      <c r="C92" s="175"/>
      <c r="D92" s="175"/>
      <c r="E92" s="175"/>
      <c r="F92" s="175"/>
      <c r="G92" s="175"/>
      <c r="H92" s="175"/>
      <c r="I92" s="175"/>
      <c r="J92" s="175"/>
      <c r="K92" s="175"/>
      <c r="L92" s="175"/>
      <c r="M92" s="175"/>
      <c r="N92" s="175"/>
      <c r="O92" s="175"/>
      <c r="P92" s="175"/>
      <c r="Q92" s="175"/>
      <c r="R92" s="175"/>
      <c r="S92" s="175"/>
      <c r="T92" s="175"/>
      <c r="U92" s="175"/>
    </row>
    <row r="93" spans="2:21" x14ac:dyDescent="0.35">
      <c r="B93" s="175"/>
      <c r="C93" s="175"/>
      <c r="D93" s="175"/>
      <c r="E93" s="175"/>
      <c r="F93" s="175"/>
      <c r="G93" s="175"/>
      <c r="H93" s="175"/>
      <c r="I93" s="175"/>
      <c r="J93" s="175"/>
      <c r="K93" s="175"/>
      <c r="L93" s="175"/>
      <c r="M93" s="175"/>
      <c r="N93" s="175"/>
      <c r="O93" s="175"/>
      <c r="P93" s="175"/>
      <c r="Q93" s="175"/>
      <c r="R93" s="175"/>
      <c r="S93" s="175"/>
      <c r="T93" s="175"/>
      <c r="U93" s="175"/>
    </row>
    <row r="94" spans="2:21" x14ac:dyDescent="0.35">
      <c r="B94" s="175"/>
      <c r="C94" s="175"/>
      <c r="D94" s="175"/>
      <c r="E94" s="175"/>
      <c r="F94" s="175"/>
      <c r="G94" s="175"/>
      <c r="H94" s="175"/>
      <c r="I94" s="175"/>
      <c r="J94" s="175"/>
      <c r="K94" s="175"/>
      <c r="L94" s="175"/>
      <c r="M94" s="175"/>
      <c r="N94" s="175"/>
      <c r="O94" s="175"/>
      <c r="P94" s="175"/>
      <c r="Q94" s="175"/>
      <c r="R94" s="175"/>
      <c r="S94" s="175"/>
      <c r="T94" s="175"/>
      <c r="U94" s="175"/>
    </row>
    <row r="95" spans="2:21" x14ac:dyDescent="0.35">
      <c r="B95" s="175"/>
      <c r="C95" s="175"/>
      <c r="D95" s="175"/>
      <c r="E95" s="175"/>
      <c r="F95" s="175"/>
      <c r="G95" s="175"/>
      <c r="H95" s="175"/>
      <c r="I95" s="175"/>
      <c r="J95" s="175"/>
      <c r="K95" s="175"/>
      <c r="L95" s="175"/>
      <c r="M95" s="175"/>
      <c r="N95" s="175"/>
      <c r="O95" s="175"/>
      <c r="P95" s="175"/>
      <c r="Q95" s="175"/>
      <c r="R95" s="175"/>
      <c r="S95" s="175"/>
      <c r="T95" s="175"/>
      <c r="U95" s="175"/>
    </row>
    <row r="96" spans="2:21" x14ac:dyDescent="0.35">
      <c r="B96" s="175"/>
      <c r="C96" s="175"/>
      <c r="D96" s="175"/>
      <c r="E96" s="175"/>
      <c r="F96" s="175"/>
      <c r="G96" s="175"/>
      <c r="H96" s="175"/>
      <c r="I96" s="175"/>
      <c r="J96" s="175"/>
      <c r="K96" s="175"/>
      <c r="L96" s="175"/>
      <c r="M96" s="175"/>
      <c r="N96" s="175"/>
      <c r="O96" s="175"/>
      <c r="P96" s="175"/>
      <c r="Q96" s="175"/>
      <c r="R96" s="175"/>
      <c r="S96" s="175"/>
      <c r="T96" s="175"/>
      <c r="U96" s="175"/>
    </row>
    <row r="97" spans="2:21" x14ac:dyDescent="0.35">
      <c r="B97" s="175"/>
      <c r="C97" s="175"/>
      <c r="D97" s="175"/>
      <c r="E97" s="175"/>
      <c r="F97" s="175"/>
      <c r="G97" s="175"/>
      <c r="H97" s="175"/>
      <c r="I97" s="175"/>
      <c r="J97" s="175"/>
      <c r="K97" s="175"/>
      <c r="L97" s="175"/>
      <c r="M97" s="175"/>
      <c r="N97" s="175"/>
      <c r="O97" s="175"/>
      <c r="P97" s="175"/>
      <c r="Q97" s="175"/>
      <c r="R97" s="175"/>
      <c r="S97" s="175"/>
      <c r="T97" s="175"/>
      <c r="U97" s="175"/>
    </row>
    <row r="98" spans="2:21" x14ac:dyDescent="0.35">
      <c r="B98" s="175"/>
      <c r="C98" s="175"/>
      <c r="D98" s="175"/>
      <c r="E98" s="175"/>
      <c r="F98" s="175"/>
      <c r="G98" s="175"/>
      <c r="H98" s="175"/>
      <c r="I98" s="175"/>
      <c r="J98" s="175"/>
      <c r="K98" s="175"/>
      <c r="L98" s="175"/>
      <c r="M98" s="175"/>
      <c r="N98" s="175"/>
      <c r="O98" s="175"/>
      <c r="P98" s="175"/>
      <c r="Q98" s="175"/>
      <c r="R98" s="175"/>
      <c r="S98" s="175"/>
      <c r="T98" s="175"/>
      <c r="U98" s="175"/>
    </row>
    <row r="99" spans="2:21" x14ac:dyDescent="0.35">
      <c r="B99" s="175"/>
      <c r="C99" s="175"/>
      <c r="D99" s="175"/>
      <c r="E99" s="175"/>
      <c r="F99" s="175"/>
      <c r="G99" s="175"/>
      <c r="H99" s="175"/>
      <c r="I99" s="175"/>
      <c r="J99" s="175"/>
      <c r="K99" s="175"/>
      <c r="L99" s="175"/>
      <c r="M99" s="175"/>
      <c r="N99" s="175"/>
      <c r="O99" s="175"/>
      <c r="P99" s="175"/>
      <c r="Q99" s="175"/>
      <c r="R99" s="175"/>
      <c r="S99" s="175"/>
      <c r="T99" s="175"/>
      <c r="U99" s="175"/>
    </row>
    <row r="100" spans="2:21" x14ac:dyDescent="0.35">
      <c r="B100" s="175"/>
      <c r="C100" s="175"/>
      <c r="D100" s="175"/>
      <c r="E100" s="175"/>
      <c r="F100" s="175"/>
      <c r="G100" s="175"/>
      <c r="H100" s="175"/>
      <c r="I100" s="175"/>
      <c r="J100" s="175"/>
      <c r="K100" s="175"/>
      <c r="L100" s="175"/>
      <c r="M100" s="175"/>
      <c r="N100" s="175"/>
      <c r="O100" s="175"/>
      <c r="P100" s="175"/>
      <c r="Q100" s="175"/>
      <c r="R100" s="175"/>
      <c r="S100" s="175"/>
      <c r="T100" s="175"/>
      <c r="U100" s="175"/>
    </row>
    <row r="101" spans="2:21" x14ac:dyDescent="0.35">
      <c r="B101" s="175"/>
      <c r="C101" s="175"/>
      <c r="D101" s="175"/>
      <c r="E101" s="175"/>
      <c r="F101" s="175"/>
      <c r="G101" s="175"/>
      <c r="H101" s="175"/>
      <c r="I101" s="175"/>
      <c r="J101" s="175"/>
      <c r="K101" s="175"/>
      <c r="L101" s="175"/>
      <c r="M101" s="175"/>
      <c r="N101" s="175"/>
      <c r="O101" s="175"/>
      <c r="P101" s="175"/>
      <c r="Q101" s="175"/>
      <c r="R101" s="175"/>
      <c r="S101" s="175"/>
      <c r="T101" s="175"/>
      <c r="U101" s="175"/>
    </row>
    <row r="102" spans="2:21" x14ac:dyDescent="0.35">
      <c r="B102" s="175"/>
      <c r="C102" s="175"/>
      <c r="D102" s="175"/>
      <c r="E102" s="175"/>
      <c r="F102" s="175"/>
      <c r="G102" s="175"/>
      <c r="H102" s="175"/>
      <c r="I102" s="175"/>
      <c r="J102" s="175"/>
      <c r="K102" s="175"/>
      <c r="L102" s="175"/>
      <c r="M102" s="175"/>
      <c r="N102" s="175"/>
      <c r="O102" s="175"/>
      <c r="P102" s="175"/>
      <c r="Q102" s="175"/>
      <c r="R102" s="175"/>
      <c r="S102" s="175"/>
      <c r="T102" s="175"/>
      <c r="U102" s="175"/>
    </row>
    <row r="103" spans="2:21" x14ac:dyDescent="0.35">
      <c r="B103" s="175"/>
      <c r="C103" s="175"/>
      <c r="D103" s="175"/>
      <c r="E103" s="175"/>
      <c r="F103" s="175"/>
      <c r="G103" s="175"/>
      <c r="H103" s="175"/>
      <c r="I103" s="175"/>
      <c r="J103" s="175"/>
      <c r="K103" s="175"/>
      <c r="L103" s="175"/>
      <c r="M103" s="175"/>
      <c r="N103" s="175"/>
      <c r="O103" s="175"/>
      <c r="P103" s="175"/>
      <c r="Q103" s="175"/>
      <c r="R103" s="175"/>
      <c r="S103" s="175"/>
      <c r="T103" s="175"/>
      <c r="U103" s="175"/>
    </row>
    <row r="104" spans="2:21" x14ac:dyDescent="0.35">
      <c r="B104" s="175"/>
      <c r="C104" s="175"/>
      <c r="D104" s="175"/>
      <c r="E104" s="175"/>
      <c r="F104" s="175"/>
      <c r="G104" s="175"/>
      <c r="H104" s="175"/>
      <c r="I104" s="175"/>
      <c r="J104" s="175"/>
      <c r="K104" s="175"/>
      <c r="L104" s="175"/>
      <c r="M104" s="175"/>
      <c r="N104" s="175"/>
      <c r="O104" s="175"/>
      <c r="P104" s="175"/>
      <c r="Q104" s="175"/>
      <c r="R104" s="175"/>
      <c r="S104" s="175"/>
      <c r="T104" s="175"/>
      <c r="U104" s="175"/>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C16" sqref="C16"/>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268</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1" t="s">
        <v>240</v>
      </c>
      <c r="C5" s="182"/>
      <c r="D5" s="182"/>
      <c r="E5" s="182"/>
      <c r="F5" s="182"/>
      <c r="G5" s="183"/>
    </row>
    <row r="6" spans="1:19" ht="15" thickBot="1" x14ac:dyDescent="0.4"/>
    <row r="7" spans="1:19" ht="15" thickBot="1" x14ac:dyDescent="0.4">
      <c r="A7" s="56" t="s">
        <v>1</v>
      </c>
      <c r="B7" s="181"/>
      <c r="C7" s="182"/>
      <c r="D7" s="182"/>
      <c r="E7" s="182"/>
      <c r="F7" s="182"/>
      <c r="G7" s="18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5</v>
      </c>
    </row>
    <row r="18" spans="1:2" ht="15" thickBot="1" x14ac:dyDescent="0.4"/>
    <row r="19" spans="1:2" ht="15" thickBot="1" x14ac:dyDescent="0.4">
      <c r="A19" s="56" t="str">
        <f>B15&amp;" Names:"</f>
        <v>Clusters Names:</v>
      </c>
      <c r="B19" s="56" t="str">
        <f>B15&amp;" Description:"</f>
        <v>Clusters Description:</v>
      </c>
    </row>
    <row r="20" spans="1:2" x14ac:dyDescent="0.35">
      <c r="A20" s="121" t="s">
        <v>200</v>
      </c>
      <c r="B20" s="121"/>
    </row>
    <row r="21" spans="1:2" x14ac:dyDescent="0.35">
      <c r="A21" s="122" t="s">
        <v>201</v>
      </c>
      <c r="B21" s="122"/>
    </row>
    <row r="22" spans="1:2" x14ac:dyDescent="0.35">
      <c r="A22" s="122" t="s">
        <v>202</v>
      </c>
      <c r="B22" s="122"/>
    </row>
    <row r="23" spans="1:2" x14ac:dyDescent="0.35">
      <c r="A23" s="122" t="s">
        <v>203</v>
      </c>
      <c r="B23" s="122"/>
    </row>
    <row r="24" spans="1:2" ht="15" thickBot="1" x14ac:dyDescent="0.4">
      <c r="A24" s="122" t="s">
        <v>204</v>
      </c>
      <c r="B24" s="122"/>
    </row>
    <row r="25" spans="1:2" hidden="1" x14ac:dyDescent="0.35">
      <c r="A25" s="122" t="s">
        <v>195</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69" t="s">
        <v>135</v>
      </c>
    </row>
    <row r="6" spans="1:21" ht="15" thickBot="1" x14ac:dyDescent="0.4">
      <c r="A6" s="56" t="s">
        <v>103</v>
      </c>
      <c r="B6" s="126">
        <v>2019</v>
      </c>
    </row>
    <row r="7" spans="1:21" ht="15" thickBot="1" x14ac:dyDescent="0.4"/>
    <row r="8" spans="1:21" ht="28.5" customHeight="1" thickBot="1" x14ac:dyDescent="0.4">
      <c r="A8" s="24">
        <f>MAX(A9:A268)</f>
        <v>13</v>
      </c>
      <c r="C8" s="62" t="s">
        <v>15</v>
      </c>
      <c r="D8" s="50" t="s">
        <v>108</v>
      </c>
      <c r="E8" s="50" t="s">
        <v>109</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242</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91</v>
      </c>
    </row>
    <row r="7" spans="1:4" ht="15" thickBot="1" x14ac:dyDescent="0.4">
      <c r="A7" s="47" t="s">
        <v>89</v>
      </c>
      <c r="B7" s="126" t="s">
        <v>91</v>
      </c>
    </row>
    <row r="8" spans="1:4" ht="15" thickBot="1" x14ac:dyDescent="0.4">
      <c r="A8" s="47" t="s">
        <v>90</v>
      </c>
      <c r="B8" s="126" t="s">
        <v>91</v>
      </c>
    </row>
    <row r="9" spans="1:4" ht="15" thickBot="1" x14ac:dyDescent="0.4">
      <c r="A9" s="48" t="s">
        <v>29</v>
      </c>
      <c r="B9" s="127" t="s">
        <v>91</v>
      </c>
    </row>
    <row r="10" spans="1:4" ht="15" thickBot="1" x14ac:dyDescent="0.4"/>
    <row r="11" spans="1:4" ht="15" thickBot="1" x14ac:dyDescent="0.4">
      <c r="A11" s="34" t="s">
        <v>92</v>
      </c>
    </row>
    <row r="12" spans="1:4" ht="15" thickBot="1" x14ac:dyDescent="0.4">
      <c r="A12" s="34" t="s">
        <v>95</v>
      </c>
      <c r="B12" s="126" t="s">
        <v>91</v>
      </c>
    </row>
    <row r="13" spans="1:4" ht="15" thickBot="1" x14ac:dyDescent="0.4">
      <c r="A13" s="34" t="s">
        <v>93</v>
      </c>
      <c r="B13" s="123" t="s">
        <v>216</v>
      </c>
    </row>
    <row r="14" spans="1:4" ht="15" thickBot="1" x14ac:dyDescent="0.4">
      <c r="A14" s="48" t="s">
        <v>94</v>
      </c>
      <c r="B14" s="123" t="s">
        <v>217</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244</v>
      </c>
    </row>
    <row r="29" spans="1:2" ht="15" thickBot="1" x14ac:dyDescent="0.4">
      <c r="A29" s="44"/>
      <c r="B29" t="s">
        <v>245</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8" max="28" width="6.81640625" customWidth="1"/>
    <col min="29" max="30" width="8" customWidth="1"/>
    <col min="31" max="32" width="8.26953125" customWidth="1"/>
    <col min="33" max="33" width="7.08984375" customWidth="1"/>
    <col min="34" max="34" width="8.7265625" customWidth="1"/>
    <col min="35" max="35" width="13.6328125" customWidth="1"/>
    <col min="36" max="43" width="8.7265625" customWidth="1"/>
  </cols>
  <sheetData>
    <row r="1" spans="1:43" x14ac:dyDescent="0.35">
      <c r="A1" t="s">
        <v>16</v>
      </c>
      <c r="B1"/>
      <c r="C1"/>
      <c r="D1"/>
      <c r="E1"/>
      <c r="W1" t="s">
        <v>17</v>
      </c>
      <c r="AO1" t="s">
        <v>40</v>
      </c>
    </row>
    <row r="2" spans="1:43" ht="15" thickBot="1" x14ac:dyDescent="0.4">
      <c r="B2"/>
      <c r="C2"/>
      <c r="D2"/>
      <c r="E2"/>
      <c r="W2" t="s">
        <v>18</v>
      </c>
      <c r="X2" t="str">
        <f>SPC!B3</f>
        <v>All Clusters</v>
      </c>
      <c r="AH2" t="s">
        <v>29</v>
      </c>
    </row>
    <row r="3" spans="1:43" x14ac:dyDescent="0.35">
      <c r="B3" s="11" t="s">
        <v>15</v>
      </c>
      <c r="C3" s="3" t="s">
        <v>108</v>
      </c>
      <c r="D3" s="3" t="s">
        <v>109</v>
      </c>
      <c r="E3" s="3" t="s">
        <v>110</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130</v>
      </c>
      <c r="V4">
        <f>IF(SPC!$B$13="",1,IF(SPC!$B$12="Yes",IF(Setup!$B$11="Weekly",IF(ROW(A1)&gt;=Demand!$A$8-51,1,0),IF(ROW(A1)&gt;=Demand!$A$8-11,1,0)),IF(Setup!$B$11="Weekly",IF(AND(B4&gt;=SPC!$B$13,B4&lt;SPC!$B$14),1,0),IF(AND(MATCH(E4,$E$4:$E$263,0)&gt;=MATCH(SPC!$B$13,$E$4:$E$263,0),MATCH(E4,$E$4:$E$263,0)&lt;=MATCH(SPC!$B$14,$E$4:$E$263,0)),1,0))))</f>
        <v>0</v>
      </c>
      <c r="W4" cm="1">
        <f t="array" ref="W4">INDEX($F$4:$U$263,ROW(A1),MATCH($X$2,$F$3:$U$3,0))</f>
        <v>130</v>
      </c>
      <c r="X4">
        <f>AVERAGE(INDEX($F$4:$U$263,MATCH(SPC!$B$13,IF(Setup!$B$11="Weekly",'SPC Backing (Hide)'!$B$4:$B$263,'SPC Backing (Hide)'!$E$4:$E$263),0),MATCH($X$2,$F$3:$U$3,0)):INDEX($F$4:$U$263,MATCH(SPC!$B$14,IF(Setup!$B$11="Weekly",'SPC Backing (Hide)'!$B$4:$B$263,'SPC Backing (Hide)'!$E$4:$E$263),0),MATCH('SPC Backing (Hide)'!$X$2,'SPC Backing (Hide)'!$F$3:$U$3,0)))</f>
        <v>137.58333333333334</v>
      </c>
      <c r="Z4">
        <f>AVERAGE(INDEX($Y$4:$Y$263,MATCH(SPC!$B$13,IF(Setup!$B$11="Weekly",'SPC Backing (Hide)'!$B$4:$B$263,'SPC Backing (Hide)'!$E$4:$E$263),0)):INDEX($Y$4:$Y$263,MATCH(SPC!$B$14,IF(Setup!$B$11="Weekly",'SPC Backing (Hide)'!$B$4:$B$263,'SPC Backing (Hide)'!$E$4:$E$263),0),1))</f>
        <v>18.416666666666668</v>
      </c>
      <c r="AA4">
        <f>Z4/1.128</f>
        <v>16.326832151300238</v>
      </c>
      <c r="AB4">
        <f>MAX(0,X4-(3*AA4))</f>
        <v>88.60283687943263</v>
      </c>
      <c r="AC4">
        <f>MAX(0,X4-(2*AA4))</f>
        <v>104.92966903073287</v>
      </c>
      <c r="AD4">
        <f>MAX(0,X4-AA4)</f>
        <v>121.25650118203311</v>
      </c>
      <c r="AE4">
        <f>X4+AA4</f>
        <v>153.91016548463358</v>
      </c>
      <c r="AF4">
        <f>X4+(2*AA4)</f>
        <v>170.23699763593382</v>
      </c>
      <c r="AG4">
        <f>X4+(3*AA4)</f>
        <v>186.56382978723406</v>
      </c>
      <c r="AH4" t="e">
        <f>IF(OR(W4&gt;AG4,W4&lt;AB4),W4,NA())</f>
        <v>#N/A</v>
      </c>
      <c r="AI4">
        <f>IF(W4&gt;AF4,2,IF(W4&lt;AC4,-2,IF(W4&gt;X4,1,IF(W4&lt;X4,-1,0))))</f>
        <v>-1</v>
      </c>
      <c r="AJ4" t="e">
        <f>IF(ABS(SUM(AI4:AI6))&gt;=5,W4,NA())</f>
        <v>#N/A</v>
      </c>
      <c r="AK4">
        <f>IF(W5&gt;W4,1,IF(W5&lt;W4,-1,0))</f>
        <v>-1</v>
      </c>
      <c r="AL4" t="e">
        <f>IF(ABS(SUM(AK4:AK9))=6,W4,NA())</f>
        <v>#N/A</v>
      </c>
      <c r="AM4">
        <f>IF(W4&lt;X4,-1,IF(W4&gt;X4,1,0))</f>
        <v>-1</v>
      </c>
      <c r="AN4" t="e">
        <f>IF(ABS(SUM(AM4:AM12))=9,W4,NA())</f>
        <v>#N/A</v>
      </c>
      <c r="AO4">
        <f>_xlfn.PERCENTILE.INC(INDEX($W$4:$W$263,MATCH(SPC!$B$13,IF(Setup!$B$11="Weekly",'SPC Backing (Hide)'!$B$4:$B$263,'SPC Backing (Hide)'!$E$4:$E$263),0),1):INDEX($W$4:$W$263,MATCH(SPC!$B$14,IF(Setup!$B$11="Weekly",'SPC Backing (Hide)'!$B$4:$B$263,'SPC Backing (Hide)'!$E$4:$E$263),0),1),'SPC Backing (Hide)'!$AO$3)</f>
        <v>136.10000000000002</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
        <f>AP4-AO4</f>
        <v>33.44999999999996</v>
      </c>
    </row>
    <row r="5" spans="1:43"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109</v>
      </c>
      <c r="V5">
        <f>IF(SPC!$B$13="",1,IF(SPC!$B$12="Yes",IF(Setup!$B$11="Weekly",IF(ROW(A2)&gt;=Demand!$A$8-51,1,0),IF(ROW(A2)&gt;=Demand!$A$8-11,1,0)),IF(Setup!$B$11="Weekly",IF(AND(B5&gt;=SPC!$B$13,B5&lt;SPC!$B$14),1,0),IF(AND(MATCH(E5,$E$4:$E$263,0)&gt;=MATCH(SPC!$B$13,$E$4:$E$263,0),MATCH(E5,$E$4:$E$263,0)&lt;=MATCH(SPC!$B$14,$E$4:$E$263,0)),1,0))))</f>
        <v>1</v>
      </c>
      <c r="W5" cm="1">
        <f t="array" ref="W5">INDEX($F$4:$U$263,ROW(A2),MATCH($X$2,$F$3:$U$3,0))</f>
        <v>109</v>
      </c>
      <c r="X5">
        <f>AVERAGE(INDEX($F$4:$U$263,MATCH(SPC!$B$13,IF(Setup!$B$11="Weekly",'SPC Backing (Hide)'!$B$4:$B$263,'SPC Backing (Hide)'!$E$4:$E$263),0),MATCH($X$2,$F$3:$U$3,0)):INDEX($F$4:$U$263,MATCH(SPC!$B$14,IF(Setup!$B$11="Weekly",'SPC Backing (Hide)'!$B$4:$B$263,'SPC Backing (Hide)'!$E$4:$E$263),0),MATCH('SPC Backing (Hide)'!$X$2,'SPC Backing (Hide)'!$F$3:$U$3,0)))</f>
        <v>137.58333333333334</v>
      </c>
      <c r="Y5" cm="1">
        <f t="array" ref="Y5">ABS(INDEX($F$4:$U$263,ROW(A2),MATCH($X$2,$F$3:$U$3,0))-INDEX($F$4:$U$263,ROW(A1),MATCH($X$2,$F$3:$U$3,0)))</f>
        <v>21</v>
      </c>
      <c r="Z5">
        <f>AVERAGE(INDEX($Y$4:$Y$263,MATCH(SPC!$B$13,IF(Setup!$B$11="Weekly",'SPC Backing (Hide)'!$B$4:$B$263,'SPC Backing (Hide)'!$E$4:$E$263),0)):INDEX($Y$4:$Y$263,MATCH(SPC!$B$14,IF(Setup!$B$11="Weekly",'SPC Backing (Hide)'!$B$4:$B$263,'SPC Backing (Hide)'!$E$4:$E$263),0),1))</f>
        <v>18.416666666666668</v>
      </c>
      <c r="AA5">
        <f t="shared" ref="AA5:AA68" si="1">Z5/1.128</f>
        <v>16.326832151300238</v>
      </c>
      <c r="AB5">
        <f t="shared" ref="AB5:AB68" si="2">MAX(0,X5-(3*AA5))</f>
        <v>88.60283687943263</v>
      </c>
      <c r="AC5">
        <f t="shared" ref="AC5:AC68" si="3">MAX(0,X5-(2*AA5))</f>
        <v>104.92966903073287</v>
      </c>
      <c r="AD5">
        <f t="shared" ref="AD5:AD68" si="4">MAX(0,X5-AA5)</f>
        <v>121.25650118203311</v>
      </c>
      <c r="AE5">
        <f t="shared" ref="AE5:AE68" si="5">X5+AA5</f>
        <v>153.91016548463358</v>
      </c>
      <c r="AF5">
        <f t="shared" ref="AF5:AF68" si="6">X5+(2*AA5)</f>
        <v>170.23699763593382</v>
      </c>
      <c r="AG5">
        <f t="shared" ref="AG5:AG68" si="7">X5+(3*AA5)</f>
        <v>186.56382978723406</v>
      </c>
      <c r="AH5" t="e">
        <f t="shared" ref="AH5:AH68" si="8">IF(OR(W5&gt;AG5,W5&lt;AB5),W5,NA())</f>
        <v>#N/A</v>
      </c>
      <c r="AI5">
        <f>IF(W5&gt;AF5,2,IF(W5&lt;AC5,-2,IF(W5&gt;X5,1,IF(W5&lt;X5,-1,0))))</f>
        <v>-1</v>
      </c>
      <c r="AJ5" t="e">
        <f t="shared" ref="AJ5:AJ68" si="9">IF(ABS(SUM(AI5:AI7))&gt;=5,W5,NA())</f>
        <v>#N/A</v>
      </c>
      <c r="AK5">
        <f t="shared" ref="AK5:AK68" si="10">IF(W6&gt;W5,1,IF(W6&lt;W5,-1,0))</f>
        <v>1</v>
      </c>
      <c r="AL5" t="e">
        <f t="shared" ref="AL5:AL68" si="11">IF(ABS(SUM(AK5:AK10))=6,W5,NA())</f>
        <v>#N/A</v>
      </c>
      <c r="AM5">
        <f t="shared" ref="AM5:AM68" si="12">IF(W5&lt;X5,-1,IF(W5&gt;X5,1,0))</f>
        <v>-1</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136.10000000000002</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
        <f t="shared" ref="AQ5:AQ68" si="14">AP5-AO5</f>
        <v>33.44999999999996</v>
      </c>
    </row>
    <row r="6" spans="1:43"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117</v>
      </c>
      <c r="V6">
        <f>IF(SPC!$B$13="",1,IF(SPC!$B$12="Yes",IF(Setup!$B$11="Weekly",IF(ROW(A3)&gt;=Demand!$A$8-51,1,0),IF(ROW(A3)&gt;=Demand!$A$8-11,1,0)),IF(Setup!$B$11="Weekly",IF(AND(B6&gt;=SPC!$B$13,B6&lt;SPC!$B$14),1,0),IF(AND(MATCH(E6,$E$4:$E$263,0)&gt;=MATCH(SPC!$B$13,$E$4:$E$263,0),MATCH(E6,$E$4:$E$263,0)&lt;=MATCH(SPC!$B$14,$E$4:$E$263,0)),1,0))))</f>
        <v>1</v>
      </c>
      <c r="W6" cm="1">
        <f t="array" ref="W6">INDEX($F$4:$U$263,ROW(A3),MATCH($X$2,$F$3:$U$3,0))</f>
        <v>117</v>
      </c>
      <c r="X6">
        <f>AVERAGE(INDEX($F$4:$U$263,MATCH(SPC!$B$13,IF(Setup!$B$11="Weekly",'SPC Backing (Hide)'!$B$4:$B$263,'SPC Backing (Hide)'!$E$4:$E$263),0),MATCH($X$2,$F$3:$U$3,0)):INDEX($F$4:$U$263,MATCH(SPC!$B$14,IF(Setup!$B$11="Weekly",'SPC Backing (Hide)'!$B$4:$B$263,'SPC Backing (Hide)'!$E$4:$E$263),0),MATCH('SPC Backing (Hide)'!$X$2,'SPC Backing (Hide)'!$F$3:$U$3,0)))</f>
        <v>137.58333333333334</v>
      </c>
      <c r="Y6" cm="1">
        <f t="array" ref="Y6">ABS(INDEX($F$4:$U$263,ROW(A3),MATCH($X$2,$F$3:$U$3,0))-INDEX($F$4:$U$263,ROW(A2),MATCH($X$2,$F$3:$U$3,0)))</f>
        <v>8</v>
      </c>
      <c r="Z6">
        <f>AVERAGE(INDEX($Y$4:$Y$263,MATCH(SPC!$B$13,IF(Setup!$B$11="Weekly",'SPC Backing (Hide)'!$B$4:$B$263,'SPC Backing (Hide)'!$E$4:$E$263),0)):INDEX($Y$4:$Y$263,MATCH(SPC!$B$14,IF(Setup!$B$11="Weekly",'SPC Backing (Hide)'!$B$4:$B$263,'SPC Backing (Hide)'!$E$4:$E$263),0),1))</f>
        <v>18.416666666666668</v>
      </c>
      <c r="AA6">
        <f t="shared" si="1"/>
        <v>16.326832151300238</v>
      </c>
      <c r="AB6">
        <f t="shared" si="2"/>
        <v>88.60283687943263</v>
      </c>
      <c r="AC6">
        <f t="shared" si="3"/>
        <v>104.92966903073287</v>
      </c>
      <c r="AD6">
        <f t="shared" si="4"/>
        <v>121.25650118203311</v>
      </c>
      <c r="AE6">
        <f t="shared" si="5"/>
        <v>153.91016548463358</v>
      </c>
      <c r="AF6">
        <f t="shared" si="6"/>
        <v>170.23699763593382</v>
      </c>
      <c r="AG6">
        <f t="shared" si="7"/>
        <v>186.56382978723406</v>
      </c>
      <c r="AH6" t="e">
        <f t="shared" si="8"/>
        <v>#N/A</v>
      </c>
      <c r="AI6">
        <f t="shared" ref="AI6:AI69" si="15">IF(W6&gt;AF6,2,IF(W6&lt;AC6,-2,IF(W6&gt;X6,1,IF(W6&lt;X6,-1,0))))</f>
        <v>-1</v>
      </c>
      <c r="AJ6" t="e">
        <f t="shared" si="9"/>
        <v>#N/A</v>
      </c>
      <c r="AK6">
        <f t="shared" si="10"/>
        <v>1</v>
      </c>
      <c r="AL6" t="e">
        <f t="shared" si="11"/>
        <v>#N/A</v>
      </c>
      <c r="AM6">
        <f t="shared" si="12"/>
        <v>-1</v>
      </c>
      <c r="AN6" t="e">
        <f t="shared" si="13"/>
        <v>#N/A</v>
      </c>
      <c r="AO6">
        <f>_xlfn.PERCENTILE.INC(INDEX($W$4:$W$263,MATCH(SPC!$B$13,IF(Setup!$B$11="Weekly",'SPC Backing (Hide)'!$B$4:$B$263,'SPC Backing (Hide)'!$E$4:$E$263),0),1):INDEX($W$4:$W$263,MATCH(SPC!$B$14,IF(Setup!$B$11="Weekly",'SPC Backing (Hide)'!$B$4:$B$263,'SPC Backing (Hide)'!$E$4:$E$263),0),1),'SPC Backing (Hide)'!$AO$3)</f>
        <v>136.10000000000002</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
        <f t="shared" si="14"/>
        <v>33.44999999999996</v>
      </c>
    </row>
    <row r="7" spans="1:43"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123</v>
      </c>
      <c r="V7">
        <f>IF(SPC!$B$13="",1,IF(SPC!$B$12="Yes",IF(Setup!$B$11="Weekly",IF(ROW(A4)&gt;=Demand!$A$8-51,1,0),IF(ROW(A4)&gt;=Demand!$A$8-11,1,0)),IF(Setup!$B$11="Weekly",IF(AND(B7&gt;=SPC!$B$13,B7&lt;SPC!$B$14),1,0),IF(AND(MATCH(E7,$E$4:$E$263,0)&gt;=MATCH(SPC!$B$13,$E$4:$E$263,0),MATCH(E7,$E$4:$E$263,0)&lt;=MATCH(SPC!$B$14,$E$4:$E$263,0)),1,0))))</f>
        <v>1</v>
      </c>
      <c r="W7" cm="1">
        <f t="array" ref="W7">INDEX($F$4:$U$263,ROW(A4),MATCH($X$2,$F$3:$U$3,0))</f>
        <v>123</v>
      </c>
      <c r="X7">
        <f>AVERAGE(INDEX($F$4:$U$263,MATCH(SPC!$B$13,IF(Setup!$B$11="Weekly",'SPC Backing (Hide)'!$B$4:$B$263,'SPC Backing (Hide)'!$E$4:$E$263),0),MATCH($X$2,$F$3:$U$3,0)):INDEX($F$4:$U$263,MATCH(SPC!$B$14,IF(Setup!$B$11="Weekly",'SPC Backing (Hide)'!$B$4:$B$263,'SPC Backing (Hide)'!$E$4:$E$263),0),MATCH('SPC Backing (Hide)'!$X$2,'SPC Backing (Hide)'!$F$3:$U$3,0)))</f>
        <v>137.58333333333334</v>
      </c>
      <c r="Y7" cm="1">
        <f t="array" ref="Y7">ABS(INDEX($F$4:$U$263,ROW(A4),MATCH($X$2,$F$3:$U$3,0))-INDEX($F$4:$U$263,ROW(A3),MATCH($X$2,$F$3:$U$3,0)))</f>
        <v>6</v>
      </c>
      <c r="Z7">
        <f>AVERAGE(INDEX($Y$4:$Y$263,MATCH(SPC!$B$13,IF(Setup!$B$11="Weekly",'SPC Backing (Hide)'!$B$4:$B$263,'SPC Backing (Hide)'!$E$4:$E$263),0)):INDEX($Y$4:$Y$263,MATCH(SPC!$B$14,IF(Setup!$B$11="Weekly",'SPC Backing (Hide)'!$B$4:$B$263,'SPC Backing (Hide)'!$E$4:$E$263),0),1))</f>
        <v>18.416666666666668</v>
      </c>
      <c r="AA7">
        <f t="shared" si="1"/>
        <v>16.326832151300238</v>
      </c>
      <c r="AB7">
        <f t="shared" si="2"/>
        <v>88.60283687943263</v>
      </c>
      <c r="AC7">
        <f t="shared" si="3"/>
        <v>104.92966903073287</v>
      </c>
      <c r="AD7">
        <f t="shared" si="4"/>
        <v>121.25650118203311</v>
      </c>
      <c r="AE7">
        <f t="shared" si="5"/>
        <v>153.91016548463358</v>
      </c>
      <c r="AF7">
        <f t="shared" si="6"/>
        <v>170.23699763593382</v>
      </c>
      <c r="AG7">
        <f t="shared" si="7"/>
        <v>186.56382978723406</v>
      </c>
      <c r="AH7" t="e">
        <f t="shared" si="8"/>
        <v>#N/A</v>
      </c>
      <c r="AI7">
        <f t="shared" si="15"/>
        <v>-1</v>
      </c>
      <c r="AJ7" t="e">
        <f t="shared" si="9"/>
        <v>#N/A</v>
      </c>
      <c r="AK7">
        <f t="shared" si="10"/>
        <v>1</v>
      </c>
      <c r="AL7" t="e">
        <f t="shared" si="11"/>
        <v>#N/A</v>
      </c>
      <c r="AM7">
        <f t="shared" si="12"/>
        <v>-1</v>
      </c>
      <c r="AN7" t="e">
        <f t="shared" si="13"/>
        <v>#N/A</v>
      </c>
      <c r="AO7">
        <f>_xlfn.PERCENTILE.INC(INDEX($W$4:$W$263,MATCH(SPC!$B$13,IF(Setup!$B$11="Weekly",'SPC Backing (Hide)'!$B$4:$B$263,'SPC Backing (Hide)'!$E$4:$E$263),0),1):INDEX($W$4:$W$263,MATCH(SPC!$B$14,IF(Setup!$B$11="Weekly",'SPC Backing (Hide)'!$B$4:$B$263,'SPC Backing (Hide)'!$E$4:$E$263),0),1),'SPC Backing (Hide)'!$AO$3)</f>
        <v>136.10000000000002</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
        <f t="shared" si="14"/>
        <v>33.44999999999996</v>
      </c>
    </row>
    <row r="8" spans="1:43"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129</v>
      </c>
      <c r="V8">
        <f>IF(SPC!$B$13="",1,IF(SPC!$B$12="Yes",IF(Setup!$B$11="Weekly",IF(ROW(A5)&gt;=Demand!$A$8-51,1,0),IF(ROW(A5)&gt;=Demand!$A$8-11,1,0)),IF(Setup!$B$11="Weekly",IF(AND(B8&gt;=SPC!$B$13,B8&lt;SPC!$B$14),1,0),IF(AND(MATCH(E8,$E$4:$E$263,0)&gt;=MATCH(SPC!$B$13,$E$4:$E$263,0),MATCH(E8,$E$4:$E$263,0)&lt;=MATCH(SPC!$B$14,$E$4:$E$263,0)),1,0))))</f>
        <v>1</v>
      </c>
      <c r="W8" cm="1">
        <f t="array" ref="W8">INDEX($F$4:$U$263,ROW(A5),MATCH($X$2,$F$3:$U$3,0))</f>
        <v>129</v>
      </c>
      <c r="X8">
        <f>AVERAGE(INDEX($F$4:$U$263,MATCH(SPC!$B$13,IF(Setup!$B$11="Weekly",'SPC Backing (Hide)'!$B$4:$B$263,'SPC Backing (Hide)'!$E$4:$E$263),0),MATCH($X$2,$F$3:$U$3,0)):INDEX($F$4:$U$263,MATCH(SPC!$B$14,IF(Setup!$B$11="Weekly",'SPC Backing (Hide)'!$B$4:$B$263,'SPC Backing (Hide)'!$E$4:$E$263),0),MATCH('SPC Backing (Hide)'!$X$2,'SPC Backing (Hide)'!$F$3:$U$3,0)))</f>
        <v>137.58333333333334</v>
      </c>
      <c r="Y8" cm="1">
        <f t="array" ref="Y8">ABS(INDEX($F$4:$U$263,ROW(A5),MATCH($X$2,$F$3:$U$3,0))-INDEX($F$4:$U$263,ROW(A4),MATCH($X$2,$F$3:$U$3,0)))</f>
        <v>6</v>
      </c>
      <c r="Z8">
        <f>AVERAGE(INDEX($Y$4:$Y$263,MATCH(SPC!$B$13,IF(Setup!$B$11="Weekly",'SPC Backing (Hide)'!$B$4:$B$263,'SPC Backing (Hide)'!$E$4:$E$263),0)):INDEX($Y$4:$Y$263,MATCH(SPC!$B$14,IF(Setup!$B$11="Weekly",'SPC Backing (Hide)'!$B$4:$B$263,'SPC Backing (Hide)'!$E$4:$E$263),0),1))</f>
        <v>18.416666666666668</v>
      </c>
      <c r="AA8">
        <f t="shared" si="1"/>
        <v>16.326832151300238</v>
      </c>
      <c r="AB8">
        <f t="shared" si="2"/>
        <v>88.60283687943263</v>
      </c>
      <c r="AC8">
        <f t="shared" si="3"/>
        <v>104.92966903073287</v>
      </c>
      <c r="AD8">
        <f t="shared" si="4"/>
        <v>121.25650118203311</v>
      </c>
      <c r="AE8">
        <f t="shared" si="5"/>
        <v>153.91016548463358</v>
      </c>
      <c r="AF8">
        <f t="shared" si="6"/>
        <v>170.23699763593382</v>
      </c>
      <c r="AG8">
        <f t="shared" si="7"/>
        <v>186.56382978723406</v>
      </c>
      <c r="AH8" t="e">
        <f t="shared" si="8"/>
        <v>#N/A</v>
      </c>
      <c r="AI8">
        <f t="shared" si="15"/>
        <v>-1</v>
      </c>
      <c r="AJ8" t="e">
        <f t="shared" si="9"/>
        <v>#N/A</v>
      </c>
      <c r="AK8">
        <f t="shared" si="10"/>
        <v>1</v>
      </c>
      <c r="AL8" t="e">
        <f t="shared" si="11"/>
        <v>#N/A</v>
      </c>
      <c r="AM8">
        <f t="shared" si="12"/>
        <v>-1</v>
      </c>
      <c r="AN8" t="e">
        <f t="shared" si="13"/>
        <v>#N/A</v>
      </c>
      <c r="AO8">
        <f>_xlfn.PERCENTILE.INC(INDEX($W$4:$W$263,MATCH(SPC!$B$13,IF(Setup!$B$11="Weekly",'SPC Backing (Hide)'!$B$4:$B$263,'SPC Backing (Hide)'!$E$4:$E$263),0),1):INDEX($W$4:$W$263,MATCH(SPC!$B$14,IF(Setup!$B$11="Weekly",'SPC Backing (Hide)'!$B$4:$B$263,'SPC Backing (Hide)'!$E$4:$E$263),0),1),'SPC Backing (Hide)'!$AO$3)</f>
        <v>136.10000000000002</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
        <f t="shared" si="14"/>
        <v>33.44999999999996</v>
      </c>
    </row>
    <row r="9" spans="1:43"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131</v>
      </c>
      <c r="V9">
        <f>IF(SPC!$B$13="",1,IF(SPC!$B$12="Yes",IF(Setup!$B$11="Weekly",IF(ROW(A6)&gt;=Demand!$A$8-51,1,0),IF(ROW(A6)&gt;=Demand!$A$8-11,1,0)),IF(Setup!$B$11="Weekly",IF(AND(B9&gt;=SPC!$B$13,B9&lt;SPC!$B$14),1,0),IF(AND(MATCH(E9,$E$4:$E$263,0)&gt;=MATCH(SPC!$B$13,$E$4:$E$263,0),MATCH(E9,$E$4:$E$263,0)&lt;=MATCH(SPC!$B$14,$E$4:$E$263,0)),1,0))))</f>
        <v>1</v>
      </c>
      <c r="W9" cm="1">
        <f t="array" ref="W9">INDEX($F$4:$U$263,ROW(A6),MATCH($X$2,$F$3:$U$3,0))</f>
        <v>131</v>
      </c>
      <c r="X9">
        <f>AVERAGE(INDEX($F$4:$U$263,MATCH(SPC!$B$13,IF(Setup!$B$11="Weekly",'SPC Backing (Hide)'!$B$4:$B$263,'SPC Backing (Hide)'!$E$4:$E$263),0),MATCH($X$2,$F$3:$U$3,0)):INDEX($F$4:$U$263,MATCH(SPC!$B$14,IF(Setup!$B$11="Weekly",'SPC Backing (Hide)'!$B$4:$B$263,'SPC Backing (Hide)'!$E$4:$E$263),0),MATCH('SPC Backing (Hide)'!$X$2,'SPC Backing (Hide)'!$F$3:$U$3,0)))</f>
        <v>137.58333333333334</v>
      </c>
      <c r="Y9" cm="1">
        <f t="array" ref="Y9">ABS(INDEX($F$4:$U$263,ROW(A6),MATCH($X$2,$F$3:$U$3,0))-INDEX($F$4:$U$263,ROW(A5),MATCH($X$2,$F$3:$U$3,0)))</f>
        <v>2</v>
      </c>
      <c r="Z9">
        <f>AVERAGE(INDEX($Y$4:$Y$263,MATCH(SPC!$B$13,IF(Setup!$B$11="Weekly",'SPC Backing (Hide)'!$B$4:$B$263,'SPC Backing (Hide)'!$E$4:$E$263),0)):INDEX($Y$4:$Y$263,MATCH(SPC!$B$14,IF(Setup!$B$11="Weekly",'SPC Backing (Hide)'!$B$4:$B$263,'SPC Backing (Hide)'!$E$4:$E$263),0),1))</f>
        <v>18.416666666666668</v>
      </c>
      <c r="AA9">
        <f t="shared" si="1"/>
        <v>16.326832151300238</v>
      </c>
      <c r="AB9">
        <f t="shared" si="2"/>
        <v>88.60283687943263</v>
      </c>
      <c r="AC9">
        <f t="shared" si="3"/>
        <v>104.92966903073287</v>
      </c>
      <c r="AD9">
        <f t="shared" si="4"/>
        <v>121.25650118203311</v>
      </c>
      <c r="AE9">
        <f t="shared" si="5"/>
        <v>153.91016548463358</v>
      </c>
      <c r="AF9">
        <f t="shared" si="6"/>
        <v>170.23699763593382</v>
      </c>
      <c r="AG9">
        <f t="shared" si="7"/>
        <v>186.56382978723406</v>
      </c>
      <c r="AH9" t="e">
        <f t="shared" si="8"/>
        <v>#N/A</v>
      </c>
      <c r="AI9">
        <f t="shared" si="15"/>
        <v>-1</v>
      </c>
      <c r="AJ9" t="e">
        <f t="shared" si="9"/>
        <v>#N/A</v>
      </c>
      <c r="AK9">
        <f t="shared" si="10"/>
        <v>-1</v>
      </c>
      <c r="AL9" t="e">
        <f t="shared" si="11"/>
        <v>#N/A</v>
      </c>
      <c r="AM9">
        <f t="shared" si="12"/>
        <v>-1</v>
      </c>
      <c r="AN9" t="e">
        <f t="shared" si="13"/>
        <v>#N/A</v>
      </c>
      <c r="AO9">
        <f>_xlfn.PERCENTILE.INC(INDEX($W$4:$W$263,MATCH(SPC!$B$13,IF(Setup!$B$11="Weekly",'SPC Backing (Hide)'!$B$4:$B$263,'SPC Backing (Hide)'!$E$4:$E$263),0),1):INDEX($W$4:$W$263,MATCH(SPC!$B$14,IF(Setup!$B$11="Weekly",'SPC Backing (Hide)'!$B$4:$B$263,'SPC Backing (Hide)'!$E$4:$E$263),0),1),'SPC Backing (Hide)'!$AO$3)</f>
        <v>136.10000000000002</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
        <f t="shared" si="14"/>
        <v>33.44999999999996</v>
      </c>
    </row>
    <row r="10" spans="1:43"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126</v>
      </c>
      <c r="V10">
        <f>IF(SPC!$B$13="",1,IF(SPC!$B$12="Yes",IF(Setup!$B$11="Weekly",IF(ROW(A7)&gt;=Demand!$A$8-51,1,0),IF(ROW(A7)&gt;=Demand!$A$8-11,1,0)),IF(Setup!$B$11="Weekly",IF(AND(B10&gt;=SPC!$B$13,B10&lt;SPC!$B$14),1,0),IF(AND(MATCH(E10,$E$4:$E$263,0)&gt;=MATCH(SPC!$B$13,$E$4:$E$263,0),MATCH(E10,$E$4:$E$263,0)&lt;=MATCH(SPC!$B$14,$E$4:$E$263,0)),1,0))))</f>
        <v>1</v>
      </c>
      <c r="W10" cm="1">
        <f t="array" ref="W10">INDEX($F$4:$U$263,ROW(A7),MATCH($X$2,$F$3:$U$3,0))</f>
        <v>126</v>
      </c>
      <c r="X10">
        <f>AVERAGE(INDEX($F$4:$U$263,MATCH(SPC!$B$13,IF(Setup!$B$11="Weekly",'SPC Backing (Hide)'!$B$4:$B$263,'SPC Backing (Hide)'!$E$4:$E$263),0),MATCH($X$2,$F$3:$U$3,0)):INDEX($F$4:$U$263,MATCH(SPC!$B$14,IF(Setup!$B$11="Weekly",'SPC Backing (Hide)'!$B$4:$B$263,'SPC Backing (Hide)'!$E$4:$E$263),0),MATCH('SPC Backing (Hide)'!$X$2,'SPC Backing (Hide)'!$F$3:$U$3,0)))</f>
        <v>137.58333333333334</v>
      </c>
      <c r="Y10" cm="1">
        <f t="array" ref="Y10">ABS(INDEX($F$4:$U$263,ROW(A7),MATCH($X$2,$F$3:$U$3,0))-INDEX($F$4:$U$263,ROW(A6),MATCH($X$2,$F$3:$U$3,0)))</f>
        <v>5</v>
      </c>
      <c r="Z10">
        <f>AVERAGE(INDEX($Y$4:$Y$263,MATCH(SPC!$B$13,IF(Setup!$B$11="Weekly",'SPC Backing (Hide)'!$B$4:$B$263,'SPC Backing (Hide)'!$E$4:$E$263),0)):INDEX($Y$4:$Y$263,MATCH(SPC!$B$14,IF(Setup!$B$11="Weekly",'SPC Backing (Hide)'!$B$4:$B$263,'SPC Backing (Hide)'!$E$4:$E$263),0),1))</f>
        <v>18.416666666666668</v>
      </c>
      <c r="AA10">
        <f t="shared" si="1"/>
        <v>16.326832151300238</v>
      </c>
      <c r="AB10">
        <f t="shared" si="2"/>
        <v>88.60283687943263</v>
      </c>
      <c r="AC10">
        <f t="shared" si="3"/>
        <v>104.92966903073287</v>
      </c>
      <c r="AD10">
        <f t="shared" si="4"/>
        <v>121.25650118203311</v>
      </c>
      <c r="AE10">
        <f t="shared" si="5"/>
        <v>153.91016548463358</v>
      </c>
      <c r="AF10">
        <f t="shared" si="6"/>
        <v>170.23699763593382</v>
      </c>
      <c r="AG10">
        <f t="shared" si="7"/>
        <v>186.56382978723406</v>
      </c>
      <c r="AH10" t="e">
        <f t="shared" si="8"/>
        <v>#N/A</v>
      </c>
      <c r="AI10">
        <f t="shared" si="15"/>
        <v>-1</v>
      </c>
      <c r="AJ10" t="e">
        <f t="shared" si="9"/>
        <v>#N/A</v>
      </c>
      <c r="AK10">
        <f t="shared" si="10"/>
        <v>-1</v>
      </c>
      <c r="AL10" t="e">
        <f t="shared" si="11"/>
        <v>#N/A</v>
      </c>
      <c r="AM10">
        <f t="shared" si="12"/>
        <v>-1</v>
      </c>
      <c r="AN10" t="e">
        <f t="shared" si="13"/>
        <v>#N/A</v>
      </c>
      <c r="AO10">
        <f>_xlfn.PERCENTILE.INC(INDEX($W$4:$W$263,MATCH(SPC!$B$13,IF(Setup!$B$11="Weekly",'SPC Backing (Hide)'!$B$4:$B$263,'SPC Backing (Hide)'!$E$4:$E$263),0),1):INDEX($W$4:$W$263,MATCH(SPC!$B$14,IF(Setup!$B$11="Weekly",'SPC Backing (Hide)'!$B$4:$B$263,'SPC Backing (Hide)'!$E$4:$E$263),0),1),'SPC Backing (Hide)'!$AO$3)</f>
        <v>136.10000000000002</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
        <f t="shared" si="14"/>
        <v>33.44999999999996</v>
      </c>
    </row>
    <row r="11" spans="1:43"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121</v>
      </c>
      <c r="V11">
        <f>IF(SPC!$B$13="",1,IF(SPC!$B$12="Yes",IF(Setup!$B$11="Weekly",IF(ROW(A8)&gt;=Demand!$A$8-51,1,0),IF(ROW(A8)&gt;=Demand!$A$8-11,1,0)),IF(Setup!$B$11="Weekly",IF(AND(B11&gt;=SPC!$B$13,B11&lt;SPC!$B$14),1,0),IF(AND(MATCH(E11,$E$4:$E$263,0)&gt;=MATCH(SPC!$B$13,$E$4:$E$263,0),MATCH(E11,$E$4:$E$263,0)&lt;=MATCH(SPC!$B$14,$E$4:$E$263,0)),1,0))))</f>
        <v>1</v>
      </c>
      <c r="W11" cm="1">
        <f t="array" ref="W11">INDEX($F$4:$U$263,ROW(A8),MATCH($X$2,$F$3:$U$3,0))</f>
        <v>121</v>
      </c>
      <c r="X11">
        <f>AVERAGE(INDEX($F$4:$U$263,MATCH(SPC!$B$13,IF(Setup!$B$11="Weekly",'SPC Backing (Hide)'!$B$4:$B$263,'SPC Backing (Hide)'!$E$4:$E$263),0),MATCH($X$2,$F$3:$U$3,0)):INDEX($F$4:$U$263,MATCH(SPC!$B$14,IF(Setup!$B$11="Weekly",'SPC Backing (Hide)'!$B$4:$B$263,'SPC Backing (Hide)'!$E$4:$E$263),0),MATCH('SPC Backing (Hide)'!$X$2,'SPC Backing (Hide)'!$F$3:$U$3,0)))</f>
        <v>137.58333333333334</v>
      </c>
      <c r="Y11" cm="1">
        <f t="array" ref="Y11">ABS(INDEX($F$4:$U$263,ROW(A8),MATCH($X$2,$F$3:$U$3,0))-INDEX($F$4:$U$263,ROW(A7),MATCH($X$2,$F$3:$U$3,0)))</f>
        <v>5</v>
      </c>
      <c r="Z11">
        <f>AVERAGE(INDEX($Y$4:$Y$263,MATCH(SPC!$B$13,IF(Setup!$B$11="Weekly",'SPC Backing (Hide)'!$B$4:$B$263,'SPC Backing (Hide)'!$E$4:$E$263),0)):INDEX($Y$4:$Y$263,MATCH(SPC!$B$14,IF(Setup!$B$11="Weekly",'SPC Backing (Hide)'!$B$4:$B$263,'SPC Backing (Hide)'!$E$4:$E$263),0),1))</f>
        <v>18.416666666666668</v>
      </c>
      <c r="AA11">
        <f t="shared" si="1"/>
        <v>16.326832151300238</v>
      </c>
      <c r="AB11">
        <f t="shared" si="2"/>
        <v>88.60283687943263</v>
      </c>
      <c r="AC11">
        <f t="shared" si="3"/>
        <v>104.92966903073287</v>
      </c>
      <c r="AD11">
        <f t="shared" si="4"/>
        <v>121.25650118203311</v>
      </c>
      <c r="AE11">
        <f t="shared" si="5"/>
        <v>153.91016548463358</v>
      </c>
      <c r="AF11">
        <f t="shared" si="6"/>
        <v>170.23699763593382</v>
      </c>
      <c r="AG11">
        <f t="shared" si="7"/>
        <v>186.56382978723406</v>
      </c>
      <c r="AH11" t="e">
        <f t="shared" si="8"/>
        <v>#N/A</v>
      </c>
      <c r="AI11">
        <f t="shared" si="15"/>
        <v>-1</v>
      </c>
      <c r="AJ11" t="e">
        <f t="shared" si="9"/>
        <v>#N/A</v>
      </c>
      <c r="AK11">
        <f t="shared" si="10"/>
        <v>1</v>
      </c>
      <c r="AL11" t="e">
        <f t="shared" si="11"/>
        <v>#N/A</v>
      </c>
      <c r="AM11">
        <f t="shared" si="12"/>
        <v>-1</v>
      </c>
      <c r="AN11" t="e">
        <f t="shared" si="13"/>
        <v>#N/A</v>
      </c>
      <c r="AO11">
        <f>_xlfn.PERCENTILE.INC(INDEX($W$4:$W$263,MATCH(SPC!$B$13,IF(Setup!$B$11="Weekly",'SPC Backing (Hide)'!$B$4:$B$263,'SPC Backing (Hide)'!$E$4:$E$263),0),1):INDEX($W$4:$W$263,MATCH(SPC!$B$14,IF(Setup!$B$11="Weekly",'SPC Backing (Hide)'!$B$4:$B$263,'SPC Backing (Hide)'!$E$4:$E$263),0),1),'SPC Backing (Hide)'!$AO$3)</f>
        <v>136.10000000000002</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
        <f t="shared" si="14"/>
        <v>33.44999999999996</v>
      </c>
    </row>
    <row r="12" spans="1:43"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165</v>
      </c>
      <c r="V12">
        <f>IF(SPC!$B$13="",1,IF(SPC!$B$12="Yes",IF(Setup!$B$11="Weekly",IF(ROW(A9)&gt;=Demand!$A$8-51,1,0),IF(ROW(A9)&gt;=Demand!$A$8-11,1,0)),IF(Setup!$B$11="Weekly",IF(AND(B12&gt;=SPC!$B$13,B12&lt;SPC!$B$14),1,0),IF(AND(MATCH(E12,$E$4:$E$263,0)&gt;=MATCH(SPC!$B$13,$E$4:$E$263,0),MATCH(E12,$E$4:$E$263,0)&lt;=MATCH(SPC!$B$14,$E$4:$E$263,0)),1,0))))</f>
        <v>1</v>
      </c>
      <c r="W12" cm="1">
        <f t="array" ref="W12">INDEX($F$4:$U$263,ROW(A9),MATCH($X$2,$F$3:$U$3,0))</f>
        <v>165</v>
      </c>
      <c r="X12">
        <f>AVERAGE(INDEX($F$4:$U$263,MATCH(SPC!$B$13,IF(Setup!$B$11="Weekly",'SPC Backing (Hide)'!$B$4:$B$263,'SPC Backing (Hide)'!$E$4:$E$263),0),MATCH($X$2,$F$3:$U$3,0)):INDEX($F$4:$U$263,MATCH(SPC!$B$14,IF(Setup!$B$11="Weekly",'SPC Backing (Hide)'!$B$4:$B$263,'SPC Backing (Hide)'!$E$4:$E$263),0),MATCH('SPC Backing (Hide)'!$X$2,'SPC Backing (Hide)'!$F$3:$U$3,0)))</f>
        <v>137.58333333333334</v>
      </c>
      <c r="Y12" cm="1">
        <f t="array" ref="Y12">ABS(INDEX($F$4:$U$263,ROW(A9),MATCH($X$2,$F$3:$U$3,0))-INDEX($F$4:$U$263,ROW(A8),MATCH($X$2,$F$3:$U$3,0)))</f>
        <v>44</v>
      </c>
      <c r="Z12">
        <f>AVERAGE(INDEX($Y$4:$Y$263,MATCH(SPC!$B$13,IF(Setup!$B$11="Weekly",'SPC Backing (Hide)'!$B$4:$B$263,'SPC Backing (Hide)'!$E$4:$E$263),0)):INDEX($Y$4:$Y$263,MATCH(SPC!$B$14,IF(Setup!$B$11="Weekly",'SPC Backing (Hide)'!$B$4:$B$263,'SPC Backing (Hide)'!$E$4:$E$263),0),1))</f>
        <v>18.416666666666668</v>
      </c>
      <c r="AA12">
        <f t="shared" si="1"/>
        <v>16.326832151300238</v>
      </c>
      <c r="AB12">
        <f t="shared" si="2"/>
        <v>88.60283687943263</v>
      </c>
      <c r="AC12">
        <f t="shared" si="3"/>
        <v>104.92966903073287</v>
      </c>
      <c r="AD12">
        <f t="shared" si="4"/>
        <v>121.25650118203311</v>
      </c>
      <c r="AE12">
        <f t="shared" si="5"/>
        <v>153.91016548463358</v>
      </c>
      <c r="AF12">
        <f t="shared" si="6"/>
        <v>170.23699763593382</v>
      </c>
      <c r="AG12">
        <f t="shared" si="7"/>
        <v>186.56382978723406</v>
      </c>
      <c r="AH12" t="e">
        <f t="shared" si="8"/>
        <v>#N/A</v>
      </c>
      <c r="AI12">
        <f t="shared" si="15"/>
        <v>1</v>
      </c>
      <c r="AJ12" t="e">
        <f t="shared" si="9"/>
        <v>#N/A</v>
      </c>
      <c r="AK12">
        <f t="shared" si="10"/>
        <v>0</v>
      </c>
      <c r="AL12" t="e">
        <f t="shared" si="11"/>
        <v>#N/A</v>
      </c>
      <c r="AM12">
        <f t="shared" si="12"/>
        <v>1</v>
      </c>
      <c r="AN12" t="e">
        <f t="shared" si="13"/>
        <v>#N/A</v>
      </c>
      <c r="AO12">
        <f>_xlfn.PERCENTILE.INC(INDEX($W$4:$W$263,MATCH(SPC!$B$13,IF(Setup!$B$11="Weekly",'SPC Backing (Hide)'!$B$4:$B$263,'SPC Backing (Hide)'!$E$4:$E$263),0),1):INDEX($W$4:$W$263,MATCH(SPC!$B$14,IF(Setup!$B$11="Weekly",'SPC Backing (Hide)'!$B$4:$B$263,'SPC Backing (Hide)'!$E$4:$E$263),0),1),'SPC Backing (Hide)'!$AO$3)</f>
        <v>136.10000000000002</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
        <f t="shared" si="14"/>
        <v>33.44999999999996</v>
      </c>
    </row>
    <row r="13" spans="1:43"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165</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165</v>
      </c>
      <c r="X13">
        <f>AVERAGE(INDEX($F$4:$U$263,MATCH(SPC!$B$13,IF(Setup!$B$11="Weekly",'SPC Backing (Hide)'!$B$4:$B$263,'SPC Backing (Hide)'!$E$4:$E$263),0),MATCH($X$2,$F$3:$U$3,0)):INDEX($F$4:$U$263,MATCH(SPC!$B$14,IF(Setup!$B$11="Weekly",'SPC Backing (Hide)'!$B$4:$B$263,'SPC Backing (Hide)'!$E$4:$E$263),0),MATCH('SPC Backing (Hide)'!$X$2,'SPC Backing (Hide)'!$F$3:$U$3,0)))</f>
        <v>137.58333333333334</v>
      </c>
      <c r="Y13" cm="1">
        <f t="array" ref="Y13">ABS(INDEX($F$4:$U$263,ROW(A10),MATCH($X$2,$F$3:$U$3,0))-INDEX($F$4:$U$263,ROW(A9),MATCH($X$2,$F$3:$U$3,0)))</f>
        <v>0</v>
      </c>
      <c r="Z13">
        <f>AVERAGE(INDEX($Y$4:$Y$263,MATCH(SPC!$B$13,IF(Setup!$B$11="Weekly",'SPC Backing (Hide)'!$B$4:$B$263,'SPC Backing (Hide)'!$E$4:$E$263),0)):INDEX($Y$4:$Y$263,MATCH(SPC!$B$14,IF(Setup!$B$11="Weekly",'SPC Backing (Hide)'!$B$4:$B$263,'SPC Backing (Hide)'!$E$4:$E$263),0),1))</f>
        <v>18.416666666666668</v>
      </c>
      <c r="AA13">
        <f t="shared" si="1"/>
        <v>16.326832151300238</v>
      </c>
      <c r="AB13">
        <f t="shared" si="2"/>
        <v>88.60283687943263</v>
      </c>
      <c r="AC13">
        <f t="shared" si="3"/>
        <v>104.92966903073287</v>
      </c>
      <c r="AD13">
        <f t="shared" si="4"/>
        <v>121.25650118203311</v>
      </c>
      <c r="AE13">
        <f t="shared" si="5"/>
        <v>153.91016548463358</v>
      </c>
      <c r="AF13">
        <f t="shared" si="6"/>
        <v>170.23699763593382</v>
      </c>
      <c r="AG13">
        <f t="shared" si="7"/>
        <v>186.56382978723406</v>
      </c>
      <c r="AH13" t="e">
        <f t="shared" si="8"/>
        <v>#N/A</v>
      </c>
      <c r="AI13">
        <f t="shared" si="15"/>
        <v>1</v>
      </c>
      <c r="AJ13">
        <f t="shared" si="9"/>
        <v>165</v>
      </c>
      <c r="AK13">
        <f t="shared" si="10"/>
        <v>1</v>
      </c>
      <c r="AL13" t="e">
        <f t="shared" si="11"/>
        <v>#N/A</v>
      </c>
      <c r="AM13">
        <f t="shared" si="12"/>
        <v>1</v>
      </c>
      <c r="AN13" t="e">
        <f t="shared" si="13"/>
        <v>#N/A</v>
      </c>
      <c r="AO13">
        <f>_xlfn.PERCENTILE.INC(INDEX($W$4:$W$263,MATCH(SPC!$B$13,IF(Setup!$B$11="Weekly",'SPC Backing (Hide)'!$B$4:$B$263,'SPC Backing (Hide)'!$E$4:$E$263),0),1):INDEX($W$4:$W$263,MATCH(SPC!$B$14,IF(Setup!$B$11="Weekly",'SPC Backing (Hide)'!$B$4:$B$263,'SPC Backing (Hide)'!$E$4:$E$263),0),1),'SPC Backing (Hide)'!$AO$3)</f>
        <v>136.10000000000002</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
        <f t="shared" si="14"/>
        <v>33.44999999999996</v>
      </c>
    </row>
    <row r="14" spans="1:43"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178</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178</v>
      </c>
      <c r="X14">
        <f>AVERAGE(INDEX($F$4:$U$263,MATCH(SPC!$B$13,IF(Setup!$B$11="Weekly",'SPC Backing (Hide)'!$B$4:$B$263,'SPC Backing (Hide)'!$E$4:$E$263),0),MATCH($X$2,$F$3:$U$3,0)):INDEX($F$4:$U$263,MATCH(SPC!$B$14,IF(Setup!$B$11="Weekly",'SPC Backing (Hide)'!$B$4:$B$263,'SPC Backing (Hide)'!$E$4:$E$263),0),MATCH('SPC Backing (Hide)'!$X$2,'SPC Backing (Hide)'!$F$3:$U$3,0)))</f>
        <v>137.58333333333334</v>
      </c>
      <c r="Y14" cm="1">
        <f t="array" ref="Y14">ABS(INDEX($F$4:$U$263,ROW(A11),MATCH($X$2,$F$3:$U$3,0))-INDEX($F$4:$U$263,ROW(A10),MATCH($X$2,$F$3:$U$3,0)))</f>
        <v>13</v>
      </c>
      <c r="Z14">
        <f>AVERAGE(INDEX($Y$4:$Y$263,MATCH(SPC!$B$13,IF(Setup!$B$11="Weekly",'SPC Backing (Hide)'!$B$4:$B$263,'SPC Backing (Hide)'!$E$4:$E$263),0)):INDEX($Y$4:$Y$263,MATCH(SPC!$B$14,IF(Setup!$B$11="Weekly",'SPC Backing (Hide)'!$B$4:$B$263,'SPC Backing (Hide)'!$E$4:$E$263),0),1))</f>
        <v>18.416666666666668</v>
      </c>
      <c r="AA14">
        <f t="shared" si="1"/>
        <v>16.326832151300238</v>
      </c>
      <c r="AB14">
        <f t="shared" si="2"/>
        <v>88.60283687943263</v>
      </c>
      <c r="AC14">
        <f t="shared" si="3"/>
        <v>104.92966903073287</v>
      </c>
      <c r="AD14">
        <f t="shared" si="4"/>
        <v>121.25650118203311</v>
      </c>
      <c r="AE14">
        <f t="shared" si="5"/>
        <v>153.91016548463358</v>
      </c>
      <c r="AF14">
        <f t="shared" si="6"/>
        <v>170.23699763593382</v>
      </c>
      <c r="AG14">
        <f t="shared" si="7"/>
        <v>186.56382978723406</v>
      </c>
      <c r="AH14" t="e">
        <f t="shared" si="8"/>
        <v>#N/A</v>
      </c>
      <c r="AI14">
        <f t="shared" si="15"/>
        <v>2</v>
      </c>
      <c r="AJ14" t="e">
        <f t="shared" si="9"/>
        <v>#N/A</v>
      </c>
      <c r="AK14">
        <f t="shared" si="10"/>
        <v>1</v>
      </c>
      <c r="AL14" t="e">
        <f t="shared" si="11"/>
        <v>#N/A</v>
      </c>
      <c r="AM14">
        <f t="shared" si="12"/>
        <v>1</v>
      </c>
      <c r="AN14" t="e">
        <f t="shared" si="13"/>
        <v>#N/A</v>
      </c>
      <c r="AO14">
        <f>_xlfn.PERCENTILE.INC(INDEX($W$4:$W$263,MATCH(SPC!$B$13,IF(Setup!$B$11="Weekly",'SPC Backing (Hide)'!$B$4:$B$263,'SPC Backing (Hide)'!$E$4:$E$263),0),1):INDEX($W$4:$W$263,MATCH(SPC!$B$14,IF(Setup!$B$11="Weekly",'SPC Backing (Hide)'!$B$4:$B$263,'SPC Backing (Hide)'!$E$4:$E$263),0),1),'SPC Backing (Hide)'!$AO$3)</f>
        <v>136.10000000000002</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
        <f t="shared" si="14"/>
        <v>33.44999999999996</v>
      </c>
    </row>
    <row r="15" spans="1:43"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192</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192</v>
      </c>
      <c r="X15">
        <f>AVERAGE(INDEX($F$4:$U$263,MATCH(SPC!$B$13,IF(Setup!$B$11="Weekly",'SPC Backing (Hide)'!$B$4:$B$263,'SPC Backing (Hide)'!$E$4:$E$263),0),MATCH($X$2,$F$3:$U$3,0)):INDEX($F$4:$U$263,MATCH(SPC!$B$14,IF(Setup!$B$11="Weekly",'SPC Backing (Hide)'!$B$4:$B$263,'SPC Backing (Hide)'!$E$4:$E$263),0),MATCH('SPC Backing (Hide)'!$X$2,'SPC Backing (Hide)'!$F$3:$U$3,0)))</f>
        <v>137.58333333333334</v>
      </c>
      <c r="Y15" cm="1">
        <f t="array" ref="Y15">ABS(INDEX($F$4:$U$263,ROW(A12),MATCH($X$2,$F$3:$U$3,0))-INDEX($F$4:$U$263,ROW(A11),MATCH($X$2,$F$3:$U$3,0)))</f>
        <v>14</v>
      </c>
      <c r="Z15">
        <f>AVERAGE(INDEX($Y$4:$Y$263,MATCH(SPC!$B$13,IF(Setup!$B$11="Weekly",'SPC Backing (Hide)'!$B$4:$B$263,'SPC Backing (Hide)'!$E$4:$E$263),0)):INDEX($Y$4:$Y$263,MATCH(SPC!$B$14,IF(Setup!$B$11="Weekly",'SPC Backing (Hide)'!$B$4:$B$263,'SPC Backing (Hide)'!$E$4:$E$263),0),1))</f>
        <v>18.416666666666668</v>
      </c>
      <c r="AA15">
        <f t="shared" si="1"/>
        <v>16.326832151300238</v>
      </c>
      <c r="AB15">
        <f t="shared" si="2"/>
        <v>88.60283687943263</v>
      </c>
      <c r="AC15">
        <f t="shared" si="3"/>
        <v>104.92966903073287</v>
      </c>
      <c r="AD15">
        <f t="shared" si="4"/>
        <v>121.25650118203311</v>
      </c>
      <c r="AE15">
        <f t="shared" si="5"/>
        <v>153.91016548463358</v>
      </c>
      <c r="AF15">
        <f t="shared" si="6"/>
        <v>170.23699763593382</v>
      </c>
      <c r="AG15">
        <f t="shared" si="7"/>
        <v>186.56382978723406</v>
      </c>
      <c r="AH15">
        <f t="shared" si="8"/>
        <v>192</v>
      </c>
      <c r="AI15">
        <f t="shared" si="15"/>
        <v>2</v>
      </c>
      <c r="AJ15" t="e">
        <f t="shared" si="9"/>
        <v>#N/A</v>
      </c>
      <c r="AK15">
        <f t="shared" si="10"/>
        <v>-1</v>
      </c>
      <c r="AL15" t="e">
        <f t="shared" si="11"/>
        <v>#N/A</v>
      </c>
      <c r="AM15">
        <f t="shared" si="12"/>
        <v>1</v>
      </c>
      <c r="AN15" t="e">
        <f t="shared" si="13"/>
        <v>#N/A</v>
      </c>
      <c r="AO15">
        <f>_xlfn.PERCENTILE.INC(INDEX($W$4:$W$263,MATCH(SPC!$B$13,IF(Setup!$B$11="Weekly",'SPC Backing (Hide)'!$B$4:$B$263,'SPC Backing (Hide)'!$E$4:$E$263),0),1):INDEX($W$4:$W$263,MATCH(SPC!$B$14,IF(Setup!$B$11="Weekly",'SPC Backing (Hide)'!$B$4:$B$263,'SPC Backing (Hide)'!$E$4:$E$263),0),1),'SPC Backing (Hide)'!$AO$3)</f>
        <v>136.10000000000002</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
        <f t="shared" si="14"/>
        <v>33.44999999999996</v>
      </c>
    </row>
    <row r="16" spans="1:43"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95</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95</v>
      </c>
      <c r="X16">
        <f>AVERAGE(INDEX($F$4:$U$263,MATCH(SPC!$B$13,IF(Setup!$B$11="Weekly",'SPC Backing (Hide)'!$B$4:$B$263,'SPC Backing (Hide)'!$E$4:$E$263),0),MATCH($X$2,$F$3:$U$3,0)):INDEX($F$4:$U$263,MATCH(SPC!$B$14,IF(Setup!$B$11="Weekly",'SPC Backing (Hide)'!$B$4:$B$263,'SPC Backing (Hide)'!$E$4:$E$263),0),MATCH('SPC Backing (Hide)'!$X$2,'SPC Backing (Hide)'!$F$3:$U$3,0)))</f>
        <v>137.58333333333334</v>
      </c>
      <c r="Y16" cm="1">
        <f t="array" ref="Y16">ABS(INDEX($F$4:$U$263,ROW(A13),MATCH($X$2,$F$3:$U$3,0))-INDEX($F$4:$U$263,ROW(A12),MATCH($X$2,$F$3:$U$3,0)))</f>
        <v>97</v>
      </c>
      <c r="Z16">
        <f>AVERAGE(INDEX($Y$4:$Y$263,MATCH(SPC!$B$13,IF(Setup!$B$11="Weekly",'SPC Backing (Hide)'!$B$4:$B$263,'SPC Backing (Hide)'!$E$4:$E$263),0)):INDEX($Y$4:$Y$263,MATCH(SPC!$B$14,IF(Setup!$B$11="Weekly",'SPC Backing (Hide)'!$B$4:$B$263,'SPC Backing (Hide)'!$E$4:$E$263),0),1))</f>
        <v>18.416666666666668</v>
      </c>
      <c r="AA16">
        <f t="shared" si="1"/>
        <v>16.326832151300238</v>
      </c>
      <c r="AB16">
        <f t="shared" si="2"/>
        <v>88.60283687943263</v>
      </c>
      <c r="AC16">
        <f t="shared" si="3"/>
        <v>104.92966903073287</v>
      </c>
      <c r="AD16">
        <f t="shared" si="4"/>
        <v>121.25650118203311</v>
      </c>
      <c r="AE16">
        <f t="shared" si="5"/>
        <v>153.91016548463358</v>
      </c>
      <c r="AF16">
        <f t="shared" si="6"/>
        <v>170.23699763593382</v>
      </c>
      <c r="AG16">
        <f t="shared" si="7"/>
        <v>186.56382978723406</v>
      </c>
      <c r="AH16" t="e">
        <f t="shared" si="8"/>
        <v>#N/A</v>
      </c>
      <c r="AI16">
        <f t="shared" si="15"/>
        <v>-2</v>
      </c>
      <c r="AJ16">
        <f t="shared" si="9"/>
        <v>95</v>
      </c>
      <c r="AK16">
        <f t="shared" si="10"/>
        <v>-1</v>
      </c>
      <c r="AL16" t="e">
        <f t="shared" si="11"/>
        <v>#N/A</v>
      </c>
      <c r="AM16">
        <f t="shared" si="12"/>
        <v>-1</v>
      </c>
      <c r="AN16">
        <f t="shared" si="13"/>
        <v>95</v>
      </c>
      <c r="AO16">
        <f>_xlfn.PERCENTILE.INC(INDEX($W$4:$W$263,MATCH(SPC!$B$13,IF(Setup!$B$11="Weekly",'SPC Backing (Hide)'!$B$4:$B$263,'SPC Backing (Hide)'!$E$4:$E$263),0),1):INDEX($W$4:$W$263,MATCH(SPC!$B$14,IF(Setup!$B$11="Weekly",'SPC Backing (Hide)'!$B$4:$B$263,'SPC Backing (Hide)'!$E$4:$E$263),0),1),'SPC Backing (Hide)'!$AO$3)</f>
        <v>136.10000000000002</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
        <f t="shared" si="14"/>
        <v>33.44999999999996</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137.58333333333334</v>
      </c>
      <c r="Y17" cm="1">
        <f t="array" ref="Y17">ABS(INDEX($F$4:$U$263,ROW(A14),MATCH($X$2,$F$3:$U$3,0))-INDEX($F$4:$U$263,ROW(A13),MATCH($X$2,$F$3:$U$3,0)))</f>
        <v>95</v>
      </c>
      <c r="Z17">
        <f>AVERAGE(INDEX($Y$4:$Y$263,MATCH(SPC!$B$13,IF(Setup!$B$11="Weekly",'SPC Backing (Hide)'!$B$4:$B$263,'SPC Backing (Hide)'!$E$4:$E$263),0)):INDEX($Y$4:$Y$263,MATCH(SPC!$B$14,IF(Setup!$B$11="Weekly",'SPC Backing (Hide)'!$B$4:$B$263,'SPC Backing (Hide)'!$E$4:$E$263),0),1))</f>
        <v>18.416666666666668</v>
      </c>
      <c r="AA17">
        <f t="shared" si="1"/>
        <v>16.326832151300238</v>
      </c>
      <c r="AB17">
        <f t="shared" si="2"/>
        <v>88.60283687943263</v>
      </c>
      <c r="AC17">
        <f t="shared" si="3"/>
        <v>104.92966903073287</v>
      </c>
      <c r="AD17">
        <f t="shared" si="4"/>
        <v>121.25650118203311</v>
      </c>
      <c r="AE17">
        <f t="shared" si="5"/>
        <v>153.91016548463358</v>
      </c>
      <c r="AF17">
        <f t="shared" si="6"/>
        <v>170.23699763593382</v>
      </c>
      <c r="AG17">
        <f t="shared" si="7"/>
        <v>186.56382978723406</v>
      </c>
      <c r="AH17">
        <f t="shared" si="8"/>
        <v>0</v>
      </c>
      <c r="AI17">
        <f t="shared" si="15"/>
        <v>-2</v>
      </c>
      <c r="AJ17">
        <f t="shared" si="9"/>
        <v>0</v>
      </c>
      <c r="AK17">
        <f t="shared" si="10"/>
        <v>0</v>
      </c>
      <c r="AL17" t="e">
        <f t="shared" si="11"/>
        <v>#N/A</v>
      </c>
      <c r="AM17">
        <f t="shared" si="12"/>
        <v>-1</v>
      </c>
      <c r="AN17">
        <f t="shared" si="13"/>
        <v>0</v>
      </c>
      <c r="AO17">
        <f>_xlfn.PERCENTILE.INC(INDEX($W$4:$W$263,MATCH(SPC!$B$13,IF(Setup!$B$11="Weekly",'SPC Backing (Hide)'!$B$4:$B$263,'SPC Backing (Hide)'!$E$4:$E$263),0),1):INDEX($W$4:$W$263,MATCH(SPC!$B$14,IF(Setup!$B$11="Weekly",'SPC Backing (Hide)'!$B$4:$B$263,'SPC Backing (Hide)'!$E$4:$E$263),0),1),'SPC Backing (Hide)'!$AO$3)</f>
        <v>136.10000000000002</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
        <f t="shared" si="14"/>
        <v>33.44999999999996</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137.58333333333334</v>
      </c>
      <c r="Y18" cm="1">
        <f t="array" ref="Y18">ABS(INDEX($F$4:$U$263,ROW(A15),MATCH($X$2,$F$3:$U$3,0))-INDEX($F$4:$U$263,ROW(A14),MATCH($X$2,$F$3:$U$3,0)))</f>
        <v>0</v>
      </c>
      <c r="Z18">
        <f>AVERAGE(INDEX($Y$4:$Y$263,MATCH(SPC!$B$13,IF(Setup!$B$11="Weekly",'SPC Backing (Hide)'!$B$4:$B$263,'SPC Backing (Hide)'!$E$4:$E$263),0)):INDEX($Y$4:$Y$263,MATCH(SPC!$B$14,IF(Setup!$B$11="Weekly",'SPC Backing (Hide)'!$B$4:$B$263,'SPC Backing (Hide)'!$E$4:$E$263),0),1))</f>
        <v>18.416666666666668</v>
      </c>
      <c r="AA18">
        <f t="shared" si="1"/>
        <v>16.326832151300238</v>
      </c>
      <c r="AB18">
        <f t="shared" si="2"/>
        <v>88.60283687943263</v>
      </c>
      <c r="AC18">
        <f t="shared" si="3"/>
        <v>104.92966903073287</v>
      </c>
      <c r="AD18">
        <f t="shared" si="4"/>
        <v>121.25650118203311</v>
      </c>
      <c r="AE18">
        <f t="shared" si="5"/>
        <v>153.91016548463358</v>
      </c>
      <c r="AF18">
        <f t="shared" si="6"/>
        <v>170.23699763593382</v>
      </c>
      <c r="AG18">
        <f t="shared" si="7"/>
        <v>186.56382978723406</v>
      </c>
      <c r="AH18">
        <f t="shared" si="8"/>
        <v>0</v>
      </c>
      <c r="AI18">
        <f t="shared" si="15"/>
        <v>-2</v>
      </c>
      <c r="AJ18">
        <f t="shared" si="9"/>
        <v>0</v>
      </c>
      <c r="AK18">
        <f t="shared" si="10"/>
        <v>0</v>
      </c>
      <c r="AL18" t="e">
        <f t="shared" si="11"/>
        <v>#N/A</v>
      </c>
      <c r="AM18">
        <f t="shared" si="12"/>
        <v>-1</v>
      </c>
      <c r="AN18">
        <f t="shared" si="13"/>
        <v>0</v>
      </c>
      <c r="AO18">
        <f>_xlfn.PERCENTILE.INC(INDEX($W$4:$W$263,MATCH(SPC!$B$13,IF(Setup!$B$11="Weekly",'SPC Backing (Hide)'!$B$4:$B$263,'SPC Backing (Hide)'!$E$4:$E$263),0),1):INDEX($W$4:$W$263,MATCH(SPC!$B$14,IF(Setup!$B$11="Weekly",'SPC Backing (Hide)'!$B$4:$B$263,'SPC Backing (Hide)'!$E$4:$E$263),0),1),'SPC Backing (Hide)'!$AO$3)</f>
        <v>136.10000000000002</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
        <f t="shared" si="14"/>
        <v>33.44999999999996</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137.58333333333334</v>
      </c>
      <c r="Y19" cm="1">
        <f t="array" ref="Y19">ABS(INDEX($F$4:$U$263,ROW(A16),MATCH($X$2,$F$3:$U$3,0))-INDEX($F$4:$U$263,ROW(A15),MATCH($X$2,$F$3:$U$3,0)))</f>
        <v>0</v>
      </c>
      <c r="Z19">
        <f>AVERAGE(INDEX($Y$4:$Y$263,MATCH(SPC!$B$13,IF(Setup!$B$11="Weekly",'SPC Backing (Hide)'!$B$4:$B$263,'SPC Backing (Hide)'!$E$4:$E$263),0)):INDEX($Y$4:$Y$263,MATCH(SPC!$B$14,IF(Setup!$B$11="Weekly",'SPC Backing (Hide)'!$B$4:$B$263,'SPC Backing (Hide)'!$E$4:$E$263),0),1))</f>
        <v>18.416666666666668</v>
      </c>
      <c r="AA19">
        <f t="shared" si="1"/>
        <v>16.326832151300238</v>
      </c>
      <c r="AB19">
        <f t="shared" si="2"/>
        <v>88.60283687943263</v>
      </c>
      <c r="AC19">
        <f t="shared" si="3"/>
        <v>104.92966903073287</v>
      </c>
      <c r="AD19">
        <f t="shared" si="4"/>
        <v>121.25650118203311</v>
      </c>
      <c r="AE19">
        <f t="shared" si="5"/>
        <v>153.91016548463358</v>
      </c>
      <c r="AF19">
        <f t="shared" si="6"/>
        <v>170.23699763593382</v>
      </c>
      <c r="AG19">
        <f t="shared" si="7"/>
        <v>186.56382978723406</v>
      </c>
      <c r="AH19">
        <f t="shared" si="8"/>
        <v>0</v>
      </c>
      <c r="AI19">
        <f t="shared" si="15"/>
        <v>-2</v>
      </c>
      <c r="AJ19">
        <f t="shared" si="9"/>
        <v>0</v>
      </c>
      <c r="AK19">
        <f t="shared" si="10"/>
        <v>0</v>
      </c>
      <c r="AL19" t="e">
        <f t="shared" si="11"/>
        <v>#N/A</v>
      </c>
      <c r="AM19">
        <f t="shared" si="12"/>
        <v>-1</v>
      </c>
      <c r="AN19">
        <f t="shared" si="13"/>
        <v>0</v>
      </c>
      <c r="AO19">
        <f>_xlfn.PERCENTILE.INC(INDEX($W$4:$W$263,MATCH(SPC!$B$13,IF(Setup!$B$11="Weekly",'SPC Backing (Hide)'!$B$4:$B$263,'SPC Backing (Hide)'!$E$4:$E$263),0),1):INDEX($W$4:$W$263,MATCH(SPC!$B$14,IF(Setup!$B$11="Weekly",'SPC Backing (Hide)'!$B$4:$B$263,'SPC Backing (Hide)'!$E$4:$E$263),0),1),'SPC Backing (Hide)'!$AO$3)</f>
        <v>136.10000000000002</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
        <f t="shared" si="14"/>
        <v>33.44999999999996</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137.58333333333334</v>
      </c>
      <c r="Y20" cm="1">
        <f t="array" ref="Y20">ABS(INDEX($F$4:$U$263,ROW(A17),MATCH($X$2,$F$3:$U$3,0))-INDEX($F$4:$U$263,ROW(A16),MATCH($X$2,$F$3:$U$3,0)))</f>
        <v>0</v>
      </c>
      <c r="Z20">
        <f>AVERAGE(INDEX($Y$4:$Y$263,MATCH(SPC!$B$13,IF(Setup!$B$11="Weekly",'SPC Backing (Hide)'!$B$4:$B$263,'SPC Backing (Hide)'!$E$4:$E$263),0)):INDEX($Y$4:$Y$263,MATCH(SPC!$B$14,IF(Setup!$B$11="Weekly",'SPC Backing (Hide)'!$B$4:$B$263,'SPC Backing (Hide)'!$E$4:$E$263),0),1))</f>
        <v>18.416666666666668</v>
      </c>
      <c r="AA20">
        <f t="shared" si="1"/>
        <v>16.326832151300238</v>
      </c>
      <c r="AB20">
        <f t="shared" si="2"/>
        <v>88.60283687943263</v>
      </c>
      <c r="AC20">
        <f t="shared" si="3"/>
        <v>104.92966903073287</v>
      </c>
      <c r="AD20">
        <f t="shared" si="4"/>
        <v>121.25650118203311</v>
      </c>
      <c r="AE20">
        <f t="shared" si="5"/>
        <v>153.91016548463358</v>
      </c>
      <c r="AF20">
        <f t="shared" si="6"/>
        <v>170.23699763593382</v>
      </c>
      <c r="AG20">
        <f t="shared" si="7"/>
        <v>186.56382978723406</v>
      </c>
      <c r="AH20">
        <f t="shared" si="8"/>
        <v>0</v>
      </c>
      <c r="AI20">
        <f t="shared" si="15"/>
        <v>-2</v>
      </c>
      <c r="AJ20">
        <f t="shared" si="9"/>
        <v>0</v>
      </c>
      <c r="AK20">
        <f t="shared" si="10"/>
        <v>0</v>
      </c>
      <c r="AL20" t="e">
        <f t="shared" si="11"/>
        <v>#N/A</v>
      </c>
      <c r="AM20">
        <f t="shared" si="12"/>
        <v>-1</v>
      </c>
      <c r="AN20">
        <f t="shared" si="13"/>
        <v>0</v>
      </c>
      <c r="AO20">
        <f>_xlfn.PERCENTILE.INC(INDEX($W$4:$W$263,MATCH(SPC!$B$13,IF(Setup!$B$11="Weekly",'SPC Backing (Hide)'!$B$4:$B$263,'SPC Backing (Hide)'!$E$4:$E$263),0),1):INDEX($W$4:$W$263,MATCH(SPC!$B$14,IF(Setup!$B$11="Weekly",'SPC Backing (Hide)'!$B$4:$B$263,'SPC Backing (Hide)'!$E$4:$E$263),0),1),'SPC Backing (Hide)'!$AO$3)</f>
        <v>136.10000000000002</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
        <f t="shared" si="14"/>
        <v>33.44999999999996</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137.58333333333334</v>
      </c>
      <c r="Y21" cm="1">
        <f t="array" ref="Y21">ABS(INDEX($F$4:$U$263,ROW(A18),MATCH($X$2,$F$3:$U$3,0))-INDEX($F$4:$U$263,ROW(A17),MATCH($X$2,$F$3:$U$3,0)))</f>
        <v>0</v>
      </c>
      <c r="Z21">
        <f>AVERAGE(INDEX($Y$4:$Y$263,MATCH(SPC!$B$13,IF(Setup!$B$11="Weekly",'SPC Backing (Hide)'!$B$4:$B$263,'SPC Backing (Hide)'!$E$4:$E$263),0)):INDEX($Y$4:$Y$263,MATCH(SPC!$B$14,IF(Setup!$B$11="Weekly",'SPC Backing (Hide)'!$B$4:$B$263,'SPC Backing (Hide)'!$E$4:$E$263),0),1))</f>
        <v>18.416666666666668</v>
      </c>
      <c r="AA21">
        <f t="shared" si="1"/>
        <v>16.326832151300238</v>
      </c>
      <c r="AB21">
        <f t="shared" si="2"/>
        <v>88.60283687943263</v>
      </c>
      <c r="AC21">
        <f t="shared" si="3"/>
        <v>104.92966903073287</v>
      </c>
      <c r="AD21">
        <f t="shared" si="4"/>
        <v>121.25650118203311</v>
      </c>
      <c r="AE21">
        <f t="shared" si="5"/>
        <v>153.91016548463358</v>
      </c>
      <c r="AF21">
        <f t="shared" si="6"/>
        <v>170.23699763593382</v>
      </c>
      <c r="AG21">
        <f t="shared" si="7"/>
        <v>186.56382978723406</v>
      </c>
      <c r="AH21">
        <f t="shared" si="8"/>
        <v>0</v>
      </c>
      <c r="AI21">
        <f t="shared" si="15"/>
        <v>-2</v>
      </c>
      <c r="AJ21">
        <f t="shared" si="9"/>
        <v>0</v>
      </c>
      <c r="AK21">
        <f t="shared" si="10"/>
        <v>0</v>
      </c>
      <c r="AL21" t="e">
        <f t="shared" si="11"/>
        <v>#N/A</v>
      </c>
      <c r="AM21">
        <f t="shared" si="12"/>
        <v>-1</v>
      </c>
      <c r="AN21">
        <f t="shared" si="13"/>
        <v>0</v>
      </c>
      <c r="AO21">
        <f>_xlfn.PERCENTILE.INC(INDEX($W$4:$W$263,MATCH(SPC!$B$13,IF(Setup!$B$11="Weekly",'SPC Backing (Hide)'!$B$4:$B$263,'SPC Backing (Hide)'!$E$4:$E$263),0),1):INDEX($W$4:$W$263,MATCH(SPC!$B$14,IF(Setup!$B$11="Weekly",'SPC Backing (Hide)'!$B$4:$B$263,'SPC Backing (Hide)'!$E$4:$E$263),0),1),'SPC Backing (Hide)'!$AO$3)</f>
        <v>136.10000000000002</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
        <f t="shared" si="14"/>
        <v>33.44999999999996</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137.58333333333334</v>
      </c>
      <c r="Y22" cm="1">
        <f t="array" ref="Y22">ABS(INDEX($F$4:$U$263,ROW(A19),MATCH($X$2,$F$3:$U$3,0))-INDEX($F$4:$U$263,ROW(A18),MATCH($X$2,$F$3:$U$3,0)))</f>
        <v>0</v>
      </c>
      <c r="Z22">
        <f>AVERAGE(INDEX($Y$4:$Y$263,MATCH(SPC!$B$13,IF(Setup!$B$11="Weekly",'SPC Backing (Hide)'!$B$4:$B$263,'SPC Backing (Hide)'!$E$4:$E$263),0)):INDEX($Y$4:$Y$263,MATCH(SPC!$B$14,IF(Setup!$B$11="Weekly",'SPC Backing (Hide)'!$B$4:$B$263,'SPC Backing (Hide)'!$E$4:$E$263),0),1))</f>
        <v>18.416666666666668</v>
      </c>
      <c r="AA22">
        <f t="shared" si="1"/>
        <v>16.326832151300238</v>
      </c>
      <c r="AB22">
        <f t="shared" si="2"/>
        <v>88.60283687943263</v>
      </c>
      <c r="AC22">
        <f t="shared" si="3"/>
        <v>104.92966903073287</v>
      </c>
      <c r="AD22">
        <f t="shared" si="4"/>
        <v>121.25650118203311</v>
      </c>
      <c r="AE22">
        <f t="shared" si="5"/>
        <v>153.91016548463358</v>
      </c>
      <c r="AF22">
        <f t="shared" si="6"/>
        <v>170.23699763593382</v>
      </c>
      <c r="AG22">
        <f t="shared" si="7"/>
        <v>186.56382978723406</v>
      </c>
      <c r="AH22">
        <f t="shared" si="8"/>
        <v>0</v>
      </c>
      <c r="AI22">
        <f t="shared" si="15"/>
        <v>-2</v>
      </c>
      <c r="AJ22">
        <f t="shared" si="9"/>
        <v>0</v>
      </c>
      <c r="AK22">
        <f t="shared" si="10"/>
        <v>0</v>
      </c>
      <c r="AL22" t="e">
        <f t="shared" si="11"/>
        <v>#N/A</v>
      </c>
      <c r="AM22">
        <f t="shared" si="12"/>
        <v>-1</v>
      </c>
      <c r="AN22">
        <f t="shared" si="13"/>
        <v>0</v>
      </c>
      <c r="AO22">
        <f>_xlfn.PERCENTILE.INC(INDEX($W$4:$W$263,MATCH(SPC!$B$13,IF(Setup!$B$11="Weekly",'SPC Backing (Hide)'!$B$4:$B$263,'SPC Backing (Hide)'!$E$4:$E$263),0),1):INDEX($W$4:$W$263,MATCH(SPC!$B$14,IF(Setup!$B$11="Weekly",'SPC Backing (Hide)'!$B$4:$B$263,'SPC Backing (Hide)'!$E$4:$E$263),0),1),'SPC Backing (Hide)'!$AO$3)</f>
        <v>136.10000000000002</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
        <f t="shared" si="14"/>
        <v>33.44999999999996</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137.58333333333334</v>
      </c>
      <c r="Y23" cm="1">
        <f t="array" ref="Y23">ABS(INDEX($F$4:$U$263,ROW(A20),MATCH($X$2,$F$3:$U$3,0))-INDEX($F$4:$U$263,ROW(A19),MATCH($X$2,$F$3:$U$3,0)))</f>
        <v>0</v>
      </c>
      <c r="Z23">
        <f>AVERAGE(INDEX($Y$4:$Y$263,MATCH(SPC!$B$13,IF(Setup!$B$11="Weekly",'SPC Backing (Hide)'!$B$4:$B$263,'SPC Backing (Hide)'!$E$4:$E$263),0)):INDEX($Y$4:$Y$263,MATCH(SPC!$B$14,IF(Setup!$B$11="Weekly",'SPC Backing (Hide)'!$B$4:$B$263,'SPC Backing (Hide)'!$E$4:$E$263),0),1))</f>
        <v>18.416666666666668</v>
      </c>
      <c r="AA23">
        <f t="shared" si="1"/>
        <v>16.326832151300238</v>
      </c>
      <c r="AB23">
        <f t="shared" si="2"/>
        <v>88.60283687943263</v>
      </c>
      <c r="AC23">
        <f t="shared" si="3"/>
        <v>104.92966903073287</v>
      </c>
      <c r="AD23">
        <f t="shared" si="4"/>
        <v>121.25650118203311</v>
      </c>
      <c r="AE23">
        <f t="shared" si="5"/>
        <v>153.91016548463358</v>
      </c>
      <c r="AF23">
        <f t="shared" si="6"/>
        <v>170.23699763593382</v>
      </c>
      <c r="AG23">
        <f t="shared" si="7"/>
        <v>186.56382978723406</v>
      </c>
      <c r="AH23">
        <f t="shared" si="8"/>
        <v>0</v>
      </c>
      <c r="AI23">
        <f t="shared" si="15"/>
        <v>-2</v>
      </c>
      <c r="AJ23">
        <f t="shared" si="9"/>
        <v>0</v>
      </c>
      <c r="AK23">
        <f t="shared" si="10"/>
        <v>0</v>
      </c>
      <c r="AL23" t="e">
        <f t="shared" si="11"/>
        <v>#N/A</v>
      </c>
      <c r="AM23">
        <f t="shared" si="12"/>
        <v>-1</v>
      </c>
      <c r="AN23">
        <f t="shared" si="13"/>
        <v>0</v>
      </c>
      <c r="AO23">
        <f>_xlfn.PERCENTILE.INC(INDEX($W$4:$W$263,MATCH(SPC!$B$13,IF(Setup!$B$11="Weekly",'SPC Backing (Hide)'!$B$4:$B$263,'SPC Backing (Hide)'!$E$4:$E$263),0),1):INDEX($W$4:$W$263,MATCH(SPC!$B$14,IF(Setup!$B$11="Weekly",'SPC Backing (Hide)'!$B$4:$B$263,'SPC Backing (Hide)'!$E$4:$E$263),0),1),'SPC Backing (Hide)'!$AO$3)</f>
        <v>136.10000000000002</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
        <f t="shared" si="14"/>
        <v>33.44999999999996</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137.58333333333334</v>
      </c>
      <c r="Y24" cm="1">
        <f t="array" ref="Y24">ABS(INDEX($F$4:$U$263,ROW(A21),MATCH($X$2,$F$3:$U$3,0))-INDEX($F$4:$U$263,ROW(A20),MATCH($X$2,$F$3:$U$3,0)))</f>
        <v>0</v>
      </c>
      <c r="Z24">
        <f>AVERAGE(INDEX($Y$4:$Y$263,MATCH(SPC!$B$13,IF(Setup!$B$11="Weekly",'SPC Backing (Hide)'!$B$4:$B$263,'SPC Backing (Hide)'!$E$4:$E$263),0)):INDEX($Y$4:$Y$263,MATCH(SPC!$B$14,IF(Setup!$B$11="Weekly",'SPC Backing (Hide)'!$B$4:$B$263,'SPC Backing (Hide)'!$E$4:$E$263),0),1))</f>
        <v>18.416666666666668</v>
      </c>
      <c r="AA24">
        <f t="shared" si="1"/>
        <v>16.326832151300238</v>
      </c>
      <c r="AB24">
        <f t="shared" si="2"/>
        <v>88.60283687943263</v>
      </c>
      <c r="AC24">
        <f t="shared" si="3"/>
        <v>104.92966903073287</v>
      </c>
      <c r="AD24">
        <f t="shared" si="4"/>
        <v>121.25650118203311</v>
      </c>
      <c r="AE24">
        <f t="shared" si="5"/>
        <v>153.91016548463358</v>
      </c>
      <c r="AF24">
        <f t="shared" si="6"/>
        <v>170.23699763593382</v>
      </c>
      <c r="AG24">
        <f t="shared" si="7"/>
        <v>186.56382978723406</v>
      </c>
      <c r="AH24">
        <f t="shared" si="8"/>
        <v>0</v>
      </c>
      <c r="AI24">
        <f t="shared" si="15"/>
        <v>-2</v>
      </c>
      <c r="AJ24">
        <f t="shared" si="9"/>
        <v>0</v>
      </c>
      <c r="AK24">
        <f t="shared" si="10"/>
        <v>0</v>
      </c>
      <c r="AL24" t="e">
        <f t="shared" si="11"/>
        <v>#N/A</v>
      </c>
      <c r="AM24">
        <f t="shared" si="12"/>
        <v>-1</v>
      </c>
      <c r="AN24">
        <f t="shared" si="13"/>
        <v>0</v>
      </c>
      <c r="AO24">
        <f>_xlfn.PERCENTILE.INC(INDEX($W$4:$W$263,MATCH(SPC!$B$13,IF(Setup!$B$11="Weekly",'SPC Backing (Hide)'!$B$4:$B$263,'SPC Backing (Hide)'!$E$4:$E$263),0),1):INDEX($W$4:$W$263,MATCH(SPC!$B$14,IF(Setup!$B$11="Weekly",'SPC Backing (Hide)'!$B$4:$B$263,'SPC Backing (Hide)'!$E$4:$E$263),0),1),'SPC Backing (Hide)'!$AO$3)</f>
        <v>136.10000000000002</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
        <f t="shared" si="14"/>
        <v>33.44999999999996</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137.58333333333334</v>
      </c>
      <c r="Y25" cm="1">
        <f t="array" ref="Y25">ABS(INDEX($F$4:$U$263,ROW(A22),MATCH($X$2,$F$3:$U$3,0))-INDEX($F$4:$U$263,ROW(A21),MATCH($X$2,$F$3:$U$3,0)))</f>
        <v>0</v>
      </c>
      <c r="Z25">
        <f>AVERAGE(INDEX($Y$4:$Y$263,MATCH(SPC!$B$13,IF(Setup!$B$11="Weekly",'SPC Backing (Hide)'!$B$4:$B$263,'SPC Backing (Hide)'!$E$4:$E$263),0)):INDEX($Y$4:$Y$263,MATCH(SPC!$B$14,IF(Setup!$B$11="Weekly",'SPC Backing (Hide)'!$B$4:$B$263,'SPC Backing (Hide)'!$E$4:$E$263),0),1))</f>
        <v>18.416666666666668</v>
      </c>
      <c r="AA25">
        <f t="shared" si="1"/>
        <v>16.326832151300238</v>
      </c>
      <c r="AB25">
        <f t="shared" si="2"/>
        <v>88.60283687943263</v>
      </c>
      <c r="AC25">
        <f t="shared" si="3"/>
        <v>104.92966903073287</v>
      </c>
      <c r="AD25">
        <f t="shared" si="4"/>
        <v>121.25650118203311</v>
      </c>
      <c r="AE25">
        <f t="shared" si="5"/>
        <v>153.91016548463358</v>
      </c>
      <c r="AF25">
        <f t="shared" si="6"/>
        <v>170.23699763593382</v>
      </c>
      <c r="AG25">
        <f t="shared" si="7"/>
        <v>186.56382978723406</v>
      </c>
      <c r="AH25">
        <f t="shared" si="8"/>
        <v>0</v>
      </c>
      <c r="AI25">
        <f t="shared" si="15"/>
        <v>-2</v>
      </c>
      <c r="AJ25">
        <f t="shared" si="9"/>
        <v>0</v>
      </c>
      <c r="AK25">
        <f t="shared" si="10"/>
        <v>0</v>
      </c>
      <c r="AL25" t="e">
        <f t="shared" si="11"/>
        <v>#N/A</v>
      </c>
      <c r="AM25">
        <f t="shared" si="12"/>
        <v>-1</v>
      </c>
      <c r="AN25">
        <f t="shared" si="13"/>
        <v>0</v>
      </c>
      <c r="AO25">
        <f>_xlfn.PERCENTILE.INC(INDEX($W$4:$W$263,MATCH(SPC!$B$13,IF(Setup!$B$11="Weekly",'SPC Backing (Hide)'!$B$4:$B$263,'SPC Backing (Hide)'!$E$4:$E$263),0),1):INDEX($W$4:$W$263,MATCH(SPC!$B$14,IF(Setup!$B$11="Weekly",'SPC Backing (Hide)'!$B$4:$B$263,'SPC Backing (Hide)'!$E$4:$E$263),0),1),'SPC Backing (Hide)'!$AO$3)</f>
        <v>136.10000000000002</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
        <f t="shared" si="14"/>
        <v>33.44999999999996</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137.58333333333334</v>
      </c>
      <c r="Y26" cm="1">
        <f t="array" ref="Y26">ABS(INDEX($F$4:$U$263,ROW(A23),MATCH($X$2,$F$3:$U$3,0))-INDEX($F$4:$U$263,ROW(A22),MATCH($X$2,$F$3:$U$3,0)))</f>
        <v>0</v>
      </c>
      <c r="Z26">
        <f>AVERAGE(INDEX($Y$4:$Y$263,MATCH(SPC!$B$13,IF(Setup!$B$11="Weekly",'SPC Backing (Hide)'!$B$4:$B$263,'SPC Backing (Hide)'!$E$4:$E$263),0)):INDEX($Y$4:$Y$263,MATCH(SPC!$B$14,IF(Setup!$B$11="Weekly",'SPC Backing (Hide)'!$B$4:$B$263,'SPC Backing (Hide)'!$E$4:$E$263),0),1))</f>
        <v>18.416666666666668</v>
      </c>
      <c r="AA26">
        <f t="shared" si="1"/>
        <v>16.326832151300238</v>
      </c>
      <c r="AB26">
        <f t="shared" si="2"/>
        <v>88.60283687943263</v>
      </c>
      <c r="AC26">
        <f t="shared" si="3"/>
        <v>104.92966903073287</v>
      </c>
      <c r="AD26">
        <f t="shared" si="4"/>
        <v>121.25650118203311</v>
      </c>
      <c r="AE26">
        <f t="shared" si="5"/>
        <v>153.91016548463358</v>
      </c>
      <c r="AF26">
        <f t="shared" si="6"/>
        <v>170.23699763593382</v>
      </c>
      <c r="AG26">
        <f t="shared" si="7"/>
        <v>186.56382978723406</v>
      </c>
      <c r="AH26">
        <f t="shared" si="8"/>
        <v>0</v>
      </c>
      <c r="AI26">
        <f t="shared" si="15"/>
        <v>-2</v>
      </c>
      <c r="AJ26">
        <f t="shared" si="9"/>
        <v>0</v>
      </c>
      <c r="AK26">
        <f t="shared" si="10"/>
        <v>0</v>
      </c>
      <c r="AL26" t="e">
        <f t="shared" si="11"/>
        <v>#N/A</v>
      </c>
      <c r="AM26">
        <f t="shared" si="12"/>
        <v>-1</v>
      </c>
      <c r="AN26">
        <f t="shared" si="13"/>
        <v>0</v>
      </c>
      <c r="AO26">
        <f>_xlfn.PERCENTILE.INC(INDEX($W$4:$W$263,MATCH(SPC!$B$13,IF(Setup!$B$11="Weekly",'SPC Backing (Hide)'!$B$4:$B$263,'SPC Backing (Hide)'!$E$4:$E$263),0),1):INDEX($W$4:$W$263,MATCH(SPC!$B$14,IF(Setup!$B$11="Weekly",'SPC Backing (Hide)'!$B$4:$B$263,'SPC Backing (Hide)'!$E$4:$E$263),0),1),'SPC Backing (Hide)'!$AO$3)</f>
        <v>136.10000000000002</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
        <f t="shared" si="14"/>
        <v>33.44999999999996</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137.58333333333334</v>
      </c>
      <c r="Y27" cm="1">
        <f t="array" ref="Y27">ABS(INDEX($F$4:$U$263,ROW(A24),MATCH($X$2,$F$3:$U$3,0))-INDEX($F$4:$U$263,ROW(A23),MATCH($X$2,$F$3:$U$3,0)))</f>
        <v>0</v>
      </c>
      <c r="Z27">
        <f>AVERAGE(INDEX($Y$4:$Y$263,MATCH(SPC!$B$13,IF(Setup!$B$11="Weekly",'SPC Backing (Hide)'!$B$4:$B$263,'SPC Backing (Hide)'!$E$4:$E$263),0)):INDEX($Y$4:$Y$263,MATCH(SPC!$B$14,IF(Setup!$B$11="Weekly",'SPC Backing (Hide)'!$B$4:$B$263,'SPC Backing (Hide)'!$E$4:$E$263),0),1))</f>
        <v>18.416666666666668</v>
      </c>
      <c r="AA27">
        <f t="shared" si="1"/>
        <v>16.326832151300238</v>
      </c>
      <c r="AB27">
        <f t="shared" si="2"/>
        <v>88.60283687943263</v>
      </c>
      <c r="AC27">
        <f t="shared" si="3"/>
        <v>104.92966903073287</v>
      </c>
      <c r="AD27">
        <f t="shared" si="4"/>
        <v>121.25650118203311</v>
      </c>
      <c r="AE27">
        <f t="shared" si="5"/>
        <v>153.91016548463358</v>
      </c>
      <c r="AF27">
        <f t="shared" si="6"/>
        <v>170.23699763593382</v>
      </c>
      <c r="AG27">
        <f t="shared" si="7"/>
        <v>186.56382978723406</v>
      </c>
      <c r="AH27">
        <f t="shared" si="8"/>
        <v>0</v>
      </c>
      <c r="AI27">
        <f t="shared" si="15"/>
        <v>-2</v>
      </c>
      <c r="AJ27">
        <f t="shared" si="9"/>
        <v>0</v>
      </c>
      <c r="AK27">
        <f t="shared" si="10"/>
        <v>0</v>
      </c>
      <c r="AL27" t="e">
        <f t="shared" si="11"/>
        <v>#N/A</v>
      </c>
      <c r="AM27">
        <f t="shared" si="12"/>
        <v>-1</v>
      </c>
      <c r="AN27">
        <f t="shared" si="13"/>
        <v>0</v>
      </c>
      <c r="AO27">
        <f>_xlfn.PERCENTILE.INC(INDEX($W$4:$W$263,MATCH(SPC!$B$13,IF(Setup!$B$11="Weekly",'SPC Backing (Hide)'!$B$4:$B$263,'SPC Backing (Hide)'!$E$4:$E$263),0),1):INDEX($W$4:$W$263,MATCH(SPC!$B$14,IF(Setup!$B$11="Weekly",'SPC Backing (Hide)'!$B$4:$B$263,'SPC Backing (Hide)'!$E$4:$E$263),0),1),'SPC Backing (Hide)'!$AO$3)</f>
        <v>136.10000000000002</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7">
        <f t="shared" si="14"/>
        <v>33.44999999999996</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137.58333333333334</v>
      </c>
      <c r="Y28" cm="1">
        <f t="array" ref="Y28">ABS(INDEX($F$4:$U$263,ROW(A25),MATCH($X$2,$F$3:$U$3,0))-INDEX($F$4:$U$263,ROW(A24),MATCH($X$2,$F$3:$U$3,0)))</f>
        <v>0</v>
      </c>
      <c r="Z28">
        <f>AVERAGE(INDEX($Y$4:$Y$263,MATCH(SPC!$B$13,IF(Setup!$B$11="Weekly",'SPC Backing (Hide)'!$B$4:$B$263,'SPC Backing (Hide)'!$E$4:$E$263),0)):INDEX($Y$4:$Y$263,MATCH(SPC!$B$14,IF(Setup!$B$11="Weekly",'SPC Backing (Hide)'!$B$4:$B$263,'SPC Backing (Hide)'!$E$4:$E$263),0),1))</f>
        <v>18.416666666666668</v>
      </c>
      <c r="AA28">
        <f t="shared" si="1"/>
        <v>16.326832151300238</v>
      </c>
      <c r="AB28">
        <f t="shared" si="2"/>
        <v>88.60283687943263</v>
      </c>
      <c r="AC28">
        <f t="shared" si="3"/>
        <v>104.92966903073287</v>
      </c>
      <c r="AD28">
        <f t="shared" si="4"/>
        <v>121.25650118203311</v>
      </c>
      <c r="AE28">
        <f t="shared" si="5"/>
        <v>153.91016548463358</v>
      </c>
      <c r="AF28">
        <f t="shared" si="6"/>
        <v>170.23699763593382</v>
      </c>
      <c r="AG28">
        <f t="shared" si="7"/>
        <v>186.56382978723406</v>
      </c>
      <c r="AH28">
        <f t="shared" si="8"/>
        <v>0</v>
      </c>
      <c r="AI28">
        <f t="shared" si="15"/>
        <v>-2</v>
      </c>
      <c r="AJ28">
        <f t="shared" si="9"/>
        <v>0</v>
      </c>
      <c r="AK28">
        <f t="shared" si="10"/>
        <v>0</v>
      </c>
      <c r="AL28" t="e">
        <f t="shared" si="11"/>
        <v>#N/A</v>
      </c>
      <c r="AM28">
        <f t="shared" si="12"/>
        <v>-1</v>
      </c>
      <c r="AN28">
        <f t="shared" si="13"/>
        <v>0</v>
      </c>
      <c r="AO28">
        <f>_xlfn.PERCENTILE.INC(INDEX($W$4:$W$263,MATCH(SPC!$B$13,IF(Setup!$B$11="Weekly",'SPC Backing (Hide)'!$B$4:$B$263,'SPC Backing (Hide)'!$E$4:$E$263),0),1):INDEX($W$4:$W$263,MATCH(SPC!$B$14,IF(Setup!$B$11="Weekly",'SPC Backing (Hide)'!$B$4:$B$263,'SPC Backing (Hide)'!$E$4:$E$263),0),1),'SPC Backing (Hide)'!$AO$3)</f>
        <v>136.10000000000002</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8">
        <f t="shared" si="14"/>
        <v>33.44999999999996</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137.58333333333334</v>
      </c>
      <c r="Y29" cm="1">
        <f t="array" ref="Y29">ABS(INDEX($F$4:$U$263,ROW(A26),MATCH($X$2,$F$3:$U$3,0))-INDEX($F$4:$U$263,ROW(A25),MATCH($X$2,$F$3:$U$3,0)))</f>
        <v>0</v>
      </c>
      <c r="Z29">
        <f>AVERAGE(INDEX($Y$4:$Y$263,MATCH(SPC!$B$13,IF(Setup!$B$11="Weekly",'SPC Backing (Hide)'!$B$4:$B$263,'SPC Backing (Hide)'!$E$4:$E$263),0)):INDEX($Y$4:$Y$263,MATCH(SPC!$B$14,IF(Setup!$B$11="Weekly",'SPC Backing (Hide)'!$B$4:$B$263,'SPC Backing (Hide)'!$E$4:$E$263),0),1))</f>
        <v>18.416666666666668</v>
      </c>
      <c r="AA29">
        <f t="shared" si="1"/>
        <v>16.326832151300238</v>
      </c>
      <c r="AB29">
        <f t="shared" si="2"/>
        <v>88.60283687943263</v>
      </c>
      <c r="AC29">
        <f t="shared" si="3"/>
        <v>104.92966903073287</v>
      </c>
      <c r="AD29">
        <f t="shared" si="4"/>
        <v>121.25650118203311</v>
      </c>
      <c r="AE29">
        <f t="shared" si="5"/>
        <v>153.91016548463358</v>
      </c>
      <c r="AF29">
        <f t="shared" si="6"/>
        <v>170.23699763593382</v>
      </c>
      <c r="AG29">
        <f t="shared" si="7"/>
        <v>186.56382978723406</v>
      </c>
      <c r="AH29">
        <f t="shared" si="8"/>
        <v>0</v>
      </c>
      <c r="AI29">
        <f t="shared" si="15"/>
        <v>-2</v>
      </c>
      <c r="AJ29">
        <f t="shared" si="9"/>
        <v>0</v>
      </c>
      <c r="AK29">
        <f t="shared" si="10"/>
        <v>0</v>
      </c>
      <c r="AL29" t="e">
        <f t="shared" si="11"/>
        <v>#N/A</v>
      </c>
      <c r="AM29">
        <f t="shared" si="12"/>
        <v>-1</v>
      </c>
      <c r="AN29">
        <f t="shared" si="13"/>
        <v>0</v>
      </c>
      <c r="AO29">
        <f>_xlfn.PERCENTILE.INC(INDEX($W$4:$W$263,MATCH(SPC!$B$13,IF(Setup!$B$11="Weekly",'SPC Backing (Hide)'!$B$4:$B$263,'SPC Backing (Hide)'!$E$4:$E$263),0),1):INDEX($W$4:$W$263,MATCH(SPC!$B$14,IF(Setup!$B$11="Weekly",'SPC Backing (Hide)'!$B$4:$B$263,'SPC Backing (Hide)'!$E$4:$E$263),0),1),'SPC Backing (Hide)'!$AO$3)</f>
        <v>136.10000000000002</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9">
        <f t="shared" si="14"/>
        <v>33.44999999999996</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137.58333333333334</v>
      </c>
      <c r="Y30" cm="1">
        <f t="array" ref="Y30">ABS(INDEX($F$4:$U$263,ROW(A27),MATCH($X$2,$F$3:$U$3,0))-INDEX($F$4:$U$263,ROW(A26),MATCH($X$2,$F$3:$U$3,0)))</f>
        <v>0</v>
      </c>
      <c r="Z30">
        <f>AVERAGE(INDEX($Y$4:$Y$263,MATCH(SPC!$B$13,IF(Setup!$B$11="Weekly",'SPC Backing (Hide)'!$B$4:$B$263,'SPC Backing (Hide)'!$E$4:$E$263),0)):INDEX($Y$4:$Y$263,MATCH(SPC!$B$14,IF(Setup!$B$11="Weekly",'SPC Backing (Hide)'!$B$4:$B$263,'SPC Backing (Hide)'!$E$4:$E$263),0),1))</f>
        <v>18.416666666666668</v>
      </c>
      <c r="AA30">
        <f t="shared" si="1"/>
        <v>16.326832151300238</v>
      </c>
      <c r="AB30">
        <f t="shared" si="2"/>
        <v>88.60283687943263</v>
      </c>
      <c r="AC30">
        <f t="shared" si="3"/>
        <v>104.92966903073287</v>
      </c>
      <c r="AD30">
        <f t="shared" si="4"/>
        <v>121.25650118203311</v>
      </c>
      <c r="AE30">
        <f t="shared" si="5"/>
        <v>153.91016548463358</v>
      </c>
      <c r="AF30">
        <f t="shared" si="6"/>
        <v>170.23699763593382</v>
      </c>
      <c r="AG30">
        <f t="shared" si="7"/>
        <v>186.56382978723406</v>
      </c>
      <c r="AH30">
        <f t="shared" si="8"/>
        <v>0</v>
      </c>
      <c r="AI30">
        <f t="shared" si="15"/>
        <v>-2</v>
      </c>
      <c r="AJ30">
        <f t="shared" si="9"/>
        <v>0</v>
      </c>
      <c r="AK30">
        <f t="shared" si="10"/>
        <v>0</v>
      </c>
      <c r="AL30" t="e">
        <f t="shared" si="11"/>
        <v>#N/A</v>
      </c>
      <c r="AM30">
        <f t="shared" si="12"/>
        <v>-1</v>
      </c>
      <c r="AN30">
        <f t="shared" si="13"/>
        <v>0</v>
      </c>
      <c r="AO30">
        <f>_xlfn.PERCENTILE.INC(INDEX($W$4:$W$263,MATCH(SPC!$B$13,IF(Setup!$B$11="Weekly",'SPC Backing (Hide)'!$B$4:$B$263,'SPC Backing (Hide)'!$E$4:$E$263),0),1):INDEX($W$4:$W$263,MATCH(SPC!$B$14,IF(Setup!$B$11="Weekly",'SPC Backing (Hide)'!$B$4:$B$263,'SPC Backing (Hide)'!$E$4:$E$263),0),1),'SPC Backing (Hide)'!$AO$3)</f>
        <v>136.10000000000002</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0">
        <f t="shared" si="14"/>
        <v>33.44999999999996</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137.58333333333334</v>
      </c>
      <c r="Y31" cm="1">
        <f t="array" ref="Y31">ABS(INDEX($F$4:$U$263,ROW(A28),MATCH($X$2,$F$3:$U$3,0))-INDEX($F$4:$U$263,ROW(A27),MATCH($X$2,$F$3:$U$3,0)))</f>
        <v>0</v>
      </c>
      <c r="Z31">
        <f>AVERAGE(INDEX($Y$4:$Y$263,MATCH(SPC!$B$13,IF(Setup!$B$11="Weekly",'SPC Backing (Hide)'!$B$4:$B$263,'SPC Backing (Hide)'!$E$4:$E$263),0)):INDEX($Y$4:$Y$263,MATCH(SPC!$B$14,IF(Setup!$B$11="Weekly",'SPC Backing (Hide)'!$B$4:$B$263,'SPC Backing (Hide)'!$E$4:$E$263),0),1))</f>
        <v>18.416666666666668</v>
      </c>
      <c r="AA31">
        <f t="shared" si="1"/>
        <v>16.326832151300238</v>
      </c>
      <c r="AB31">
        <f t="shared" si="2"/>
        <v>88.60283687943263</v>
      </c>
      <c r="AC31">
        <f t="shared" si="3"/>
        <v>104.92966903073287</v>
      </c>
      <c r="AD31">
        <f t="shared" si="4"/>
        <v>121.25650118203311</v>
      </c>
      <c r="AE31">
        <f t="shared" si="5"/>
        <v>153.91016548463358</v>
      </c>
      <c r="AF31">
        <f t="shared" si="6"/>
        <v>170.23699763593382</v>
      </c>
      <c r="AG31">
        <f t="shared" si="7"/>
        <v>186.56382978723406</v>
      </c>
      <c r="AH31">
        <f t="shared" si="8"/>
        <v>0</v>
      </c>
      <c r="AI31">
        <f t="shared" si="15"/>
        <v>-2</v>
      </c>
      <c r="AJ31">
        <f t="shared" si="9"/>
        <v>0</v>
      </c>
      <c r="AK31">
        <f t="shared" si="10"/>
        <v>0</v>
      </c>
      <c r="AL31" t="e">
        <f t="shared" si="11"/>
        <v>#N/A</v>
      </c>
      <c r="AM31">
        <f t="shared" si="12"/>
        <v>-1</v>
      </c>
      <c r="AN31">
        <f t="shared" si="13"/>
        <v>0</v>
      </c>
      <c r="AO31">
        <f>_xlfn.PERCENTILE.INC(INDEX($W$4:$W$263,MATCH(SPC!$B$13,IF(Setup!$B$11="Weekly",'SPC Backing (Hide)'!$B$4:$B$263,'SPC Backing (Hide)'!$E$4:$E$263),0),1):INDEX($W$4:$W$263,MATCH(SPC!$B$14,IF(Setup!$B$11="Weekly",'SPC Backing (Hide)'!$B$4:$B$263,'SPC Backing (Hide)'!$E$4:$E$263),0),1),'SPC Backing (Hide)'!$AO$3)</f>
        <v>136.10000000000002</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1">
        <f t="shared" si="14"/>
        <v>33.44999999999996</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137.58333333333334</v>
      </c>
      <c r="Y32" cm="1">
        <f t="array" ref="Y32">ABS(INDEX($F$4:$U$263,ROW(A29),MATCH($X$2,$F$3:$U$3,0))-INDEX($F$4:$U$263,ROW(A28),MATCH($X$2,$F$3:$U$3,0)))</f>
        <v>0</v>
      </c>
      <c r="Z32">
        <f>AVERAGE(INDEX($Y$4:$Y$263,MATCH(SPC!$B$13,IF(Setup!$B$11="Weekly",'SPC Backing (Hide)'!$B$4:$B$263,'SPC Backing (Hide)'!$E$4:$E$263),0)):INDEX($Y$4:$Y$263,MATCH(SPC!$B$14,IF(Setup!$B$11="Weekly",'SPC Backing (Hide)'!$B$4:$B$263,'SPC Backing (Hide)'!$E$4:$E$263),0),1))</f>
        <v>18.416666666666668</v>
      </c>
      <c r="AA32">
        <f t="shared" si="1"/>
        <v>16.326832151300238</v>
      </c>
      <c r="AB32">
        <f t="shared" si="2"/>
        <v>88.60283687943263</v>
      </c>
      <c r="AC32">
        <f t="shared" si="3"/>
        <v>104.92966903073287</v>
      </c>
      <c r="AD32">
        <f t="shared" si="4"/>
        <v>121.25650118203311</v>
      </c>
      <c r="AE32">
        <f t="shared" si="5"/>
        <v>153.91016548463358</v>
      </c>
      <c r="AF32">
        <f t="shared" si="6"/>
        <v>170.23699763593382</v>
      </c>
      <c r="AG32">
        <f t="shared" si="7"/>
        <v>186.56382978723406</v>
      </c>
      <c r="AH32">
        <f t="shared" si="8"/>
        <v>0</v>
      </c>
      <c r="AI32">
        <f t="shared" si="15"/>
        <v>-2</v>
      </c>
      <c r="AJ32">
        <f t="shared" si="9"/>
        <v>0</v>
      </c>
      <c r="AK32">
        <f t="shared" si="10"/>
        <v>0</v>
      </c>
      <c r="AL32" t="e">
        <f t="shared" si="11"/>
        <v>#N/A</v>
      </c>
      <c r="AM32">
        <f t="shared" si="12"/>
        <v>-1</v>
      </c>
      <c r="AN32">
        <f t="shared" si="13"/>
        <v>0</v>
      </c>
      <c r="AO32">
        <f>_xlfn.PERCENTILE.INC(INDEX($W$4:$W$263,MATCH(SPC!$B$13,IF(Setup!$B$11="Weekly",'SPC Backing (Hide)'!$B$4:$B$263,'SPC Backing (Hide)'!$E$4:$E$263),0),1):INDEX($W$4:$W$263,MATCH(SPC!$B$14,IF(Setup!$B$11="Weekly",'SPC Backing (Hide)'!$B$4:$B$263,'SPC Backing (Hide)'!$E$4:$E$263),0),1),'SPC Backing (Hide)'!$AO$3)</f>
        <v>136.10000000000002</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2">
        <f t="shared" si="14"/>
        <v>33.44999999999996</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137.58333333333334</v>
      </c>
      <c r="Y33" cm="1">
        <f t="array" ref="Y33">ABS(INDEX($F$4:$U$263,ROW(A30),MATCH($X$2,$F$3:$U$3,0))-INDEX($F$4:$U$263,ROW(A29),MATCH($X$2,$F$3:$U$3,0)))</f>
        <v>0</v>
      </c>
      <c r="Z33">
        <f>AVERAGE(INDEX($Y$4:$Y$263,MATCH(SPC!$B$13,IF(Setup!$B$11="Weekly",'SPC Backing (Hide)'!$B$4:$B$263,'SPC Backing (Hide)'!$E$4:$E$263),0)):INDEX($Y$4:$Y$263,MATCH(SPC!$B$14,IF(Setup!$B$11="Weekly",'SPC Backing (Hide)'!$B$4:$B$263,'SPC Backing (Hide)'!$E$4:$E$263),0),1))</f>
        <v>18.416666666666668</v>
      </c>
      <c r="AA33">
        <f t="shared" si="1"/>
        <v>16.326832151300238</v>
      </c>
      <c r="AB33">
        <f t="shared" si="2"/>
        <v>88.60283687943263</v>
      </c>
      <c r="AC33">
        <f t="shared" si="3"/>
        <v>104.92966903073287</v>
      </c>
      <c r="AD33">
        <f t="shared" si="4"/>
        <v>121.25650118203311</v>
      </c>
      <c r="AE33">
        <f t="shared" si="5"/>
        <v>153.91016548463358</v>
      </c>
      <c r="AF33">
        <f t="shared" si="6"/>
        <v>170.23699763593382</v>
      </c>
      <c r="AG33">
        <f t="shared" si="7"/>
        <v>186.56382978723406</v>
      </c>
      <c r="AH33">
        <f t="shared" si="8"/>
        <v>0</v>
      </c>
      <c r="AI33">
        <f t="shared" si="15"/>
        <v>-2</v>
      </c>
      <c r="AJ33">
        <f t="shared" si="9"/>
        <v>0</v>
      </c>
      <c r="AK33">
        <f t="shared" si="10"/>
        <v>0</v>
      </c>
      <c r="AL33" t="e">
        <f t="shared" si="11"/>
        <v>#N/A</v>
      </c>
      <c r="AM33">
        <f t="shared" si="12"/>
        <v>-1</v>
      </c>
      <c r="AN33">
        <f t="shared" si="13"/>
        <v>0</v>
      </c>
      <c r="AO33">
        <f>_xlfn.PERCENTILE.INC(INDEX($W$4:$W$263,MATCH(SPC!$B$13,IF(Setup!$B$11="Weekly",'SPC Backing (Hide)'!$B$4:$B$263,'SPC Backing (Hide)'!$E$4:$E$263),0),1):INDEX($W$4:$W$263,MATCH(SPC!$B$14,IF(Setup!$B$11="Weekly",'SPC Backing (Hide)'!$B$4:$B$263,'SPC Backing (Hide)'!$E$4:$E$263),0),1),'SPC Backing (Hide)'!$AO$3)</f>
        <v>136.10000000000002</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3">
        <f t="shared" si="14"/>
        <v>33.44999999999996</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137.58333333333334</v>
      </c>
      <c r="Y34" cm="1">
        <f t="array" ref="Y34">ABS(INDEX($F$4:$U$263,ROW(A31),MATCH($X$2,$F$3:$U$3,0))-INDEX($F$4:$U$263,ROW(A30),MATCH($X$2,$F$3:$U$3,0)))</f>
        <v>0</v>
      </c>
      <c r="Z34">
        <f>AVERAGE(INDEX($Y$4:$Y$263,MATCH(SPC!$B$13,IF(Setup!$B$11="Weekly",'SPC Backing (Hide)'!$B$4:$B$263,'SPC Backing (Hide)'!$E$4:$E$263),0)):INDEX($Y$4:$Y$263,MATCH(SPC!$B$14,IF(Setup!$B$11="Weekly",'SPC Backing (Hide)'!$B$4:$B$263,'SPC Backing (Hide)'!$E$4:$E$263),0),1))</f>
        <v>18.416666666666668</v>
      </c>
      <c r="AA34">
        <f t="shared" si="1"/>
        <v>16.326832151300238</v>
      </c>
      <c r="AB34">
        <f t="shared" si="2"/>
        <v>88.60283687943263</v>
      </c>
      <c r="AC34">
        <f t="shared" si="3"/>
        <v>104.92966903073287</v>
      </c>
      <c r="AD34">
        <f t="shared" si="4"/>
        <v>121.25650118203311</v>
      </c>
      <c r="AE34">
        <f t="shared" si="5"/>
        <v>153.91016548463358</v>
      </c>
      <c r="AF34">
        <f t="shared" si="6"/>
        <v>170.23699763593382</v>
      </c>
      <c r="AG34">
        <f t="shared" si="7"/>
        <v>186.56382978723406</v>
      </c>
      <c r="AH34">
        <f t="shared" si="8"/>
        <v>0</v>
      </c>
      <c r="AI34">
        <f t="shared" si="15"/>
        <v>-2</v>
      </c>
      <c r="AJ34">
        <f t="shared" si="9"/>
        <v>0</v>
      </c>
      <c r="AK34">
        <f t="shared" si="10"/>
        <v>0</v>
      </c>
      <c r="AL34" t="e">
        <f t="shared" si="11"/>
        <v>#N/A</v>
      </c>
      <c r="AM34">
        <f t="shared" si="12"/>
        <v>-1</v>
      </c>
      <c r="AN34">
        <f t="shared" si="13"/>
        <v>0</v>
      </c>
      <c r="AO34">
        <f>_xlfn.PERCENTILE.INC(INDEX($W$4:$W$263,MATCH(SPC!$B$13,IF(Setup!$B$11="Weekly",'SPC Backing (Hide)'!$B$4:$B$263,'SPC Backing (Hide)'!$E$4:$E$263),0),1):INDEX($W$4:$W$263,MATCH(SPC!$B$14,IF(Setup!$B$11="Weekly",'SPC Backing (Hide)'!$B$4:$B$263,'SPC Backing (Hide)'!$E$4:$E$263),0),1),'SPC Backing (Hide)'!$AO$3)</f>
        <v>136.10000000000002</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4">
        <f t="shared" si="14"/>
        <v>33.44999999999996</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137.58333333333334</v>
      </c>
      <c r="Y35" cm="1">
        <f t="array" ref="Y35">ABS(INDEX($F$4:$U$263,ROW(A32),MATCH($X$2,$F$3:$U$3,0))-INDEX($F$4:$U$263,ROW(A31),MATCH($X$2,$F$3:$U$3,0)))</f>
        <v>0</v>
      </c>
      <c r="Z35">
        <f>AVERAGE(INDEX($Y$4:$Y$263,MATCH(SPC!$B$13,IF(Setup!$B$11="Weekly",'SPC Backing (Hide)'!$B$4:$B$263,'SPC Backing (Hide)'!$E$4:$E$263),0)):INDEX($Y$4:$Y$263,MATCH(SPC!$B$14,IF(Setup!$B$11="Weekly",'SPC Backing (Hide)'!$B$4:$B$263,'SPC Backing (Hide)'!$E$4:$E$263),0),1))</f>
        <v>18.416666666666668</v>
      </c>
      <c r="AA35">
        <f t="shared" si="1"/>
        <v>16.326832151300238</v>
      </c>
      <c r="AB35">
        <f t="shared" si="2"/>
        <v>88.60283687943263</v>
      </c>
      <c r="AC35">
        <f t="shared" si="3"/>
        <v>104.92966903073287</v>
      </c>
      <c r="AD35">
        <f t="shared" si="4"/>
        <v>121.25650118203311</v>
      </c>
      <c r="AE35">
        <f t="shared" si="5"/>
        <v>153.91016548463358</v>
      </c>
      <c r="AF35">
        <f t="shared" si="6"/>
        <v>170.23699763593382</v>
      </c>
      <c r="AG35">
        <f t="shared" si="7"/>
        <v>186.56382978723406</v>
      </c>
      <c r="AH35">
        <f t="shared" si="8"/>
        <v>0</v>
      </c>
      <c r="AI35">
        <f t="shared" si="15"/>
        <v>-2</v>
      </c>
      <c r="AJ35">
        <f t="shared" si="9"/>
        <v>0</v>
      </c>
      <c r="AK35">
        <f t="shared" si="10"/>
        <v>0</v>
      </c>
      <c r="AL35" t="e">
        <f t="shared" si="11"/>
        <v>#N/A</v>
      </c>
      <c r="AM35">
        <f t="shared" si="12"/>
        <v>-1</v>
      </c>
      <c r="AN35">
        <f t="shared" si="13"/>
        <v>0</v>
      </c>
      <c r="AO35">
        <f>_xlfn.PERCENTILE.INC(INDEX($W$4:$W$263,MATCH(SPC!$B$13,IF(Setup!$B$11="Weekly",'SPC Backing (Hide)'!$B$4:$B$263,'SPC Backing (Hide)'!$E$4:$E$263),0),1):INDEX($W$4:$W$263,MATCH(SPC!$B$14,IF(Setup!$B$11="Weekly",'SPC Backing (Hide)'!$B$4:$B$263,'SPC Backing (Hide)'!$E$4:$E$263),0),1),'SPC Backing (Hide)'!$AO$3)</f>
        <v>136.10000000000002</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5">
        <f t="shared" si="14"/>
        <v>33.44999999999996</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137.58333333333334</v>
      </c>
      <c r="Y36" cm="1">
        <f t="array" ref="Y36">ABS(INDEX($F$4:$U$263,ROW(A33),MATCH($X$2,$F$3:$U$3,0))-INDEX($F$4:$U$263,ROW(A32),MATCH($X$2,$F$3:$U$3,0)))</f>
        <v>0</v>
      </c>
      <c r="Z36">
        <f>AVERAGE(INDEX($Y$4:$Y$263,MATCH(SPC!$B$13,IF(Setup!$B$11="Weekly",'SPC Backing (Hide)'!$B$4:$B$263,'SPC Backing (Hide)'!$E$4:$E$263),0)):INDEX($Y$4:$Y$263,MATCH(SPC!$B$14,IF(Setup!$B$11="Weekly",'SPC Backing (Hide)'!$B$4:$B$263,'SPC Backing (Hide)'!$E$4:$E$263),0),1))</f>
        <v>18.416666666666668</v>
      </c>
      <c r="AA36">
        <f t="shared" si="1"/>
        <v>16.326832151300238</v>
      </c>
      <c r="AB36">
        <f t="shared" si="2"/>
        <v>88.60283687943263</v>
      </c>
      <c r="AC36">
        <f t="shared" si="3"/>
        <v>104.92966903073287</v>
      </c>
      <c r="AD36">
        <f t="shared" si="4"/>
        <v>121.25650118203311</v>
      </c>
      <c r="AE36">
        <f t="shared" si="5"/>
        <v>153.91016548463358</v>
      </c>
      <c r="AF36">
        <f t="shared" si="6"/>
        <v>170.23699763593382</v>
      </c>
      <c r="AG36">
        <f t="shared" si="7"/>
        <v>186.56382978723406</v>
      </c>
      <c r="AH36">
        <f t="shared" si="8"/>
        <v>0</v>
      </c>
      <c r="AI36">
        <f t="shared" si="15"/>
        <v>-2</v>
      </c>
      <c r="AJ36">
        <f t="shared" si="9"/>
        <v>0</v>
      </c>
      <c r="AK36">
        <f t="shared" si="10"/>
        <v>0</v>
      </c>
      <c r="AL36" t="e">
        <f t="shared" si="11"/>
        <v>#N/A</v>
      </c>
      <c r="AM36">
        <f t="shared" si="12"/>
        <v>-1</v>
      </c>
      <c r="AN36">
        <f t="shared" si="13"/>
        <v>0</v>
      </c>
      <c r="AO36">
        <f>_xlfn.PERCENTILE.INC(INDEX($W$4:$W$263,MATCH(SPC!$B$13,IF(Setup!$B$11="Weekly",'SPC Backing (Hide)'!$B$4:$B$263,'SPC Backing (Hide)'!$E$4:$E$263),0),1):INDEX($W$4:$W$263,MATCH(SPC!$B$14,IF(Setup!$B$11="Weekly",'SPC Backing (Hide)'!$B$4:$B$263,'SPC Backing (Hide)'!$E$4:$E$263),0),1),'SPC Backing (Hide)'!$AO$3)</f>
        <v>136.10000000000002</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6">
        <f t="shared" si="14"/>
        <v>33.44999999999996</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137.58333333333334</v>
      </c>
      <c r="Y37" cm="1">
        <f t="array" ref="Y37">ABS(INDEX($F$4:$U$263,ROW(A34),MATCH($X$2,$F$3:$U$3,0))-INDEX($F$4:$U$263,ROW(A33),MATCH($X$2,$F$3:$U$3,0)))</f>
        <v>0</v>
      </c>
      <c r="Z37">
        <f>AVERAGE(INDEX($Y$4:$Y$263,MATCH(SPC!$B$13,IF(Setup!$B$11="Weekly",'SPC Backing (Hide)'!$B$4:$B$263,'SPC Backing (Hide)'!$E$4:$E$263),0)):INDEX($Y$4:$Y$263,MATCH(SPC!$B$14,IF(Setup!$B$11="Weekly",'SPC Backing (Hide)'!$B$4:$B$263,'SPC Backing (Hide)'!$E$4:$E$263),0),1))</f>
        <v>18.416666666666668</v>
      </c>
      <c r="AA37">
        <f t="shared" si="1"/>
        <v>16.326832151300238</v>
      </c>
      <c r="AB37">
        <f t="shared" si="2"/>
        <v>88.60283687943263</v>
      </c>
      <c r="AC37">
        <f t="shared" si="3"/>
        <v>104.92966903073287</v>
      </c>
      <c r="AD37">
        <f t="shared" si="4"/>
        <v>121.25650118203311</v>
      </c>
      <c r="AE37">
        <f t="shared" si="5"/>
        <v>153.91016548463358</v>
      </c>
      <c r="AF37">
        <f t="shared" si="6"/>
        <v>170.23699763593382</v>
      </c>
      <c r="AG37">
        <f t="shared" si="7"/>
        <v>186.56382978723406</v>
      </c>
      <c r="AH37">
        <f t="shared" si="8"/>
        <v>0</v>
      </c>
      <c r="AI37">
        <f t="shared" si="15"/>
        <v>-2</v>
      </c>
      <c r="AJ37">
        <f t="shared" si="9"/>
        <v>0</v>
      </c>
      <c r="AK37">
        <f t="shared" si="10"/>
        <v>0</v>
      </c>
      <c r="AL37" t="e">
        <f t="shared" si="11"/>
        <v>#N/A</v>
      </c>
      <c r="AM37">
        <f t="shared" si="12"/>
        <v>-1</v>
      </c>
      <c r="AN37">
        <f t="shared" si="13"/>
        <v>0</v>
      </c>
      <c r="AO37">
        <f>_xlfn.PERCENTILE.INC(INDEX($W$4:$W$263,MATCH(SPC!$B$13,IF(Setup!$B$11="Weekly",'SPC Backing (Hide)'!$B$4:$B$263,'SPC Backing (Hide)'!$E$4:$E$263),0),1):INDEX($W$4:$W$263,MATCH(SPC!$B$14,IF(Setup!$B$11="Weekly",'SPC Backing (Hide)'!$B$4:$B$263,'SPC Backing (Hide)'!$E$4:$E$263),0),1),'SPC Backing (Hide)'!$AO$3)</f>
        <v>136.10000000000002</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7">
        <f t="shared" si="14"/>
        <v>33.44999999999996</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137.58333333333334</v>
      </c>
      <c r="Y38" cm="1">
        <f t="array" ref="Y38">ABS(INDEX($F$4:$U$263,ROW(A35),MATCH($X$2,$F$3:$U$3,0))-INDEX($F$4:$U$263,ROW(A34),MATCH($X$2,$F$3:$U$3,0)))</f>
        <v>0</v>
      </c>
      <c r="Z38">
        <f>AVERAGE(INDEX($Y$4:$Y$263,MATCH(SPC!$B$13,IF(Setup!$B$11="Weekly",'SPC Backing (Hide)'!$B$4:$B$263,'SPC Backing (Hide)'!$E$4:$E$263),0)):INDEX($Y$4:$Y$263,MATCH(SPC!$B$14,IF(Setup!$B$11="Weekly",'SPC Backing (Hide)'!$B$4:$B$263,'SPC Backing (Hide)'!$E$4:$E$263),0),1))</f>
        <v>18.416666666666668</v>
      </c>
      <c r="AA38">
        <f t="shared" si="1"/>
        <v>16.326832151300238</v>
      </c>
      <c r="AB38">
        <f t="shared" si="2"/>
        <v>88.60283687943263</v>
      </c>
      <c r="AC38">
        <f t="shared" si="3"/>
        <v>104.92966903073287</v>
      </c>
      <c r="AD38">
        <f t="shared" si="4"/>
        <v>121.25650118203311</v>
      </c>
      <c r="AE38">
        <f t="shared" si="5"/>
        <v>153.91016548463358</v>
      </c>
      <c r="AF38">
        <f t="shared" si="6"/>
        <v>170.23699763593382</v>
      </c>
      <c r="AG38">
        <f t="shared" si="7"/>
        <v>186.56382978723406</v>
      </c>
      <c r="AH38">
        <f t="shared" si="8"/>
        <v>0</v>
      </c>
      <c r="AI38">
        <f t="shared" si="15"/>
        <v>-2</v>
      </c>
      <c r="AJ38">
        <f t="shared" si="9"/>
        <v>0</v>
      </c>
      <c r="AK38">
        <f t="shared" si="10"/>
        <v>0</v>
      </c>
      <c r="AL38" t="e">
        <f t="shared" si="11"/>
        <v>#N/A</v>
      </c>
      <c r="AM38">
        <f t="shared" si="12"/>
        <v>-1</v>
      </c>
      <c r="AN38">
        <f t="shared" si="13"/>
        <v>0</v>
      </c>
      <c r="AO38">
        <f>_xlfn.PERCENTILE.INC(INDEX($W$4:$W$263,MATCH(SPC!$B$13,IF(Setup!$B$11="Weekly",'SPC Backing (Hide)'!$B$4:$B$263,'SPC Backing (Hide)'!$E$4:$E$263),0),1):INDEX($W$4:$W$263,MATCH(SPC!$B$14,IF(Setup!$B$11="Weekly",'SPC Backing (Hide)'!$B$4:$B$263,'SPC Backing (Hide)'!$E$4:$E$263),0),1),'SPC Backing (Hide)'!$AO$3)</f>
        <v>136.10000000000002</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8">
        <f t="shared" si="14"/>
        <v>33.44999999999996</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137.58333333333334</v>
      </c>
      <c r="Y39" cm="1">
        <f t="array" ref="Y39">ABS(INDEX($F$4:$U$263,ROW(A36),MATCH($X$2,$F$3:$U$3,0))-INDEX($F$4:$U$263,ROW(A35),MATCH($X$2,$F$3:$U$3,0)))</f>
        <v>0</v>
      </c>
      <c r="Z39">
        <f>AVERAGE(INDEX($Y$4:$Y$263,MATCH(SPC!$B$13,IF(Setup!$B$11="Weekly",'SPC Backing (Hide)'!$B$4:$B$263,'SPC Backing (Hide)'!$E$4:$E$263),0)):INDEX($Y$4:$Y$263,MATCH(SPC!$B$14,IF(Setup!$B$11="Weekly",'SPC Backing (Hide)'!$B$4:$B$263,'SPC Backing (Hide)'!$E$4:$E$263),0),1))</f>
        <v>18.416666666666668</v>
      </c>
      <c r="AA39">
        <f t="shared" si="1"/>
        <v>16.326832151300238</v>
      </c>
      <c r="AB39">
        <f t="shared" si="2"/>
        <v>88.60283687943263</v>
      </c>
      <c r="AC39">
        <f t="shared" si="3"/>
        <v>104.92966903073287</v>
      </c>
      <c r="AD39">
        <f t="shared" si="4"/>
        <v>121.25650118203311</v>
      </c>
      <c r="AE39">
        <f t="shared" si="5"/>
        <v>153.91016548463358</v>
      </c>
      <c r="AF39">
        <f t="shared" si="6"/>
        <v>170.23699763593382</v>
      </c>
      <c r="AG39">
        <f t="shared" si="7"/>
        <v>186.56382978723406</v>
      </c>
      <c r="AH39">
        <f t="shared" si="8"/>
        <v>0</v>
      </c>
      <c r="AI39">
        <f t="shared" si="15"/>
        <v>-2</v>
      </c>
      <c r="AJ39">
        <f t="shared" si="9"/>
        <v>0</v>
      </c>
      <c r="AK39">
        <f t="shared" si="10"/>
        <v>0</v>
      </c>
      <c r="AL39" t="e">
        <f t="shared" si="11"/>
        <v>#N/A</v>
      </c>
      <c r="AM39">
        <f t="shared" si="12"/>
        <v>-1</v>
      </c>
      <c r="AN39">
        <f t="shared" si="13"/>
        <v>0</v>
      </c>
      <c r="AO39">
        <f>_xlfn.PERCENTILE.INC(INDEX($W$4:$W$263,MATCH(SPC!$B$13,IF(Setup!$B$11="Weekly",'SPC Backing (Hide)'!$B$4:$B$263,'SPC Backing (Hide)'!$E$4:$E$263),0),1):INDEX($W$4:$W$263,MATCH(SPC!$B$14,IF(Setup!$B$11="Weekly",'SPC Backing (Hide)'!$B$4:$B$263,'SPC Backing (Hide)'!$E$4:$E$263),0),1),'SPC Backing (Hide)'!$AO$3)</f>
        <v>136.10000000000002</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39">
        <f t="shared" si="14"/>
        <v>33.44999999999996</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137.58333333333334</v>
      </c>
      <c r="Y40" cm="1">
        <f t="array" ref="Y40">ABS(INDEX($F$4:$U$263,ROW(A37),MATCH($X$2,$F$3:$U$3,0))-INDEX($F$4:$U$263,ROW(A36),MATCH($X$2,$F$3:$U$3,0)))</f>
        <v>0</v>
      </c>
      <c r="Z40">
        <f>AVERAGE(INDEX($Y$4:$Y$263,MATCH(SPC!$B$13,IF(Setup!$B$11="Weekly",'SPC Backing (Hide)'!$B$4:$B$263,'SPC Backing (Hide)'!$E$4:$E$263),0)):INDEX($Y$4:$Y$263,MATCH(SPC!$B$14,IF(Setup!$B$11="Weekly",'SPC Backing (Hide)'!$B$4:$B$263,'SPC Backing (Hide)'!$E$4:$E$263),0),1))</f>
        <v>18.416666666666668</v>
      </c>
      <c r="AA40">
        <f t="shared" si="1"/>
        <v>16.326832151300238</v>
      </c>
      <c r="AB40">
        <f t="shared" si="2"/>
        <v>88.60283687943263</v>
      </c>
      <c r="AC40">
        <f t="shared" si="3"/>
        <v>104.92966903073287</v>
      </c>
      <c r="AD40">
        <f t="shared" si="4"/>
        <v>121.25650118203311</v>
      </c>
      <c r="AE40">
        <f t="shared" si="5"/>
        <v>153.91016548463358</v>
      </c>
      <c r="AF40">
        <f t="shared" si="6"/>
        <v>170.23699763593382</v>
      </c>
      <c r="AG40">
        <f t="shared" si="7"/>
        <v>186.56382978723406</v>
      </c>
      <c r="AH40">
        <f t="shared" si="8"/>
        <v>0</v>
      </c>
      <c r="AI40">
        <f t="shared" si="15"/>
        <v>-2</v>
      </c>
      <c r="AJ40">
        <f t="shared" si="9"/>
        <v>0</v>
      </c>
      <c r="AK40">
        <f t="shared" si="10"/>
        <v>0</v>
      </c>
      <c r="AL40" t="e">
        <f t="shared" si="11"/>
        <v>#N/A</v>
      </c>
      <c r="AM40">
        <f t="shared" si="12"/>
        <v>-1</v>
      </c>
      <c r="AN40">
        <f t="shared" si="13"/>
        <v>0</v>
      </c>
      <c r="AO40">
        <f>_xlfn.PERCENTILE.INC(INDEX($W$4:$W$263,MATCH(SPC!$B$13,IF(Setup!$B$11="Weekly",'SPC Backing (Hide)'!$B$4:$B$263,'SPC Backing (Hide)'!$E$4:$E$263),0),1):INDEX($W$4:$W$263,MATCH(SPC!$B$14,IF(Setup!$B$11="Weekly",'SPC Backing (Hide)'!$B$4:$B$263,'SPC Backing (Hide)'!$E$4:$E$263),0),1),'SPC Backing (Hide)'!$AO$3)</f>
        <v>136.10000000000002</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0">
        <f t="shared" si="14"/>
        <v>33.44999999999996</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137.58333333333334</v>
      </c>
      <c r="Y41" cm="1">
        <f t="array" ref="Y41">ABS(INDEX($F$4:$U$263,ROW(A38),MATCH($X$2,$F$3:$U$3,0))-INDEX($F$4:$U$263,ROW(A37),MATCH($X$2,$F$3:$U$3,0)))</f>
        <v>0</v>
      </c>
      <c r="Z41">
        <f>AVERAGE(INDEX($Y$4:$Y$263,MATCH(SPC!$B$13,IF(Setup!$B$11="Weekly",'SPC Backing (Hide)'!$B$4:$B$263,'SPC Backing (Hide)'!$E$4:$E$263),0)):INDEX($Y$4:$Y$263,MATCH(SPC!$B$14,IF(Setup!$B$11="Weekly",'SPC Backing (Hide)'!$B$4:$B$263,'SPC Backing (Hide)'!$E$4:$E$263),0),1))</f>
        <v>18.416666666666668</v>
      </c>
      <c r="AA41">
        <f t="shared" si="1"/>
        <v>16.326832151300238</v>
      </c>
      <c r="AB41">
        <f t="shared" si="2"/>
        <v>88.60283687943263</v>
      </c>
      <c r="AC41">
        <f t="shared" si="3"/>
        <v>104.92966903073287</v>
      </c>
      <c r="AD41">
        <f t="shared" si="4"/>
        <v>121.25650118203311</v>
      </c>
      <c r="AE41">
        <f t="shared" si="5"/>
        <v>153.91016548463358</v>
      </c>
      <c r="AF41">
        <f t="shared" si="6"/>
        <v>170.23699763593382</v>
      </c>
      <c r="AG41">
        <f t="shared" si="7"/>
        <v>186.56382978723406</v>
      </c>
      <c r="AH41">
        <f t="shared" si="8"/>
        <v>0</v>
      </c>
      <c r="AI41">
        <f t="shared" si="15"/>
        <v>-2</v>
      </c>
      <c r="AJ41">
        <f t="shared" si="9"/>
        <v>0</v>
      </c>
      <c r="AK41">
        <f t="shared" si="10"/>
        <v>0</v>
      </c>
      <c r="AL41" t="e">
        <f t="shared" si="11"/>
        <v>#N/A</v>
      </c>
      <c r="AM41">
        <f t="shared" si="12"/>
        <v>-1</v>
      </c>
      <c r="AN41">
        <f t="shared" si="13"/>
        <v>0</v>
      </c>
      <c r="AO41">
        <f>_xlfn.PERCENTILE.INC(INDEX($W$4:$W$263,MATCH(SPC!$B$13,IF(Setup!$B$11="Weekly",'SPC Backing (Hide)'!$B$4:$B$263,'SPC Backing (Hide)'!$E$4:$E$263),0),1):INDEX($W$4:$W$263,MATCH(SPC!$B$14,IF(Setup!$B$11="Weekly",'SPC Backing (Hide)'!$B$4:$B$263,'SPC Backing (Hide)'!$E$4:$E$263),0),1),'SPC Backing (Hide)'!$AO$3)</f>
        <v>136.10000000000002</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1">
        <f t="shared" si="14"/>
        <v>33.44999999999996</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137.58333333333334</v>
      </c>
      <c r="Y42" cm="1">
        <f t="array" ref="Y42">ABS(INDEX($F$4:$U$263,ROW(A39),MATCH($X$2,$F$3:$U$3,0))-INDEX($F$4:$U$263,ROW(A38),MATCH($X$2,$F$3:$U$3,0)))</f>
        <v>0</v>
      </c>
      <c r="Z42">
        <f>AVERAGE(INDEX($Y$4:$Y$263,MATCH(SPC!$B$13,IF(Setup!$B$11="Weekly",'SPC Backing (Hide)'!$B$4:$B$263,'SPC Backing (Hide)'!$E$4:$E$263),0)):INDEX($Y$4:$Y$263,MATCH(SPC!$B$14,IF(Setup!$B$11="Weekly",'SPC Backing (Hide)'!$B$4:$B$263,'SPC Backing (Hide)'!$E$4:$E$263),0),1))</f>
        <v>18.416666666666668</v>
      </c>
      <c r="AA42">
        <f t="shared" si="1"/>
        <v>16.326832151300238</v>
      </c>
      <c r="AB42">
        <f t="shared" si="2"/>
        <v>88.60283687943263</v>
      </c>
      <c r="AC42">
        <f t="shared" si="3"/>
        <v>104.92966903073287</v>
      </c>
      <c r="AD42">
        <f t="shared" si="4"/>
        <v>121.25650118203311</v>
      </c>
      <c r="AE42">
        <f t="shared" si="5"/>
        <v>153.91016548463358</v>
      </c>
      <c r="AF42">
        <f t="shared" si="6"/>
        <v>170.23699763593382</v>
      </c>
      <c r="AG42">
        <f t="shared" si="7"/>
        <v>186.56382978723406</v>
      </c>
      <c r="AH42">
        <f t="shared" si="8"/>
        <v>0</v>
      </c>
      <c r="AI42">
        <f t="shared" si="15"/>
        <v>-2</v>
      </c>
      <c r="AJ42">
        <f t="shared" si="9"/>
        <v>0</v>
      </c>
      <c r="AK42">
        <f t="shared" si="10"/>
        <v>0</v>
      </c>
      <c r="AL42" t="e">
        <f t="shared" si="11"/>
        <v>#N/A</v>
      </c>
      <c r="AM42">
        <f t="shared" si="12"/>
        <v>-1</v>
      </c>
      <c r="AN42">
        <f t="shared" si="13"/>
        <v>0</v>
      </c>
      <c r="AO42">
        <f>_xlfn.PERCENTILE.INC(INDEX($W$4:$W$263,MATCH(SPC!$B$13,IF(Setup!$B$11="Weekly",'SPC Backing (Hide)'!$B$4:$B$263,'SPC Backing (Hide)'!$E$4:$E$263),0),1):INDEX($W$4:$W$263,MATCH(SPC!$B$14,IF(Setup!$B$11="Weekly",'SPC Backing (Hide)'!$B$4:$B$263,'SPC Backing (Hide)'!$E$4:$E$263),0),1),'SPC Backing (Hide)'!$AO$3)</f>
        <v>136.10000000000002</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2">
        <f t="shared" si="14"/>
        <v>33.44999999999996</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137.58333333333334</v>
      </c>
      <c r="Y43" cm="1">
        <f t="array" ref="Y43">ABS(INDEX($F$4:$U$263,ROW(A40),MATCH($X$2,$F$3:$U$3,0))-INDEX($F$4:$U$263,ROW(A39),MATCH($X$2,$F$3:$U$3,0)))</f>
        <v>0</v>
      </c>
      <c r="Z43">
        <f>AVERAGE(INDEX($Y$4:$Y$263,MATCH(SPC!$B$13,IF(Setup!$B$11="Weekly",'SPC Backing (Hide)'!$B$4:$B$263,'SPC Backing (Hide)'!$E$4:$E$263),0)):INDEX($Y$4:$Y$263,MATCH(SPC!$B$14,IF(Setup!$B$11="Weekly",'SPC Backing (Hide)'!$B$4:$B$263,'SPC Backing (Hide)'!$E$4:$E$263),0),1))</f>
        <v>18.416666666666668</v>
      </c>
      <c r="AA43">
        <f t="shared" si="1"/>
        <v>16.326832151300238</v>
      </c>
      <c r="AB43">
        <f t="shared" si="2"/>
        <v>88.60283687943263</v>
      </c>
      <c r="AC43">
        <f t="shared" si="3"/>
        <v>104.92966903073287</v>
      </c>
      <c r="AD43">
        <f t="shared" si="4"/>
        <v>121.25650118203311</v>
      </c>
      <c r="AE43">
        <f t="shared" si="5"/>
        <v>153.91016548463358</v>
      </c>
      <c r="AF43">
        <f t="shared" si="6"/>
        <v>170.23699763593382</v>
      </c>
      <c r="AG43">
        <f t="shared" si="7"/>
        <v>186.56382978723406</v>
      </c>
      <c r="AH43">
        <f t="shared" si="8"/>
        <v>0</v>
      </c>
      <c r="AI43">
        <f t="shared" si="15"/>
        <v>-2</v>
      </c>
      <c r="AJ43">
        <f t="shared" si="9"/>
        <v>0</v>
      </c>
      <c r="AK43">
        <f t="shared" si="10"/>
        <v>0</v>
      </c>
      <c r="AL43" t="e">
        <f t="shared" si="11"/>
        <v>#N/A</v>
      </c>
      <c r="AM43">
        <f t="shared" si="12"/>
        <v>-1</v>
      </c>
      <c r="AN43">
        <f t="shared" si="13"/>
        <v>0</v>
      </c>
      <c r="AO43">
        <f>_xlfn.PERCENTILE.INC(INDEX($W$4:$W$263,MATCH(SPC!$B$13,IF(Setup!$B$11="Weekly",'SPC Backing (Hide)'!$B$4:$B$263,'SPC Backing (Hide)'!$E$4:$E$263),0),1):INDEX($W$4:$W$263,MATCH(SPC!$B$14,IF(Setup!$B$11="Weekly",'SPC Backing (Hide)'!$B$4:$B$263,'SPC Backing (Hide)'!$E$4:$E$263),0),1),'SPC Backing (Hide)'!$AO$3)</f>
        <v>136.10000000000002</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3">
        <f t="shared" si="14"/>
        <v>33.44999999999996</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137.58333333333334</v>
      </c>
      <c r="Y44" cm="1">
        <f t="array" ref="Y44">ABS(INDEX($F$4:$U$263,ROW(A41),MATCH($X$2,$F$3:$U$3,0))-INDEX($F$4:$U$263,ROW(A40),MATCH($X$2,$F$3:$U$3,0)))</f>
        <v>0</v>
      </c>
      <c r="Z44">
        <f>AVERAGE(INDEX($Y$4:$Y$263,MATCH(SPC!$B$13,IF(Setup!$B$11="Weekly",'SPC Backing (Hide)'!$B$4:$B$263,'SPC Backing (Hide)'!$E$4:$E$263),0)):INDEX($Y$4:$Y$263,MATCH(SPC!$B$14,IF(Setup!$B$11="Weekly",'SPC Backing (Hide)'!$B$4:$B$263,'SPC Backing (Hide)'!$E$4:$E$263),0),1))</f>
        <v>18.416666666666668</v>
      </c>
      <c r="AA44">
        <f t="shared" si="1"/>
        <v>16.326832151300238</v>
      </c>
      <c r="AB44">
        <f t="shared" si="2"/>
        <v>88.60283687943263</v>
      </c>
      <c r="AC44">
        <f t="shared" si="3"/>
        <v>104.92966903073287</v>
      </c>
      <c r="AD44">
        <f t="shared" si="4"/>
        <v>121.25650118203311</v>
      </c>
      <c r="AE44">
        <f t="shared" si="5"/>
        <v>153.91016548463358</v>
      </c>
      <c r="AF44">
        <f t="shared" si="6"/>
        <v>170.23699763593382</v>
      </c>
      <c r="AG44">
        <f t="shared" si="7"/>
        <v>186.56382978723406</v>
      </c>
      <c r="AH44">
        <f t="shared" si="8"/>
        <v>0</v>
      </c>
      <c r="AI44">
        <f t="shared" si="15"/>
        <v>-2</v>
      </c>
      <c r="AJ44">
        <f t="shared" si="9"/>
        <v>0</v>
      </c>
      <c r="AK44">
        <f t="shared" si="10"/>
        <v>0</v>
      </c>
      <c r="AL44" t="e">
        <f t="shared" si="11"/>
        <v>#N/A</v>
      </c>
      <c r="AM44">
        <f t="shared" si="12"/>
        <v>-1</v>
      </c>
      <c r="AN44">
        <f t="shared" si="13"/>
        <v>0</v>
      </c>
      <c r="AO44">
        <f>_xlfn.PERCENTILE.INC(INDEX($W$4:$W$263,MATCH(SPC!$B$13,IF(Setup!$B$11="Weekly",'SPC Backing (Hide)'!$B$4:$B$263,'SPC Backing (Hide)'!$E$4:$E$263),0),1):INDEX($W$4:$W$263,MATCH(SPC!$B$14,IF(Setup!$B$11="Weekly",'SPC Backing (Hide)'!$B$4:$B$263,'SPC Backing (Hide)'!$E$4:$E$263),0),1),'SPC Backing (Hide)'!$AO$3)</f>
        <v>136.10000000000002</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4">
        <f t="shared" si="14"/>
        <v>33.44999999999996</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137.58333333333334</v>
      </c>
      <c r="Y45" cm="1">
        <f t="array" ref="Y45">ABS(INDEX($F$4:$U$263,ROW(A42),MATCH($X$2,$F$3:$U$3,0))-INDEX($F$4:$U$263,ROW(A41),MATCH($X$2,$F$3:$U$3,0)))</f>
        <v>0</v>
      </c>
      <c r="Z45">
        <f>AVERAGE(INDEX($Y$4:$Y$263,MATCH(SPC!$B$13,IF(Setup!$B$11="Weekly",'SPC Backing (Hide)'!$B$4:$B$263,'SPC Backing (Hide)'!$E$4:$E$263),0)):INDEX($Y$4:$Y$263,MATCH(SPC!$B$14,IF(Setup!$B$11="Weekly",'SPC Backing (Hide)'!$B$4:$B$263,'SPC Backing (Hide)'!$E$4:$E$263),0),1))</f>
        <v>18.416666666666668</v>
      </c>
      <c r="AA45">
        <f t="shared" si="1"/>
        <v>16.326832151300238</v>
      </c>
      <c r="AB45">
        <f t="shared" si="2"/>
        <v>88.60283687943263</v>
      </c>
      <c r="AC45">
        <f t="shared" si="3"/>
        <v>104.92966903073287</v>
      </c>
      <c r="AD45">
        <f t="shared" si="4"/>
        <v>121.25650118203311</v>
      </c>
      <c r="AE45">
        <f t="shared" si="5"/>
        <v>153.91016548463358</v>
      </c>
      <c r="AF45">
        <f t="shared" si="6"/>
        <v>170.23699763593382</v>
      </c>
      <c r="AG45">
        <f t="shared" si="7"/>
        <v>186.56382978723406</v>
      </c>
      <c r="AH45">
        <f t="shared" si="8"/>
        <v>0</v>
      </c>
      <c r="AI45">
        <f t="shared" si="15"/>
        <v>-2</v>
      </c>
      <c r="AJ45">
        <f t="shared" si="9"/>
        <v>0</v>
      </c>
      <c r="AK45">
        <f t="shared" si="10"/>
        <v>0</v>
      </c>
      <c r="AL45" t="e">
        <f t="shared" si="11"/>
        <v>#N/A</v>
      </c>
      <c r="AM45">
        <f t="shared" si="12"/>
        <v>-1</v>
      </c>
      <c r="AN45">
        <f t="shared" si="13"/>
        <v>0</v>
      </c>
      <c r="AO45">
        <f>_xlfn.PERCENTILE.INC(INDEX($W$4:$W$263,MATCH(SPC!$B$13,IF(Setup!$B$11="Weekly",'SPC Backing (Hide)'!$B$4:$B$263,'SPC Backing (Hide)'!$E$4:$E$263),0),1):INDEX($W$4:$W$263,MATCH(SPC!$B$14,IF(Setup!$B$11="Weekly",'SPC Backing (Hide)'!$B$4:$B$263,'SPC Backing (Hide)'!$E$4:$E$263),0),1),'SPC Backing (Hide)'!$AO$3)</f>
        <v>136.10000000000002</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5">
        <f t="shared" si="14"/>
        <v>33.44999999999996</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137.58333333333334</v>
      </c>
      <c r="Y46" cm="1">
        <f t="array" ref="Y46">ABS(INDEX($F$4:$U$263,ROW(A43),MATCH($X$2,$F$3:$U$3,0))-INDEX($F$4:$U$263,ROW(A42),MATCH($X$2,$F$3:$U$3,0)))</f>
        <v>0</v>
      </c>
      <c r="Z46">
        <f>AVERAGE(INDEX($Y$4:$Y$263,MATCH(SPC!$B$13,IF(Setup!$B$11="Weekly",'SPC Backing (Hide)'!$B$4:$B$263,'SPC Backing (Hide)'!$E$4:$E$263),0)):INDEX($Y$4:$Y$263,MATCH(SPC!$B$14,IF(Setup!$B$11="Weekly",'SPC Backing (Hide)'!$B$4:$B$263,'SPC Backing (Hide)'!$E$4:$E$263),0),1))</f>
        <v>18.416666666666668</v>
      </c>
      <c r="AA46">
        <f t="shared" si="1"/>
        <v>16.326832151300238</v>
      </c>
      <c r="AB46">
        <f t="shared" si="2"/>
        <v>88.60283687943263</v>
      </c>
      <c r="AC46">
        <f t="shared" si="3"/>
        <v>104.92966903073287</v>
      </c>
      <c r="AD46">
        <f t="shared" si="4"/>
        <v>121.25650118203311</v>
      </c>
      <c r="AE46">
        <f t="shared" si="5"/>
        <v>153.91016548463358</v>
      </c>
      <c r="AF46">
        <f t="shared" si="6"/>
        <v>170.23699763593382</v>
      </c>
      <c r="AG46">
        <f t="shared" si="7"/>
        <v>186.56382978723406</v>
      </c>
      <c r="AH46">
        <f t="shared" si="8"/>
        <v>0</v>
      </c>
      <c r="AI46">
        <f t="shared" si="15"/>
        <v>-2</v>
      </c>
      <c r="AJ46">
        <f t="shared" si="9"/>
        <v>0</v>
      </c>
      <c r="AK46">
        <f t="shared" si="10"/>
        <v>0</v>
      </c>
      <c r="AL46" t="e">
        <f t="shared" si="11"/>
        <v>#N/A</v>
      </c>
      <c r="AM46">
        <f t="shared" si="12"/>
        <v>-1</v>
      </c>
      <c r="AN46">
        <f t="shared" si="13"/>
        <v>0</v>
      </c>
      <c r="AO46">
        <f>_xlfn.PERCENTILE.INC(INDEX($W$4:$W$263,MATCH(SPC!$B$13,IF(Setup!$B$11="Weekly",'SPC Backing (Hide)'!$B$4:$B$263,'SPC Backing (Hide)'!$E$4:$E$263),0),1):INDEX($W$4:$W$263,MATCH(SPC!$B$14,IF(Setup!$B$11="Weekly",'SPC Backing (Hide)'!$B$4:$B$263,'SPC Backing (Hide)'!$E$4:$E$263),0),1),'SPC Backing (Hide)'!$AO$3)</f>
        <v>136.10000000000002</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6">
        <f t="shared" si="14"/>
        <v>33.44999999999996</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137.58333333333334</v>
      </c>
      <c r="Y47" cm="1">
        <f t="array" ref="Y47">ABS(INDEX($F$4:$U$263,ROW(A44),MATCH($X$2,$F$3:$U$3,0))-INDEX($F$4:$U$263,ROW(A43),MATCH($X$2,$F$3:$U$3,0)))</f>
        <v>0</v>
      </c>
      <c r="Z47">
        <f>AVERAGE(INDEX($Y$4:$Y$263,MATCH(SPC!$B$13,IF(Setup!$B$11="Weekly",'SPC Backing (Hide)'!$B$4:$B$263,'SPC Backing (Hide)'!$E$4:$E$263),0)):INDEX($Y$4:$Y$263,MATCH(SPC!$B$14,IF(Setup!$B$11="Weekly",'SPC Backing (Hide)'!$B$4:$B$263,'SPC Backing (Hide)'!$E$4:$E$263),0),1))</f>
        <v>18.416666666666668</v>
      </c>
      <c r="AA47">
        <f t="shared" si="1"/>
        <v>16.326832151300238</v>
      </c>
      <c r="AB47">
        <f t="shared" si="2"/>
        <v>88.60283687943263</v>
      </c>
      <c r="AC47">
        <f t="shared" si="3"/>
        <v>104.92966903073287</v>
      </c>
      <c r="AD47">
        <f t="shared" si="4"/>
        <v>121.25650118203311</v>
      </c>
      <c r="AE47">
        <f t="shared" si="5"/>
        <v>153.91016548463358</v>
      </c>
      <c r="AF47">
        <f t="shared" si="6"/>
        <v>170.23699763593382</v>
      </c>
      <c r="AG47">
        <f t="shared" si="7"/>
        <v>186.56382978723406</v>
      </c>
      <c r="AH47">
        <f t="shared" si="8"/>
        <v>0</v>
      </c>
      <c r="AI47">
        <f t="shared" si="15"/>
        <v>-2</v>
      </c>
      <c r="AJ47">
        <f t="shared" si="9"/>
        <v>0</v>
      </c>
      <c r="AK47">
        <f t="shared" si="10"/>
        <v>0</v>
      </c>
      <c r="AL47" t="e">
        <f t="shared" si="11"/>
        <v>#N/A</v>
      </c>
      <c r="AM47">
        <f t="shared" si="12"/>
        <v>-1</v>
      </c>
      <c r="AN47">
        <f t="shared" si="13"/>
        <v>0</v>
      </c>
      <c r="AO47">
        <f>_xlfn.PERCENTILE.INC(INDEX($W$4:$W$263,MATCH(SPC!$B$13,IF(Setup!$B$11="Weekly",'SPC Backing (Hide)'!$B$4:$B$263,'SPC Backing (Hide)'!$E$4:$E$263),0),1):INDEX($W$4:$W$263,MATCH(SPC!$B$14,IF(Setup!$B$11="Weekly",'SPC Backing (Hide)'!$B$4:$B$263,'SPC Backing (Hide)'!$E$4:$E$263),0),1),'SPC Backing (Hide)'!$AO$3)</f>
        <v>136.10000000000002</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7">
        <f t="shared" si="14"/>
        <v>33.44999999999996</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137.58333333333334</v>
      </c>
      <c r="Y48" cm="1">
        <f t="array" ref="Y48">ABS(INDEX($F$4:$U$263,ROW(A45),MATCH($X$2,$F$3:$U$3,0))-INDEX($F$4:$U$263,ROW(A44),MATCH($X$2,$F$3:$U$3,0)))</f>
        <v>0</v>
      </c>
      <c r="Z48">
        <f>AVERAGE(INDEX($Y$4:$Y$263,MATCH(SPC!$B$13,IF(Setup!$B$11="Weekly",'SPC Backing (Hide)'!$B$4:$B$263,'SPC Backing (Hide)'!$E$4:$E$263),0)):INDEX($Y$4:$Y$263,MATCH(SPC!$B$14,IF(Setup!$B$11="Weekly",'SPC Backing (Hide)'!$B$4:$B$263,'SPC Backing (Hide)'!$E$4:$E$263),0),1))</f>
        <v>18.416666666666668</v>
      </c>
      <c r="AA48">
        <f t="shared" si="1"/>
        <v>16.326832151300238</v>
      </c>
      <c r="AB48">
        <f t="shared" si="2"/>
        <v>88.60283687943263</v>
      </c>
      <c r="AC48">
        <f t="shared" si="3"/>
        <v>104.92966903073287</v>
      </c>
      <c r="AD48">
        <f t="shared" si="4"/>
        <v>121.25650118203311</v>
      </c>
      <c r="AE48">
        <f t="shared" si="5"/>
        <v>153.91016548463358</v>
      </c>
      <c r="AF48">
        <f t="shared" si="6"/>
        <v>170.23699763593382</v>
      </c>
      <c r="AG48">
        <f t="shared" si="7"/>
        <v>186.56382978723406</v>
      </c>
      <c r="AH48">
        <f t="shared" si="8"/>
        <v>0</v>
      </c>
      <c r="AI48">
        <f t="shared" si="15"/>
        <v>-2</v>
      </c>
      <c r="AJ48">
        <f t="shared" si="9"/>
        <v>0</v>
      </c>
      <c r="AK48">
        <f t="shared" si="10"/>
        <v>0</v>
      </c>
      <c r="AL48" t="e">
        <f t="shared" si="11"/>
        <v>#N/A</v>
      </c>
      <c r="AM48">
        <f t="shared" si="12"/>
        <v>-1</v>
      </c>
      <c r="AN48">
        <f t="shared" si="13"/>
        <v>0</v>
      </c>
      <c r="AO48">
        <f>_xlfn.PERCENTILE.INC(INDEX($W$4:$W$263,MATCH(SPC!$B$13,IF(Setup!$B$11="Weekly",'SPC Backing (Hide)'!$B$4:$B$263,'SPC Backing (Hide)'!$E$4:$E$263),0),1):INDEX($W$4:$W$263,MATCH(SPC!$B$14,IF(Setup!$B$11="Weekly",'SPC Backing (Hide)'!$B$4:$B$263,'SPC Backing (Hide)'!$E$4:$E$263),0),1),'SPC Backing (Hide)'!$AO$3)</f>
        <v>136.10000000000002</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8">
        <f t="shared" si="14"/>
        <v>33.44999999999996</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137.58333333333334</v>
      </c>
      <c r="Y49" cm="1">
        <f t="array" ref="Y49">ABS(INDEX($F$4:$U$263,ROW(A46),MATCH($X$2,$F$3:$U$3,0))-INDEX($F$4:$U$263,ROW(A45),MATCH($X$2,$F$3:$U$3,0)))</f>
        <v>0</v>
      </c>
      <c r="Z49">
        <f>AVERAGE(INDEX($Y$4:$Y$263,MATCH(SPC!$B$13,IF(Setup!$B$11="Weekly",'SPC Backing (Hide)'!$B$4:$B$263,'SPC Backing (Hide)'!$E$4:$E$263),0)):INDEX($Y$4:$Y$263,MATCH(SPC!$B$14,IF(Setup!$B$11="Weekly",'SPC Backing (Hide)'!$B$4:$B$263,'SPC Backing (Hide)'!$E$4:$E$263),0),1))</f>
        <v>18.416666666666668</v>
      </c>
      <c r="AA49">
        <f t="shared" si="1"/>
        <v>16.326832151300238</v>
      </c>
      <c r="AB49">
        <f t="shared" si="2"/>
        <v>88.60283687943263</v>
      </c>
      <c r="AC49">
        <f t="shared" si="3"/>
        <v>104.92966903073287</v>
      </c>
      <c r="AD49">
        <f t="shared" si="4"/>
        <v>121.25650118203311</v>
      </c>
      <c r="AE49">
        <f t="shared" si="5"/>
        <v>153.91016548463358</v>
      </c>
      <c r="AF49">
        <f t="shared" si="6"/>
        <v>170.23699763593382</v>
      </c>
      <c r="AG49">
        <f t="shared" si="7"/>
        <v>186.56382978723406</v>
      </c>
      <c r="AH49">
        <f t="shared" si="8"/>
        <v>0</v>
      </c>
      <c r="AI49">
        <f t="shared" si="15"/>
        <v>-2</v>
      </c>
      <c r="AJ49">
        <f t="shared" si="9"/>
        <v>0</v>
      </c>
      <c r="AK49">
        <f t="shared" si="10"/>
        <v>0</v>
      </c>
      <c r="AL49" t="e">
        <f t="shared" si="11"/>
        <v>#N/A</v>
      </c>
      <c r="AM49">
        <f t="shared" si="12"/>
        <v>-1</v>
      </c>
      <c r="AN49">
        <f t="shared" si="13"/>
        <v>0</v>
      </c>
      <c r="AO49">
        <f>_xlfn.PERCENTILE.INC(INDEX($W$4:$W$263,MATCH(SPC!$B$13,IF(Setup!$B$11="Weekly",'SPC Backing (Hide)'!$B$4:$B$263,'SPC Backing (Hide)'!$E$4:$E$263),0),1):INDEX($W$4:$W$263,MATCH(SPC!$B$14,IF(Setup!$B$11="Weekly",'SPC Backing (Hide)'!$B$4:$B$263,'SPC Backing (Hide)'!$E$4:$E$263),0),1),'SPC Backing (Hide)'!$AO$3)</f>
        <v>136.10000000000002</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49">
        <f t="shared" si="14"/>
        <v>33.44999999999996</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137.58333333333334</v>
      </c>
      <c r="Y50" cm="1">
        <f t="array" ref="Y50">ABS(INDEX($F$4:$U$263,ROW(A47),MATCH($X$2,$F$3:$U$3,0))-INDEX($F$4:$U$263,ROW(A46),MATCH($X$2,$F$3:$U$3,0)))</f>
        <v>0</v>
      </c>
      <c r="Z50">
        <f>AVERAGE(INDEX($Y$4:$Y$263,MATCH(SPC!$B$13,IF(Setup!$B$11="Weekly",'SPC Backing (Hide)'!$B$4:$B$263,'SPC Backing (Hide)'!$E$4:$E$263),0)):INDEX($Y$4:$Y$263,MATCH(SPC!$B$14,IF(Setup!$B$11="Weekly",'SPC Backing (Hide)'!$B$4:$B$263,'SPC Backing (Hide)'!$E$4:$E$263),0),1))</f>
        <v>18.416666666666668</v>
      </c>
      <c r="AA50">
        <f t="shared" si="1"/>
        <v>16.326832151300238</v>
      </c>
      <c r="AB50">
        <f t="shared" si="2"/>
        <v>88.60283687943263</v>
      </c>
      <c r="AC50">
        <f t="shared" si="3"/>
        <v>104.92966903073287</v>
      </c>
      <c r="AD50">
        <f t="shared" si="4"/>
        <v>121.25650118203311</v>
      </c>
      <c r="AE50">
        <f t="shared" si="5"/>
        <v>153.91016548463358</v>
      </c>
      <c r="AF50">
        <f t="shared" si="6"/>
        <v>170.23699763593382</v>
      </c>
      <c r="AG50">
        <f t="shared" si="7"/>
        <v>186.56382978723406</v>
      </c>
      <c r="AH50">
        <f t="shared" si="8"/>
        <v>0</v>
      </c>
      <c r="AI50">
        <f t="shared" si="15"/>
        <v>-2</v>
      </c>
      <c r="AJ50">
        <f t="shared" si="9"/>
        <v>0</v>
      </c>
      <c r="AK50">
        <f t="shared" si="10"/>
        <v>0</v>
      </c>
      <c r="AL50" t="e">
        <f t="shared" si="11"/>
        <v>#N/A</v>
      </c>
      <c r="AM50">
        <f t="shared" si="12"/>
        <v>-1</v>
      </c>
      <c r="AN50">
        <f t="shared" si="13"/>
        <v>0</v>
      </c>
      <c r="AO50">
        <f>_xlfn.PERCENTILE.INC(INDEX($W$4:$W$263,MATCH(SPC!$B$13,IF(Setup!$B$11="Weekly",'SPC Backing (Hide)'!$B$4:$B$263,'SPC Backing (Hide)'!$E$4:$E$263),0),1):INDEX($W$4:$W$263,MATCH(SPC!$B$14,IF(Setup!$B$11="Weekly",'SPC Backing (Hide)'!$B$4:$B$263,'SPC Backing (Hide)'!$E$4:$E$263),0),1),'SPC Backing (Hide)'!$AO$3)</f>
        <v>136.10000000000002</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0">
        <f t="shared" si="14"/>
        <v>33.44999999999996</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137.58333333333334</v>
      </c>
      <c r="Y51" cm="1">
        <f t="array" ref="Y51">ABS(INDEX($F$4:$U$263,ROW(A48),MATCH($X$2,$F$3:$U$3,0))-INDEX($F$4:$U$263,ROW(A47),MATCH($X$2,$F$3:$U$3,0)))</f>
        <v>0</v>
      </c>
      <c r="Z51">
        <f>AVERAGE(INDEX($Y$4:$Y$263,MATCH(SPC!$B$13,IF(Setup!$B$11="Weekly",'SPC Backing (Hide)'!$B$4:$B$263,'SPC Backing (Hide)'!$E$4:$E$263),0)):INDEX($Y$4:$Y$263,MATCH(SPC!$B$14,IF(Setup!$B$11="Weekly",'SPC Backing (Hide)'!$B$4:$B$263,'SPC Backing (Hide)'!$E$4:$E$263),0),1))</f>
        <v>18.416666666666668</v>
      </c>
      <c r="AA51">
        <f t="shared" si="1"/>
        <v>16.326832151300238</v>
      </c>
      <c r="AB51">
        <f t="shared" si="2"/>
        <v>88.60283687943263</v>
      </c>
      <c r="AC51">
        <f t="shared" si="3"/>
        <v>104.92966903073287</v>
      </c>
      <c r="AD51">
        <f t="shared" si="4"/>
        <v>121.25650118203311</v>
      </c>
      <c r="AE51">
        <f t="shared" si="5"/>
        <v>153.91016548463358</v>
      </c>
      <c r="AF51">
        <f t="shared" si="6"/>
        <v>170.23699763593382</v>
      </c>
      <c r="AG51">
        <f t="shared" si="7"/>
        <v>186.56382978723406</v>
      </c>
      <c r="AH51">
        <f t="shared" si="8"/>
        <v>0</v>
      </c>
      <c r="AI51">
        <f t="shared" si="15"/>
        <v>-2</v>
      </c>
      <c r="AJ51">
        <f t="shared" si="9"/>
        <v>0</v>
      </c>
      <c r="AK51">
        <f t="shared" si="10"/>
        <v>0</v>
      </c>
      <c r="AL51" t="e">
        <f t="shared" si="11"/>
        <v>#N/A</v>
      </c>
      <c r="AM51">
        <f t="shared" si="12"/>
        <v>-1</v>
      </c>
      <c r="AN51">
        <f t="shared" si="13"/>
        <v>0</v>
      </c>
      <c r="AO51">
        <f>_xlfn.PERCENTILE.INC(INDEX($W$4:$W$263,MATCH(SPC!$B$13,IF(Setup!$B$11="Weekly",'SPC Backing (Hide)'!$B$4:$B$263,'SPC Backing (Hide)'!$E$4:$E$263),0),1):INDEX($W$4:$W$263,MATCH(SPC!$B$14,IF(Setup!$B$11="Weekly",'SPC Backing (Hide)'!$B$4:$B$263,'SPC Backing (Hide)'!$E$4:$E$263),0),1),'SPC Backing (Hide)'!$AO$3)</f>
        <v>136.10000000000002</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1">
        <f t="shared" si="14"/>
        <v>33.44999999999996</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137.58333333333334</v>
      </c>
      <c r="Y52" cm="1">
        <f t="array" ref="Y52">ABS(INDEX($F$4:$U$263,ROW(A49),MATCH($X$2,$F$3:$U$3,0))-INDEX($F$4:$U$263,ROW(A48),MATCH($X$2,$F$3:$U$3,0)))</f>
        <v>0</v>
      </c>
      <c r="Z52">
        <f>AVERAGE(INDEX($Y$4:$Y$263,MATCH(SPC!$B$13,IF(Setup!$B$11="Weekly",'SPC Backing (Hide)'!$B$4:$B$263,'SPC Backing (Hide)'!$E$4:$E$263),0)):INDEX($Y$4:$Y$263,MATCH(SPC!$B$14,IF(Setup!$B$11="Weekly",'SPC Backing (Hide)'!$B$4:$B$263,'SPC Backing (Hide)'!$E$4:$E$263),0),1))</f>
        <v>18.416666666666668</v>
      </c>
      <c r="AA52">
        <f t="shared" si="1"/>
        <v>16.326832151300238</v>
      </c>
      <c r="AB52">
        <f t="shared" si="2"/>
        <v>88.60283687943263</v>
      </c>
      <c r="AC52">
        <f t="shared" si="3"/>
        <v>104.92966903073287</v>
      </c>
      <c r="AD52">
        <f t="shared" si="4"/>
        <v>121.25650118203311</v>
      </c>
      <c r="AE52">
        <f t="shared" si="5"/>
        <v>153.91016548463358</v>
      </c>
      <c r="AF52">
        <f t="shared" si="6"/>
        <v>170.23699763593382</v>
      </c>
      <c r="AG52">
        <f t="shared" si="7"/>
        <v>186.56382978723406</v>
      </c>
      <c r="AH52">
        <f t="shared" si="8"/>
        <v>0</v>
      </c>
      <c r="AI52">
        <f t="shared" si="15"/>
        <v>-2</v>
      </c>
      <c r="AJ52">
        <f t="shared" si="9"/>
        <v>0</v>
      </c>
      <c r="AK52">
        <f t="shared" si="10"/>
        <v>0</v>
      </c>
      <c r="AL52" t="e">
        <f t="shared" si="11"/>
        <v>#N/A</v>
      </c>
      <c r="AM52">
        <f t="shared" si="12"/>
        <v>-1</v>
      </c>
      <c r="AN52">
        <f t="shared" si="13"/>
        <v>0</v>
      </c>
      <c r="AO52">
        <f>_xlfn.PERCENTILE.INC(INDEX($W$4:$W$263,MATCH(SPC!$B$13,IF(Setup!$B$11="Weekly",'SPC Backing (Hide)'!$B$4:$B$263,'SPC Backing (Hide)'!$E$4:$E$263),0),1):INDEX($W$4:$W$263,MATCH(SPC!$B$14,IF(Setup!$B$11="Weekly",'SPC Backing (Hide)'!$B$4:$B$263,'SPC Backing (Hide)'!$E$4:$E$263),0),1),'SPC Backing (Hide)'!$AO$3)</f>
        <v>136.10000000000002</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2">
        <f t="shared" si="14"/>
        <v>33.44999999999996</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137.58333333333334</v>
      </c>
      <c r="Y53" cm="1">
        <f t="array" ref="Y53">ABS(INDEX($F$4:$U$263,ROW(A50),MATCH($X$2,$F$3:$U$3,0))-INDEX($F$4:$U$263,ROW(A49),MATCH($X$2,$F$3:$U$3,0)))</f>
        <v>0</v>
      </c>
      <c r="Z53">
        <f>AVERAGE(INDEX($Y$4:$Y$263,MATCH(SPC!$B$13,IF(Setup!$B$11="Weekly",'SPC Backing (Hide)'!$B$4:$B$263,'SPC Backing (Hide)'!$E$4:$E$263),0)):INDEX($Y$4:$Y$263,MATCH(SPC!$B$14,IF(Setup!$B$11="Weekly",'SPC Backing (Hide)'!$B$4:$B$263,'SPC Backing (Hide)'!$E$4:$E$263),0),1))</f>
        <v>18.416666666666668</v>
      </c>
      <c r="AA53">
        <f t="shared" si="1"/>
        <v>16.326832151300238</v>
      </c>
      <c r="AB53">
        <f t="shared" si="2"/>
        <v>88.60283687943263</v>
      </c>
      <c r="AC53">
        <f t="shared" si="3"/>
        <v>104.92966903073287</v>
      </c>
      <c r="AD53">
        <f t="shared" si="4"/>
        <v>121.25650118203311</v>
      </c>
      <c r="AE53">
        <f t="shared" si="5"/>
        <v>153.91016548463358</v>
      </c>
      <c r="AF53">
        <f t="shared" si="6"/>
        <v>170.23699763593382</v>
      </c>
      <c r="AG53">
        <f t="shared" si="7"/>
        <v>186.56382978723406</v>
      </c>
      <c r="AH53">
        <f t="shared" si="8"/>
        <v>0</v>
      </c>
      <c r="AI53">
        <f t="shared" si="15"/>
        <v>-2</v>
      </c>
      <c r="AJ53">
        <f t="shared" si="9"/>
        <v>0</v>
      </c>
      <c r="AK53">
        <f t="shared" si="10"/>
        <v>0</v>
      </c>
      <c r="AL53" t="e">
        <f t="shared" si="11"/>
        <v>#N/A</v>
      </c>
      <c r="AM53">
        <f t="shared" si="12"/>
        <v>-1</v>
      </c>
      <c r="AN53">
        <f t="shared" si="13"/>
        <v>0</v>
      </c>
      <c r="AO53">
        <f>_xlfn.PERCENTILE.INC(INDEX($W$4:$W$263,MATCH(SPC!$B$13,IF(Setup!$B$11="Weekly",'SPC Backing (Hide)'!$B$4:$B$263,'SPC Backing (Hide)'!$E$4:$E$263),0),1):INDEX($W$4:$W$263,MATCH(SPC!$B$14,IF(Setup!$B$11="Weekly",'SPC Backing (Hide)'!$B$4:$B$263,'SPC Backing (Hide)'!$E$4:$E$263),0),1),'SPC Backing (Hide)'!$AO$3)</f>
        <v>136.10000000000002</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3">
        <f t="shared" si="14"/>
        <v>33.44999999999996</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137.58333333333334</v>
      </c>
      <c r="Y54" cm="1">
        <f t="array" ref="Y54">ABS(INDEX($F$4:$U$263,ROW(A51),MATCH($X$2,$F$3:$U$3,0))-INDEX($F$4:$U$263,ROW(A50),MATCH($X$2,$F$3:$U$3,0)))</f>
        <v>0</v>
      </c>
      <c r="Z54">
        <f>AVERAGE(INDEX($Y$4:$Y$263,MATCH(SPC!$B$13,IF(Setup!$B$11="Weekly",'SPC Backing (Hide)'!$B$4:$B$263,'SPC Backing (Hide)'!$E$4:$E$263),0)):INDEX($Y$4:$Y$263,MATCH(SPC!$B$14,IF(Setup!$B$11="Weekly",'SPC Backing (Hide)'!$B$4:$B$263,'SPC Backing (Hide)'!$E$4:$E$263),0),1))</f>
        <v>18.416666666666668</v>
      </c>
      <c r="AA54">
        <f t="shared" si="1"/>
        <v>16.326832151300238</v>
      </c>
      <c r="AB54">
        <f t="shared" si="2"/>
        <v>88.60283687943263</v>
      </c>
      <c r="AC54">
        <f t="shared" si="3"/>
        <v>104.92966903073287</v>
      </c>
      <c r="AD54">
        <f t="shared" si="4"/>
        <v>121.25650118203311</v>
      </c>
      <c r="AE54">
        <f t="shared" si="5"/>
        <v>153.91016548463358</v>
      </c>
      <c r="AF54">
        <f t="shared" si="6"/>
        <v>170.23699763593382</v>
      </c>
      <c r="AG54">
        <f t="shared" si="7"/>
        <v>186.56382978723406</v>
      </c>
      <c r="AH54">
        <f t="shared" si="8"/>
        <v>0</v>
      </c>
      <c r="AI54">
        <f t="shared" si="15"/>
        <v>-2</v>
      </c>
      <c r="AJ54">
        <f t="shared" si="9"/>
        <v>0</v>
      </c>
      <c r="AK54">
        <f t="shared" si="10"/>
        <v>0</v>
      </c>
      <c r="AL54" t="e">
        <f t="shared" si="11"/>
        <v>#N/A</v>
      </c>
      <c r="AM54">
        <f t="shared" si="12"/>
        <v>-1</v>
      </c>
      <c r="AN54">
        <f t="shared" si="13"/>
        <v>0</v>
      </c>
      <c r="AO54">
        <f>_xlfn.PERCENTILE.INC(INDEX($W$4:$W$263,MATCH(SPC!$B$13,IF(Setup!$B$11="Weekly",'SPC Backing (Hide)'!$B$4:$B$263,'SPC Backing (Hide)'!$E$4:$E$263),0),1):INDEX($W$4:$W$263,MATCH(SPC!$B$14,IF(Setup!$B$11="Weekly",'SPC Backing (Hide)'!$B$4:$B$263,'SPC Backing (Hide)'!$E$4:$E$263),0),1),'SPC Backing (Hide)'!$AO$3)</f>
        <v>136.10000000000002</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4">
        <f t="shared" si="14"/>
        <v>33.44999999999996</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137.58333333333334</v>
      </c>
      <c r="Y55" cm="1">
        <f t="array" ref="Y55">ABS(INDEX($F$4:$U$263,ROW(A52),MATCH($X$2,$F$3:$U$3,0))-INDEX($F$4:$U$263,ROW(A51),MATCH($X$2,$F$3:$U$3,0)))</f>
        <v>0</v>
      </c>
      <c r="Z55">
        <f>AVERAGE(INDEX($Y$4:$Y$263,MATCH(SPC!$B$13,IF(Setup!$B$11="Weekly",'SPC Backing (Hide)'!$B$4:$B$263,'SPC Backing (Hide)'!$E$4:$E$263),0)):INDEX($Y$4:$Y$263,MATCH(SPC!$B$14,IF(Setup!$B$11="Weekly",'SPC Backing (Hide)'!$B$4:$B$263,'SPC Backing (Hide)'!$E$4:$E$263),0),1))</f>
        <v>18.416666666666668</v>
      </c>
      <c r="AA55">
        <f t="shared" si="1"/>
        <v>16.326832151300238</v>
      </c>
      <c r="AB55">
        <f t="shared" si="2"/>
        <v>88.60283687943263</v>
      </c>
      <c r="AC55">
        <f t="shared" si="3"/>
        <v>104.92966903073287</v>
      </c>
      <c r="AD55">
        <f t="shared" si="4"/>
        <v>121.25650118203311</v>
      </c>
      <c r="AE55">
        <f t="shared" si="5"/>
        <v>153.91016548463358</v>
      </c>
      <c r="AF55">
        <f t="shared" si="6"/>
        <v>170.23699763593382</v>
      </c>
      <c r="AG55">
        <f t="shared" si="7"/>
        <v>186.56382978723406</v>
      </c>
      <c r="AH55">
        <f t="shared" si="8"/>
        <v>0</v>
      </c>
      <c r="AI55">
        <f t="shared" si="15"/>
        <v>-2</v>
      </c>
      <c r="AJ55">
        <f t="shared" si="9"/>
        <v>0</v>
      </c>
      <c r="AK55">
        <f t="shared" si="10"/>
        <v>0</v>
      </c>
      <c r="AL55" t="e">
        <f t="shared" si="11"/>
        <v>#N/A</v>
      </c>
      <c r="AM55">
        <f t="shared" si="12"/>
        <v>-1</v>
      </c>
      <c r="AN55">
        <f t="shared" si="13"/>
        <v>0</v>
      </c>
      <c r="AO55">
        <f>_xlfn.PERCENTILE.INC(INDEX($W$4:$W$263,MATCH(SPC!$B$13,IF(Setup!$B$11="Weekly",'SPC Backing (Hide)'!$B$4:$B$263,'SPC Backing (Hide)'!$E$4:$E$263),0),1):INDEX($W$4:$W$263,MATCH(SPC!$B$14,IF(Setup!$B$11="Weekly",'SPC Backing (Hide)'!$B$4:$B$263,'SPC Backing (Hide)'!$E$4:$E$263),0),1),'SPC Backing (Hide)'!$AO$3)</f>
        <v>136.10000000000002</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5">
        <f t="shared" si="14"/>
        <v>33.44999999999996</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137.58333333333334</v>
      </c>
      <c r="Y56" cm="1">
        <f t="array" ref="Y56">ABS(INDEX($F$4:$U$263,ROW(A53),MATCH($X$2,$F$3:$U$3,0))-INDEX($F$4:$U$263,ROW(A52),MATCH($X$2,$F$3:$U$3,0)))</f>
        <v>0</v>
      </c>
      <c r="Z56">
        <f>AVERAGE(INDEX($Y$4:$Y$263,MATCH(SPC!$B$13,IF(Setup!$B$11="Weekly",'SPC Backing (Hide)'!$B$4:$B$263,'SPC Backing (Hide)'!$E$4:$E$263),0)):INDEX($Y$4:$Y$263,MATCH(SPC!$B$14,IF(Setup!$B$11="Weekly",'SPC Backing (Hide)'!$B$4:$B$263,'SPC Backing (Hide)'!$E$4:$E$263),0),1))</f>
        <v>18.416666666666668</v>
      </c>
      <c r="AA56">
        <f t="shared" si="1"/>
        <v>16.326832151300238</v>
      </c>
      <c r="AB56">
        <f t="shared" si="2"/>
        <v>88.60283687943263</v>
      </c>
      <c r="AC56">
        <f t="shared" si="3"/>
        <v>104.92966903073287</v>
      </c>
      <c r="AD56">
        <f t="shared" si="4"/>
        <v>121.25650118203311</v>
      </c>
      <c r="AE56">
        <f t="shared" si="5"/>
        <v>153.91016548463358</v>
      </c>
      <c r="AF56">
        <f t="shared" si="6"/>
        <v>170.23699763593382</v>
      </c>
      <c r="AG56">
        <f t="shared" si="7"/>
        <v>186.56382978723406</v>
      </c>
      <c r="AH56">
        <f t="shared" si="8"/>
        <v>0</v>
      </c>
      <c r="AI56">
        <f t="shared" si="15"/>
        <v>-2</v>
      </c>
      <c r="AJ56">
        <f t="shared" si="9"/>
        <v>0</v>
      </c>
      <c r="AK56">
        <f t="shared" si="10"/>
        <v>0</v>
      </c>
      <c r="AL56" t="e">
        <f t="shared" si="11"/>
        <v>#N/A</v>
      </c>
      <c r="AM56">
        <f t="shared" si="12"/>
        <v>-1</v>
      </c>
      <c r="AN56">
        <f t="shared" si="13"/>
        <v>0</v>
      </c>
      <c r="AO56">
        <f>_xlfn.PERCENTILE.INC(INDEX($W$4:$W$263,MATCH(SPC!$B$13,IF(Setup!$B$11="Weekly",'SPC Backing (Hide)'!$B$4:$B$263,'SPC Backing (Hide)'!$E$4:$E$263),0),1):INDEX($W$4:$W$263,MATCH(SPC!$B$14,IF(Setup!$B$11="Weekly",'SPC Backing (Hide)'!$B$4:$B$263,'SPC Backing (Hide)'!$E$4:$E$263),0),1),'SPC Backing (Hide)'!$AO$3)</f>
        <v>136.10000000000002</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6">
        <f t="shared" si="14"/>
        <v>33.44999999999996</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137.58333333333334</v>
      </c>
      <c r="Y57" cm="1">
        <f t="array" ref="Y57">ABS(INDEX($F$4:$U$263,ROW(A54),MATCH($X$2,$F$3:$U$3,0))-INDEX($F$4:$U$263,ROW(A53),MATCH($X$2,$F$3:$U$3,0)))</f>
        <v>0</v>
      </c>
      <c r="Z57">
        <f>AVERAGE(INDEX($Y$4:$Y$263,MATCH(SPC!$B$13,IF(Setup!$B$11="Weekly",'SPC Backing (Hide)'!$B$4:$B$263,'SPC Backing (Hide)'!$E$4:$E$263),0)):INDEX($Y$4:$Y$263,MATCH(SPC!$B$14,IF(Setup!$B$11="Weekly",'SPC Backing (Hide)'!$B$4:$B$263,'SPC Backing (Hide)'!$E$4:$E$263),0),1))</f>
        <v>18.416666666666668</v>
      </c>
      <c r="AA57">
        <f t="shared" si="1"/>
        <v>16.326832151300238</v>
      </c>
      <c r="AB57">
        <f t="shared" si="2"/>
        <v>88.60283687943263</v>
      </c>
      <c r="AC57">
        <f t="shared" si="3"/>
        <v>104.92966903073287</v>
      </c>
      <c r="AD57">
        <f t="shared" si="4"/>
        <v>121.25650118203311</v>
      </c>
      <c r="AE57">
        <f t="shared" si="5"/>
        <v>153.91016548463358</v>
      </c>
      <c r="AF57">
        <f t="shared" si="6"/>
        <v>170.23699763593382</v>
      </c>
      <c r="AG57">
        <f t="shared" si="7"/>
        <v>186.56382978723406</v>
      </c>
      <c r="AH57">
        <f t="shared" si="8"/>
        <v>0</v>
      </c>
      <c r="AI57">
        <f t="shared" si="15"/>
        <v>-2</v>
      </c>
      <c r="AJ57">
        <f t="shared" si="9"/>
        <v>0</v>
      </c>
      <c r="AK57">
        <f t="shared" si="10"/>
        <v>0</v>
      </c>
      <c r="AL57" t="e">
        <f t="shared" si="11"/>
        <v>#N/A</v>
      </c>
      <c r="AM57">
        <f t="shared" si="12"/>
        <v>-1</v>
      </c>
      <c r="AN57">
        <f t="shared" si="13"/>
        <v>0</v>
      </c>
      <c r="AO57">
        <f>_xlfn.PERCENTILE.INC(INDEX($W$4:$W$263,MATCH(SPC!$B$13,IF(Setup!$B$11="Weekly",'SPC Backing (Hide)'!$B$4:$B$263,'SPC Backing (Hide)'!$E$4:$E$263),0),1):INDEX($W$4:$W$263,MATCH(SPC!$B$14,IF(Setup!$B$11="Weekly",'SPC Backing (Hide)'!$B$4:$B$263,'SPC Backing (Hide)'!$E$4:$E$263),0),1),'SPC Backing (Hide)'!$AO$3)</f>
        <v>136.10000000000002</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7">
        <f t="shared" si="14"/>
        <v>33.44999999999996</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137.58333333333334</v>
      </c>
      <c r="Y58" cm="1">
        <f t="array" ref="Y58">ABS(INDEX($F$4:$U$263,ROW(A55),MATCH($X$2,$F$3:$U$3,0))-INDEX($F$4:$U$263,ROW(A54),MATCH($X$2,$F$3:$U$3,0)))</f>
        <v>0</v>
      </c>
      <c r="Z58">
        <f>AVERAGE(INDEX($Y$4:$Y$263,MATCH(SPC!$B$13,IF(Setup!$B$11="Weekly",'SPC Backing (Hide)'!$B$4:$B$263,'SPC Backing (Hide)'!$E$4:$E$263),0)):INDEX($Y$4:$Y$263,MATCH(SPC!$B$14,IF(Setup!$B$11="Weekly",'SPC Backing (Hide)'!$B$4:$B$263,'SPC Backing (Hide)'!$E$4:$E$263),0),1))</f>
        <v>18.416666666666668</v>
      </c>
      <c r="AA58">
        <f t="shared" si="1"/>
        <v>16.326832151300238</v>
      </c>
      <c r="AB58">
        <f t="shared" si="2"/>
        <v>88.60283687943263</v>
      </c>
      <c r="AC58">
        <f t="shared" si="3"/>
        <v>104.92966903073287</v>
      </c>
      <c r="AD58">
        <f t="shared" si="4"/>
        <v>121.25650118203311</v>
      </c>
      <c r="AE58">
        <f t="shared" si="5"/>
        <v>153.91016548463358</v>
      </c>
      <c r="AF58">
        <f t="shared" si="6"/>
        <v>170.23699763593382</v>
      </c>
      <c r="AG58">
        <f t="shared" si="7"/>
        <v>186.56382978723406</v>
      </c>
      <c r="AH58">
        <f t="shared" si="8"/>
        <v>0</v>
      </c>
      <c r="AI58">
        <f t="shared" si="15"/>
        <v>-2</v>
      </c>
      <c r="AJ58">
        <f t="shared" si="9"/>
        <v>0</v>
      </c>
      <c r="AK58">
        <f t="shared" si="10"/>
        <v>0</v>
      </c>
      <c r="AL58" t="e">
        <f t="shared" si="11"/>
        <v>#N/A</v>
      </c>
      <c r="AM58">
        <f t="shared" si="12"/>
        <v>-1</v>
      </c>
      <c r="AN58">
        <f t="shared" si="13"/>
        <v>0</v>
      </c>
      <c r="AO58">
        <f>_xlfn.PERCENTILE.INC(INDEX($W$4:$W$263,MATCH(SPC!$B$13,IF(Setup!$B$11="Weekly",'SPC Backing (Hide)'!$B$4:$B$263,'SPC Backing (Hide)'!$E$4:$E$263),0),1):INDEX($W$4:$W$263,MATCH(SPC!$B$14,IF(Setup!$B$11="Weekly",'SPC Backing (Hide)'!$B$4:$B$263,'SPC Backing (Hide)'!$E$4:$E$263),0),1),'SPC Backing (Hide)'!$AO$3)</f>
        <v>136.10000000000002</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8">
        <f t="shared" si="14"/>
        <v>33.44999999999996</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137.58333333333334</v>
      </c>
      <c r="Y59" cm="1">
        <f t="array" ref="Y59">ABS(INDEX($F$4:$U$263,ROW(A56),MATCH($X$2,$F$3:$U$3,0))-INDEX($F$4:$U$263,ROW(A55),MATCH($X$2,$F$3:$U$3,0)))</f>
        <v>0</v>
      </c>
      <c r="Z59">
        <f>AVERAGE(INDEX($Y$4:$Y$263,MATCH(SPC!$B$13,IF(Setup!$B$11="Weekly",'SPC Backing (Hide)'!$B$4:$B$263,'SPC Backing (Hide)'!$E$4:$E$263),0)):INDEX($Y$4:$Y$263,MATCH(SPC!$B$14,IF(Setup!$B$11="Weekly",'SPC Backing (Hide)'!$B$4:$B$263,'SPC Backing (Hide)'!$E$4:$E$263),0),1))</f>
        <v>18.416666666666668</v>
      </c>
      <c r="AA59">
        <f t="shared" si="1"/>
        <v>16.326832151300238</v>
      </c>
      <c r="AB59">
        <f t="shared" si="2"/>
        <v>88.60283687943263</v>
      </c>
      <c r="AC59">
        <f t="shared" si="3"/>
        <v>104.92966903073287</v>
      </c>
      <c r="AD59">
        <f t="shared" si="4"/>
        <v>121.25650118203311</v>
      </c>
      <c r="AE59">
        <f t="shared" si="5"/>
        <v>153.91016548463358</v>
      </c>
      <c r="AF59">
        <f t="shared" si="6"/>
        <v>170.23699763593382</v>
      </c>
      <c r="AG59">
        <f t="shared" si="7"/>
        <v>186.56382978723406</v>
      </c>
      <c r="AH59">
        <f t="shared" si="8"/>
        <v>0</v>
      </c>
      <c r="AI59">
        <f t="shared" si="15"/>
        <v>-2</v>
      </c>
      <c r="AJ59">
        <f t="shared" si="9"/>
        <v>0</v>
      </c>
      <c r="AK59">
        <f t="shared" si="10"/>
        <v>0</v>
      </c>
      <c r="AL59" t="e">
        <f t="shared" si="11"/>
        <v>#N/A</v>
      </c>
      <c r="AM59">
        <f t="shared" si="12"/>
        <v>-1</v>
      </c>
      <c r="AN59">
        <f t="shared" si="13"/>
        <v>0</v>
      </c>
      <c r="AO59">
        <f>_xlfn.PERCENTILE.INC(INDEX($W$4:$W$263,MATCH(SPC!$B$13,IF(Setup!$B$11="Weekly",'SPC Backing (Hide)'!$B$4:$B$263,'SPC Backing (Hide)'!$E$4:$E$263),0),1):INDEX($W$4:$W$263,MATCH(SPC!$B$14,IF(Setup!$B$11="Weekly",'SPC Backing (Hide)'!$B$4:$B$263,'SPC Backing (Hide)'!$E$4:$E$263),0),1),'SPC Backing (Hide)'!$AO$3)</f>
        <v>136.10000000000002</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59">
        <f t="shared" si="14"/>
        <v>33.44999999999996</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137.58333333333334</v>
      </c>
      <c r="Y60" cm="1">
        <f t="array" ref="Y60">ABS(INDEX($F$4:$U$263,ROW(A57),MATCH($X$2,$F$3:$U$3,0))-INDEX($F$4:$U$263,ROW(A56),MATCH($X$2,$F$3:$U$3,0)))</f>
        <v>0</v>
      </c>
      <c r="Z60">
        <f>AVERAGE(INDEX($Y$4:$Y$263,MATCH(SPC!$B$13,IF(Setup!$B$11="Weekly",'SPC Backing (Hide)'!$B$4:$B$263,'SPC Backing (Hide)'!$E$4:$E$263),0)):INDEX($Y$4:$Y$263,MATCH(SPC!$B$14,IF(Setup!$B$11="Weekly",'SPC Backing (Hide)'!$B$4:$B$263,'SPC Backing (Hide)'!$E$4:$E$263),0),1))</f>
        <v>18.416666666666668</v>
      </c>
      <c r="AA60">
        <f t="shared" si="1"/>
        <v>16.326832151300238</v>
      </c>
      <c r="AB60">
        <f t="shared" si="2"/>
        <v>88.60283687943263</v>
      </c>
      <c r="AC60">
        <f t="shared" si="3"/>
        <v>104.92966903073287</v>
      </c>
      <c r="AD60">
        <f t="shared" si="4"/>
        <v>121.25650118203311</v>
      </c>
      <c r="AE60">
        <f t="shared" si="5"/>
        <v>153.91016548463358</v>
      </c>
      <c r="AF60">
        <f t="shared" si="6"/>
        <v>170.23699763593382</v>
      </c>
      <c r="AG60">
        <f t="shared" si="7"/>
        <v>186.56382978723406</v>
      </c>
      <c r="AH60">
        <f t="shared" si="8"/>
        <v>0</v>
      </c>
      <c r="AI60">
        <f t="shared" si="15"/>
        <v>-2</v>
      </c>
      <c r="AJ60">
        <f t="shared" si="9"/>
        <v>0</v>
      </c>
      <c r="AK60">
        <f t="shared" si="10"/>
        <v>0</v>
      </c>
      <c r="AL60" t="e">
        <f t="shared" si="11"/>
        <v>#N/A</v>
      </c>
      <c r="AM60">
        <f t="shared" si="12"/>
        <v>-1</v>
      </c>
      <c r="AN60">
        <f t="shared" si="13"/>
        <v>0</v>
      </c>
      <c r="AO60">
        <f>_xlfn.PERCENTILE.INC(INDEX($W$4:$W$263,MATCH(SPC!$B$13,IF(Setup!$B$11="Weekly",'SPC Backing (Hide)'!$B$4:$B$263,'SPC Backing (Hide)'!$E$4:$E$263),0),1):INDEX($W$4:$W$263,MATCH(SPC!$B$14,IF(Setup!$B$11="Weekly",'SPC Backing (Hide)'!$B$4:$B$263,'SPC Backing (Hide)'!$E$4:$E$263),0),1),'SPC Backing (Hide)'!$AO$3)</f>
        <v>136.10000000000002</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0">
        <f t="shared" si="14"/>
        <v>33.44999999999996</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137.58333333333334</v>
      </c>
      <c r="Y61" cm="1">
        <f t="array" ref="Y61">ABS(INDEX($F$4:$U$263,ROW(A58),MATCH($X$2,$F$3:$U$3,0))-INDEX($F$4:$U$263,ROW(A57),MATCH($X$2,$F$3:$U$3,0)))</f>
        <v>0</v>
      </c>
      <c r="Z61">
        <f>AVERAGE(INDEX($Y$4:$Y$263,MATCH(SPC!$B$13,IF(Setup!$B$11="Weekly",'SPC Backing (Hide)'!$B$4:$B$263,'SPC Backing (Hide)'!$E$4:$E$263),0)):INDEX($Y$4:$Y$263,MATCH(SPC!$B$14,IF(Setup!$B$11="Weekly",'SPC Backing (Hide)'!$B$4:$B$263,'SPC Backing (Hide)'!$E$4:$E$263),0),1))</f>
        <v>18.416666666666668</v>
      </c>
      <c r="AA61">
        <f t="shared" si="1"/>
        <v>16.326832151300238</v>
      </c>
      <c r="AB61">
        <f t="shared" si="2"/>
        <v>88.60283687943263</v>
      </c>
      <c r="AC61">
        <f t="shared" si="3"/>
        <v>104.92966903073287</v>
      </c>
      <c r="AD61">
        <f t="shared" si="4"/>
        <v>121.25650118203311</v>
      </c>
      <c r="AE61">
        <f t="shared" si="5"/>
        <v>153.91016548463358</v>
      </c>
      <c r="AF61">
        <f t="shared" si="6"/>
        <v>170.23699763593382</v>
      </c>
      <c r="AG61">
        <f t="shared" si="7"/>
        <v>186.56382978723406</v>
      </c>
      <c r="AH61">
        <f t="shared" si="8"/>
        <v>0</v>
      </c>
      <c r="AI61">
        <f t="shared" si="15"/>
        <v>-2</v>
      </c>
      <c r="AJ61">
        <f t="shared" si="9"/>
        <v>0</v>
      </c>
      <c r="AK61">
        <f t="shared" si="10"/>
        <v>0</v>
      </c>
      <c r="AL61" t="e">
        <f t="shared" si="11"/>
        <v>#N/A</v>
      </c>
      <c r="AM61">
        <f t="shared" si="12"/>
        <v>-1</v>
      </c>
      <c r="AN61">
        <f t="shared" si="13"/>
        <v>0</v>
      </c>
      <c r="AO61">
        <f>_xlfn.PERCENTILE.INC(INDEX($W$4:$W$263,MATCH(SPC!$B$13,IF(Setup!$B$11="Weekly",'SPC Backing (Hide)'!$B$4:$B$263,'SPC Backing (Hide)'!$E$4:$E$263),0),1):INDEX($W$4:$W$263,MATCH(SPC!$B$14,IF(Setup!$B$11="Weekly",'SPC Backing (Hide)'!$B$4:$B$263,'SPC Backing (Hide)'!$E$4:$E$263),0),1),'SPC Backing (Hide)'!$AO$3)</f>
        <v>136.10000000000002</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1">
        <f t="shared" si="14"/>
        <v>33.44999999999996</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137.58333333333334</v>
      </c>
      <c r="Y62" cm="1">
        <f t="array" ref="Y62">ABS(INDEX($F$4:$U$263,ROW(A59),MATCH($X$2,$F$3:$U$3,0))-INDEX($F$4:$U$263,ROW(A58),MATCH($X$2,$F$3:$U$3,0)))</f>
        <v>0</v>
      </c>
      <c r="Z62">
        <f>AVERAGE(INDEX($Y$4:$Y$263,MATCH(SPC!$B$13,IF(Setup!$B$11="Weekly",'SPC Backing (Hide)'!$B$4:$B$263,'SPC Backing (Hide)'!$E$4:$E$263),0)):INDEX($Y$4:$Y$263,MATCH(SPC!$B$14,IF(Setup!$B$11="Weekly",'SPC Backing (Hide)'!$B$4:$B$263,'SPC Backing (Hide)'!$E$4:$E$263),0),1))</f>
        <v>18.416666666666668</v>
      </c>
      <c r="AA62">
        <f t="shared" si="1"/>
        <v>16.326832151300238</v>
      </c>
      <c r="AB62">
        <f t="shared" si="2"/>
        <v>88.60283687943263</v>
      </c>
      <c r="AC62">
        <f t="shared" si="3"/>
        <v>104.92966903073287</v>
      </c>
      <c r="AD62">
        <f t="shared" si="4"/>
        <v>121.25650118203311</v>
      </c>
      <c r="AE62">
        <f t="shared" si="5"/>
        <v>153.91016548463358</v>
      </c>
      <c r="AF62">
        <f t="shared" si="6"/>
        <v>170.23699763593382</v>
      </c>
      <c r="AG62">
        <f t="shared" si="7"/>
        <v>186.56382978723406</v>
      </c>
      <c r="AH62">
        <f t="shared" si="8"/>
        <v>0</v>
      </c>
      <c r="AI62">
        <f t="shared" si="15"/>
        <v>-2</v>
      </c>
      <c r="AJ62">
        <f t="shared" si="9"/>
        <v>0</v>
      </c>
      <c r="AK62">
        <f t="shared" si="10"/>
        <v>0</v>
      </c>
      <c r="AL62" t="e">
        <f t="shared" si="11"/>
        <v>#N/A</v>
      </c>
      <c r="AM62">
        <f t="shared" si="12"/>
        <v>-1</v>
      </c>
      <c r="AN62">
        <f t="shared" si="13"/>
        <v>0</v>
      </c>
      <c r="AO62">
        <f>_xlfn.PERCENTILE.INC(INDEX($W$4:$W$263,MATCH(SPC!$B$13,IF(Setup!$B$11="Weekly",'SPC Backing (Hide)'!$B$4:$B$263,'SPC Backing (Hide)'!$E$4:$E$263),0),1):INDEX($W$4:$W$263,MATCH(SPC!$B$14,IF(Setup!$B$11="Weekly",'SPC Backing (Hide)'!$B$4:$B$263,'SPC Backing (Hide)'!$E$4:$E$263),0),1),'SPC Backing (Hide)'!$AO$3)</f>
        <v>136.10000000000002</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2">
        <f t="shared" si="14"/>
        <v>33.44999999999996</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137.58333333333334</v>
      </c>
      <c r="Y63" cm="1">
        <f t="array" ref="Y63">ABS(INDEX($F$4:$U$263,ROW(A60),MATCH($X$2,$F$3:$U$3,0))-INDEX($F$4:$U$263,ROW(A59),MATCH($X$2,$F$3:$U$3,0)))</f>
        <v>0</v>
      </c>
      <c r="Z63">
        <f>AVERAGE(INDEX($Y$4:$Y$263,MATCH(SPC!$B$13,IF(Setup!$B$11="Weekly",'SPC Backing (Hide)'!$B$4:$B$263,'SPC Backing (Hide)'!$E$4:$E$263),0)):INDEX($Y$4:$Y$263,MATCH(SPC!$B$14,IF(Setup!$B$11="Weekly",'SPC Backing (Hide)'!$B$4:$B$263,'SPC Backing (Hide)'!$E$4:$E$263),0),1))</f>
        <v>18.416666666666668</v>
      </c>
      <c r="AA63">
        <f t="shared" si="1"/>
        <v>16.326832151300238</v>
      </c>
      <c r="AB63">
        <f t="shared" si="2"/>
        <v>88.60283687943263</v>
      </c>
      <c r="AC63">
        <f t="shared" si="3"/>
        <v>104.92966903073287</v>
      </c>
      <c r="AD63">
        <f t="shared" si="4"/>
        <v>121.25650118203311</v>
      </c>
      <c r="AE63">
        <f t="shared" si="5"/>
        <v>153.91016548463358</v>
      </c>
      <c r="AF63">
        <f t="shared" si="6"/>
        <v>170.23699763593382</v>
      </c>
      <c r="AG63">
        <f t="shared" si="7"/>
        <v>186.56382978723406</v>
      </c>
      <c r="AH63">
        <f t="shared" si="8"/>
        <v>0</v>
      </c>
      <c r="AI63">
        <f t="shared" si="15"/>
        <v>-2</v>
      </c>
      <c r="AJ63">
        <f t="shared" si="9"/>
        <v>0</v>
      </c>
      <c r="AK63">
        <f t="shared" si="10"/>
        <v>0</v>
      </c>
      <c r="AL63" t="e">
        <f t="shared" si="11"/>
        <v>#N/A</v>
      </c>
      <c r="AM63">
        <f t="shared" si="12"/>
        <v>-1</v>
      </c>
      <c r="AN63">
        <f t="shared" si="13"/>
        <v>0</v>
      </c>
      <c r="AO63">
        <f>_xlfn.PERCENTILE.INC(INDEX($W$4:$W$263,MATCH(SPC!$B$13,IF(Setup!$B$11="Weekly",'SPC Backing (Hide)'!$B$4:$B$263,'SPC Backing (Hide)'!$E$4:$E$263),0),1):INDEX($W$4:$W$263,MATCH(SPC!$B$14,IF(Setup!$B$11="Weekly",'SPC Backing (Hide)'!$B$4:$B$263,'SPC Backing (Hide)'!$E$4:$E$263),0),1),'SPC Backing (Hide)'!$AO$3)</f>
        <v>136.10000000000002</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3">
        <f t="shared" si="14"/>
        <v>33.44999999999996</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137.58333333333334</v>
      </c>
      <c r="Y64" cm="1">
        <f t="array" ref="Y64">ABS(INDEX($F$4:$U$263,ROW(A61),MATCH($X$2,$F$3:$U$3,0))-INDEX($F$4:$U$263,ROW(A60),MATCH($X$2,$F$3:$U$3,0)))</f>
        <v>0</v>
      </c>
      <c r="Z64">
        <f>AVERAGE(INDEX($Y$4:$Y$263,MATCH(SPC!$B$13,IF(Setup!$B$11="Weekly",'SPC Backing (Hide)'!$B$4:$B$263,'SPC Backing (Hide)'!$E$4:$E$263),0)):INDEX($Y$4:$Y$263,MATCH(SPC!$B$14,IF(Setup!$B$11="Weekly",'SPC Backing (Hide)'!$B$4:$B$263,'SPC Backing (Hide)'!$E$4:$E$263),0),1))</f>
        <v>18.416666666666668</v>
      </c>
      <c r="AA64">
        <f t="shared" si="1"/>
        <v>16.326832151300238</v>
      </c>
      <c r="AB64">
        <f t="shared" si="2"/>
        <v>88.60283687943263</v>
      </c>
      <c r="AC64">
        <f t="shared" si="3"/>
        <v>104.92966903073287</v>
      </c>
      <c r="AD64">
        <f t="shared" si="4"/>
        <v>121.25650118203311</v>
      </c>
      <c r="AE64">
        <f t="shared" si="5"/>
        <v>153.91016548463358</v>
      </c>
      <c r="AF64">
        <f t="shared" si="6"/>
        <v>170.23699763593382</v>
      </c>
      <c r="AG64">
        <f t="shared" si="7"/>
        <v>186.56382978723406</v>
      </c>
      <c r="AH64">
        <f t="shared" si="8"/>
        <v>0</v>
      </c>
      <c r="AI64">
        <f t="shared" si="15"/>
        <v>-2</v>
      </c>
      <c r="AJ64">
        <f t="shared" si="9"/>
        <v>0</v>
      </c>
      <c r="AK64">
        <f t="shared" si="10"/>
        <v>0</v>
      </c>
      <c r="AL64" t="e">
        <f t="shared" si="11"/>
        <v>#N/A</v>
      </c>
      <c r="AM64">
        <f t="shared" si="12"/>
        <v>-1</v>
      </c>
      <c r="AN64">
        <f t="shared" si="13"/>
        <v>0</v>
      </c>
      <c r="AO64">
        <f>_xlfn.PERCENTILE.INC(INDEX($W$4:$W$263,MATCH(SPC!$B$13,IF(Setup!$B$11="Weekly",'SPC Backing (Hide)'!$B$4:$B$263,'SPC Backing (Hide)'!$E$4:$E$263),0),1):INDEX($W$4:$W$263,MATCH(SPC!$B$14,IF(Setup!$B$11="Weekly",'SPC Backing (Hide)'!$B$4:$B$263,'SPC Backing (Hide)'!$E$4:$E$263),0),1),'SPC Backing (Hide)'!$AO$3)</f>
        <v>136.10000000000002</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4">
        <f t="shared" si="14"/>
        <v>33.44999999999996</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137.58333333333334</v>
      </c>
      <c r="Y65" cm="1">
        <f t="array" ref="Y65">ABS(INDEX($F$4:$U$263,ROW(A62),MATCH($X$2,$F$3:$U$3,0))-INDEX($F$4:$U$263,ROW(A61),MATCH($X$2,$F$3:$U$3,0)))</f>
        <v>0</v>
      </c>
      <c r="Z65">
        <f>AVERAGE(INDEX($Y$4:$Y$263,MATCH(SPC!$B$13,IF(Setup!$B$11="Weekly",'SPC Backing (Hide)'!$B$4:$B$263,'SPC Backing (Hide)'!$E$4:$E$263),0)):INDEX($Y$4:$Y$263,MATCH(SPC!$B$14,IF(Setup!$B$11="Weekly",'SPC Backing (Hide)'!$B$4:$B$263,'SPC Backing (Hide)'!$E$4:$E$263),0),1))</f>
        <v>18.416666666666668</v>
      </c>
      <c r="AA65">
        <f t="shared" si="1"/>
        <v>16.326832151300238</v>
      </c>
      <c r="AB65">
        <f t="shared" si="2"/>
        <v>88.60283687943263</v>
      </c>
      <c r="AC65">
        <f t="shared" si="3"/>
        <v>104.92966903073287</v>
      </c>
      <c r="AD65">
        <f t="shared" si="4"/>
        <v>121.25650118203311</v>
      </c>
      <c r="AE65">
        <f t="shared" si="5"/>
        <v>153.91016548463358</v>
      </c>
      <c r="AF65">
        <f t="shared" si="6"/>
        <v>170.23699763593382</v>
      </c>
      <c r="AG65">
        <f t="shared" si="7"/>
        <v>186.56382978723406</v>
      </c>
      <c r="AH65">
        <f t="shared" si="8"/>
        <v>0</v>
      </c>
      <c r="AI65">
        <f t="shared" si="15"/>
        <v>-2</v>
      </c>
      <c r="AJ65">
        <f t="shared" si="9"/>
        <v>0</v>
      </c>
      <c r="AK65">
        <f t="shared" si="10"/>
        <v>0</v>
      </c>
      <c r="AL65" t="e">
        <f t="shared" si="11"/>
        <v>#N/A</v>
      </c>
      <c r="AM65">
        <f t="shared" si="12"/>
        <v>-1</v>
      </c>
      <c r="AN65">
        <f t="shared" si="13"/>
        <v>0</v>
      </c>
      <c r="AO65">
        <f>_xlfn.PERCENTILE.INC(INDEX($W$4:$W$263,MATCH(SPC!$B$13,IF(Setup!$B$11="Weekly",'SPC Backing (Hide)'!$B$4:$B$263,'SPC Backing (Hide)'!$E$4:$E$263),0),1):INDEX($W$4:$W$263,MATCH(SPC!$B$14,IF(Setup!$B$11="Weekly",'SPC Backing (Hide)'!$B$4:$B$263,'SPC Backing (Hide)'!$E$4:$E$263),0),1),'SPC Backing (Hide)'!$AO$3)</f>
        <v>136.10000000000002</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5">
        <f t="shared" si="14"/>
        <v>33.44999999999996</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137.58333333333334</v>
      </c>
      <c r="Y66" cm="1">
        <f t="array" ref="Y66">ABS(INDEX($F$4:$U$263,ROW(A63),MATCH($X$2,$F$3:$U$3,0))-INDEX($F$4:$U$263,ROW(A62),MATCH($X$2,$F$3:$U$3,0)))</f>
        <v>0</v>
      </c>
      <c r="Z66">
        <f>AVERAGE(INDEX($Y$4:$Y$263,MATCH(SPC!$B$13,IF(Setup!$B$11="Weekly",'SPC Backing (Hide)'!$B$4:$B$263,'SPC Backing (Hide)'!$E$4:$E$263),0)):INDEX($Y$4:$Y$263,MATCH(SPC!$B$14,IF(Setup!$B$11="Weekly",'SPC Backing (Hide)'!$B$4:$B$263,'SPC Backing (Hide)'!$E$4:$E$263),0),1))</f>
        <v>18.416666666666668</v>
      </c>
      <c r="AA66">
        <f t="shared" si="1"/>
        <v>16.326832151300238</v>
      </c>
      <c r="AB66">
        <f t="shared" si="2"/>
        <v>88.60283687943263</v>
      </c>
      <c r="AC66">
        <f t="shared" si="3"/>
        <v>104.92966903073287</v>
      </c>
      <c r="AD66">
        <f t="shared" si="4"/>
        <v>121.25650118203311</v>
      </c>
      <c r="AE66">
        <f t="shared" si="5"/>
        <v>153.91016548463358</v>
      </c>
      <c r="AF66">
        <f t="shared" si="6"/>
        <v>170.23699763593382</v>
      </c>
      <c r="AG66">
        <f t="shared" si="7"/>
        <v>186.56382978723406</v>
      </c>
      <c r="AH66">
        <f t="shared" si="8"/>
        <v>0</v>
      </c>
      <c r="AI66">
        <f t="shared" si="15"/>
        <v>-2</v>
      </c>
      <c r="AJ66">
        <f t="shared" si="9"/>
        <v>0</v>
      </c>
      <c r="AK66">
        <f t="shared" si="10"/>
        <v>0</v>
      </c>
      <c r="AL66" t="e">
        <f t="shared" si="11"/>
        <v>#N/A</v>
      </c>
      <c r="AM66">
        <f t="shared" si="12"/>
        <v>-1</v>
      </c>
      <c r="AN66">
        <f t="shared" si="13"/>
        <v>0</v>
      </c>
      <c r="AO66">
        <f>_xlfn.PERCENTILE.INC(INDEX($W$4:$W$263,MATCH(SPC!$B$13,IF(Setup!$B$11="Weekly",'SPC Backing (Hide)'!$B$4:$B$263,'SPC Backing (Hide)'!$E$4:$E$263),0),1):INDEX($W$4:$W$263,MATCH(SPC!$B$14,IF(Setup!$B$11="Weekly",'SPC Backing (Hide)'!$B$4:$B$263,'SPC Backing (Hide)'!$E$4:$E$263),0),1),'SPC Backing (Hide)'!$AO$3)</f>
        <v>136.10000000000002</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6">
        <f t="shared" si="14"/>
        <v>33.44999999999996</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137.58333333333334</v>
      </c>
      <c r="Y67" cm="1">
        <f t="array" ref="Y67">ABS(INDEX($F$4:$U$263,ROW(A64),MATCH($X$2,$F$3:$U$3,0))-INDEX($F$4:$U$263,ROW(A63),MATCH($X$2,$F$3:$U$3,0)))</f>
        <v>0</v>
      </c>
      <c r="Z67">
        <f>AVERAGE(INDEX($Y$4:$Y$263,MATCH(SPC!$B$13,IF(Setup!$B$11="Weekly",'SPC Backing (Hide)'!$B$4:$B$263,'SPC Backing (Hide)'!$E$4:$E$263),0)):INDEX($Y$4:$Y$263,MATCH(SPC!$B$14,IF(Setup!$B$11="Weekly",'SPC Backing (Hide)'!$B$4:$B$263,'SPC Backing (Hide)'!$E$4:$E$263),0),1))</f>
        <v>18.416666666666668</v>
      </c>
      <c r="AA67">
        <f t="shared" si="1"/>
        <v>16.326832151300238</v>
      </c>
      <c r="AB67">
        <f t="shared" si="2"/>
        <v>88.60283687943263</v>
      </c>
      <c r="AC67">
        <f t="shared" si="3"/>
        <v>104.92966903073287</v>
      </c>
      <c r="AD67">
        <f t="shared" si="4"/>
        <v>121.25650118203311</v>
      </c>
      <c r="AE67">
        <f t="shared" si="5"/>
        <v>153.91016548463358</v>
      </c>
      <c r="AF67">
        <f t="shared" si="6"/>
        <v>170.23699763593382</v>
      </c>
      <c r="AG67">
        <f t="shared" si="7"/>
        <v>186.56382978723406</v>
      </c>
      <c r="AH67">
        <f t="shared" si="8"/>
        <v>0</v>
      </c>
      <c r="AI67">
        <f t="shared" si="15"/>
        <v>-2</v>
      </c>
      <c r="AJ67">
        <f t="shared" si="9"/>
        <v>0</v>
      </c>
      <c r="AK67">
        <f t="shared" si="10"/>
        <v>0</v>
      </c>
      <c r="AL67" t="e">
        <f t="shared" si="11"/>
        <v>#N/A</v>
      </c>
      <c r="AM67">
        <f t="shared" si="12"/>
        <v>-1</v>
      </c>
      <c r="AN67">
        <f t="shared" si="13"/>
        <v>0</v>
      </c>
      <c r="AO67">
        <f>_xlfn.PERCENTILE.INC(INDEX($W$4:$W$263,MATCH(SPC!$B$13,IF(Setup!$B$11="Weekly",'SPC Backing (Hide)'!$B$4:$B$263,'SPC Backing (Hide)'!$E$4:$E$263),0),1):INDEX($W$4:$W$263,MATCH(SPC!$B$14,IF(Setup!$B$11="Weekly",'SPC Backing (Hide)'!$B$4:$B$263,'SPC Backing (Hide)'!$E$4:$E$263),0),1),'SPC Backing (Hide)'!$AO$3)</f>
        <v>136.10000000000002</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7">
        <f t="shared" si="14"/>
        <v>33.44999999999996</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137.58333333333334</v>
      </c>
      <c r="Y68" cm="1">
        <f t="array" ref="Y68">ABS(INDEX($F$4:$U$263,ROW(A65),MATCH($X$2,$F$3:$U$3,0))-INDEX($F$4:$U$263,ROW(A64),MATCH($X$2,$F$3:$U$3,0)))</f>
        <v>0</v>
      </c>
      <c r="Z68">
        <f>AVERAGE(INDEX($Y$4:$Y$263,MATCH(SPC!$B$13,IF(Setup!$B$11="Weekly",'SPC Backing (Hide)'!$B$4:$B$263,'SPC Backing (Hide)'!$E$4:$E$263),0)):INDEX($Y$4:$Y$263,MATCH(SPC!$B$14,IF(Setup!$B$11="Weekly",'SPC Backing (Hide)'!$B$4:$B$263,'SPC Backing (Hide)'!$E$4:$E$263),0),1))</f>
        <v>18.416666666666668</v>
      </c>
      <c r="AA68">
        <f t="shared" si="1"/>
        <v>16.326832151300238</v>
      </c>
      <c r="AB68">
        <f t="shared" si="2"/>
        <v>88.60283687943263</v>
      </c>
      <c r="AC68">
        <f t="shared" si="3"/>
        <v>104.92966903073287</v>
      </c>
      <c r="AD68">
        <f t="shared" si="4"/>
        <v>121.25650118203311</v>
      </c>
      <c r="AE68">
        <f t="shared" si="5"/>
        <v>153.91016548463358</v>
      </c>
      <c r="AF68">
        <f t="shared" si="6"/>
        <v>170.23699763593382</v>
      </c>
      <c r="AG68">
        <f t="shared" si="7"/>
        <v>186.56382978723406</v>
      </c>
      <c r="AH68">
        <f t="shared" si="8"/>
        <v>0</v>
      </c>
      <c r="AI68">
        <f t="shared" si="15"/>
        <v>-2</v>
      </c>
      <c r="AJ68">
        <f t="shared" si="9"/>
        <v>0</v>
      </c>
      <c r="AK68">
        <f t="shared" si="10"/>
        <v>0</v>
      </c>
      <c r="AL68" t="e">
        <f t="shared" si="11"/>
        <v>#N/A</v>
      </c>
      <c r="AM68">
        <f t="shared" si="12"/>
        <v>-1</v>
      </c>
      <c r="AN68">
        <f t="shared" si="13"/>
        <v>0</v>
      </c>
      <c r="AO68">
        <f>_xlfn.PERCENTILE.INC(INDEX($W$4:$W$263,MATCH(SPC!$B$13,IF(Setup!$B$11="Weekly",'SPC Backing (Hide)'!$B$4:$B$263,'SPC Backing (Hide)'!$E$4:$E$263),0),1):INDEX($W$4:$W$263,MATCH(SPC!$B$14,IF(Setup!$B$11="Weekly",'SPC Backing (Hide)'!$B$4:$B$263,'SPC Backing (Hide)'!$E$4:$E$263),0),1),'SPC Backing (Hide)'!$AO$3)</f>
        <v>136.10000000000002</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8">
        <f t="shared" si="14"/>
        <v>33.44999999999996</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137.58333333333334</v>
      </c>
      <c r="Y69" cm="1">
        <f t="array" ref="Y69">ABS(INDEX($F$4:$U$263,ROW(A66),MATCH($X$2,$F$3:$U$3,0))-INDEX($F$4:$U$263,ROW(A65),MATCH($X$2,$F$3:$U$3,0)))</f>
        <v>0</v>
      </c>
      <c r="Z69">
        <f>AVERAGE(INDEX($Y$4:$Y$263,MATCH(SPC!$B$13,IF(Setup!$B$11="Weekly",'SPC Backing (Hide)'!$B$4:$B$263,'SPC Backing (Hide)'!$E$4:$E$263),0)):INDEX($Y$4:$Y$263,MATCH(SPC!$B$14,IF(Setup!$B$11="Weekly",'SPC Backing (Hide)'!$B$4:$B$263,'SPC Backing (Hide)'!$E$4:$E$263),0),1))</f>
        <v>18.416666666666668</v>
      </c>
      <c r="AA69">
        <f t="shared" ref="AA69:AA132" si="17">Z69/1.128</f>
        <v>16.326832151300238</v>
      </c>
      <c r="AB69">
        <f t="shared" ref="AB69:AB132" si="18">MAX(0,X69-(3*AA69))</f>
        <v>88.60283687943263</v>
      </c>
      <c r="AC69">
        <f t="shared" ref="AC69:AC132" si="19">MAX(0,X69-(2*AA69))</f>
        <v>104.92966903073287</v>
      </c>
      <c r="AD69">
        <f t="shared" ref="AD69:AD132" si="20">MAX(0,X69-AA69)</f>
        <v>121.25650118203311</v>
      </c>
      <c r="AE69">
        <f t="shared" ref="AE69:AE132" si="21">X69+AA69</f>
        <v>153.91016548463358</v>
      </c>
      <c r="AF69">
        <f t="shared" ref="AF69:AF132" si="22">X69+(2*AA69)</f>
        <v>170.23699763593382</v>
      </c>
      <c r="AG69">
        <f t="shared" ref="AG69:AG132" si="23">X69+(3*AA69)</f>
        <v>186.56382978723406</v>
      </c>
      <c r="AH69">
        <f t="shared" ref="AH69:AH132" si="24">IF(OR(W69&gt;AG69,W69&lt;AB69),W69,NA())</f>
        <v>0</v>
      </c>
      <c r="AI69">
        <f t="shared" si="15"/>
        <v>-2</v>
      </c>
      <c r="AJ69">
        <f t="shared" ref="AJ69:AJ132" si="25">IF(ABS(SUM(AI69:AI71))&gt;=5,W69,NA())</f>
        <v>0</v>
      </c>
      <c r="AK69">
        <f t="shared" ref="AK69:AK132" si="26">IF(W70&gt;W69,1,IF(W70&lt;W69,-1,0))</f>
        <v>0</v>
      </c>
      <c r="AL69" t="e">
        <f t="shared" ref="AL69:AL132" si="27">IF(ABS(SUM(AK69:AK74))=6,W69,NA())</f>
        <v>#N/A</v>
      </c>
      <c r="AM69">
        <f t="shared" ref="AM69:AM132" si="28">IF(W69&lt;X69,-1,IF(W69&gt;X69,1,0))</f>
        <v>-1</v>
      </c>
      <c r="AN69">
        <f t="shared" ref="AN69:AN132" si="29">IF(ABS(SUM(AM69:AM77))=9,W69,NA())</f>
        <v>0</v>
      </c>
      <c r="AO69">
        <f>_xlfn.PERCENTILE.INC(INDEX($W$4:$W$263,MATCH(SPC!$B$13,IF(Setup!$B$11="Weekly",'SPC Backing (Hide)'!$B$4:$B$263,'SPC Backing (Hide)'!$E$4:$E$263),0),1):INDEX($W$4:$W$263,MATCH(SPC!$B$14,IF(Setup!$B$11="Weekly",'SPC Backing (Hide)'!$B$4:$B$263,'SPC Backing (Hide)'!$E$4:$E$263),0),1),'SPC Backing (Hide)'!$AO$3)</f>
        <v>136.10000000000002</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69">
        <f t="shared" ref="AQ69:AQ132" si="30">AP69-AO69</f>
        <v>33.44999999999996</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137.58333333333334</v>
      </c>
      <c r="Y70" cm="1">
        <f t="array" ref="Y70">ABS(INDEX($F$4:$U$263,ROW(A67),MATCH($X$2,$F$3:$U$3,0))-INDEX($F$4:$U$263,ROW(A66),MATCH($X$2,$F$3:$U$3,0)))</f>
        <v>0</v>
      </c>
      <c r="Z70">
        <f>AVERAGE(INDEX($Y$4:$Y$263,MATCH(SPC!$B$13,IF(Setup!$B$11="Weekly",'SPC Backing (Hide)'!$B$4:$B$263,'SPC Backing (Hide)'!$E$4:$E$263),0)):INDEX($Y$4:$Y$263,MATCH(SPC!$B$14,IF(Setup!$B$11="Weekly",'SPC Backing (Hide)'!$B$4:$B$263,'SPC Backing (Hide)'!$E$4:$E$263),0),1))</f>
        <v>18.416666666666668</v>
      </c>
      <c r="AA70">
        <f t="shared" si="17"/>
        <v>16.326832151300238</v>
      </c>
      <c r="AB70">
        <f t="shared" si="18"/>
        <v>88.60283687943263</v>
      </c>
      <c r="AC70">
        <f t="shared" si="19"/>
        <v>104.92966903073287</v>
      </c>
      <c r="AD70">
        <f t="shared" si="20"/>
        <v>121.25650118203311</v>
      </c>
      <c r="AE70">
        <f t="shared" si="21"/>
        <v>153.91016548463358</v>
      </c>
      <c r="AF70">
        <f t="shared" si="22"/>
        <v>170.23699763593382</v>
      </c>
      <c r="AG70">
        <f t="shared" si="23"/>
        <v>186.56382978723406</v>
      </c>
      <c r="AH70">
        <f t="shared" si="24"/>
        <v>0</v>
      </c>
      <c r="AI70">
        <f t="shared" ref="AI70:AI133" si="31">IF(W70&gt;AF70,2,IF(W70&lt;AC70,-2,IF(W70&gt;X70,1,IF(W70&lt;X70,-1,0))))</f>
        <v>-2</v>
      </c>
      <c r="AJ70">
        <f t="shared" si="25"/>
        <v>0</v>
      </c>
      <c r="AK70">
        <f t="shared" si="26"/>
        <v>0</v>
      </c>
      <c r="AL70" t="e">
        <f t="shared" si="27"/>
        <v>#N/A</v>
      </c>
      <c r="AM70">
        <f t="shared" si="28"/>
        <v>-1</v>
      </c>
      <c r="AN70">
        <f t="shared" si="29"/>
        <v>0</v>
      </c>
      <c r="AO70">
        <f>_xlfn.PERCENTILE.INC(INDEX($W$4:$W$263,MATCH(SPC!$B$13,IF(Setup!$B$11="Weekly",'SPC Backing (Hide)'!$B$4:$B$263,'SPC Backing (Hide)'!$E$4:$E$263),0),1):INDEX($W$4:$W$263,MATCH(SPC!$B$14,IF(Setup!$B$11="Weekly",'SPC Backing (Hide)'!$B$4:$B$263,'SPC Backing (Hide)'!$E$4:$E$263),0),1),'SPC Backing (Hide)'!$AO$3)</f>
        <v>136.10000000000002</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0">
        <f t="shared" si="30"/>
        <v>33.44999999999996</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137.58333333333334</v>
      </c>
      <c r="Y71" cm="1">
        <f t="array" ref="Y71">ABS(INDEX($F$4:$U$263,ROW(A68),MATCH($X$2,$F$3:$U$3,0))-INDEX($F$4:$U$263,ROW(A67),MATCH($X$2,$F$3:$U$3,0)))</f>
        <v>0</v>
      </c>
      <c r="Z71">
        <f>AVERAGE(INDEX($Y$4:$Y$263,MATCH(SPC!$B$13,IF(Setup!$B$11="Weekly",'SPC Backing (Hide)'!$B$4:$B$263,'SPC Backing (Hide)'!$E$4:$E$263),0)):INDEX($Y$4:$Y$263,MATCH(SPC!$B$14,IF(Setup!$B$11="Weekly",'SPC Backing (Hide)'!$B$4:$B$263,'SPC Backing (Hide)'!$E$4:$E$263),0),1))</f>
        <v>18.416666666666668</v>
      </c>
      <c r="AA71">
        <f t="shared" si="17"/>
        <v>16.326832151300238</v>
      </c>
      <c r="AB71">
        <f t="shared" si="18"/>
        <v>88.60283687943263</v>
      </c>
      <c r="AC71">
        <f t="shared" si="19"/>
        <v>104.92966903073287</v>
      </c>
      <c r="AD71">
        <f t="shared" si="20"/>
        <v>121.25650118203311</v>
      </c>
      <c r="AE71">
        <f t="shared" si="21"/>
        <v>153.91016548463358</v>
      </c>
      <c r="AF71">
        <f t="shared" si="22"/>
        <v>170.23699763593382</v>
      </c>
      <c r="AG71">
        <f t="shared" si="23"/>
        <v>186.56382978723406</v>
      </c>
      <c r="AH71">
        <f t="shared" si="24"/>
        <v>0</v>
      </c>
      <c r="AI71">
        <f t="shared" si="31"/>
        <v>-2</v>
      </c>
      <c r="AJ71">
        <f t="shared" si="25"/>
        <v>0</v>
      </c>
      <c r="AK71">
        <f t="shared" si="26"/>
        <v>0</v>
      </c>
      <c r="AL71" t="e">
        <f t="shared" si="27"/>
        <v>#N/A</v>
      </c>
      <c r="AM71">
        <f t="shared" si="28"/>
        <v>-1</v>
      </c>
      <c r="AN71">
        <f t="shared" si="29"/>
        <v>0</v>
      </c>
      <c r="AO71">
        <f>_xlfn.PERCENTILE.INC(INDEX($W$4:$W$263,MATCH(SPC!$B$13,IF(Setup!$B$11="Weekly",'SPC Backing (Hide)'!$B$4:$B$263,'SPC Backing (Hide)'!$E$4:$E$263),0),1):INDEX($W$4:$W$263,MATCH(SPC!$B$14,IF(Setup!$B$11="Weekly",'SPC Backing (Hide)'!$B$4:$B$263,'SPC Backing (Hide)'!$E$4:$E$263),0),1),'SPC Backing (Hide)'!$AO$3)</f>
        <v>136.10000000000002</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1">
        <f t="shared" si="30"/>
        <v>33.44999999999996</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137.58333333333334</v>
      </c>
      <c r="Y72" cm="1">
        <f t="array" ref="Y72">ABS(INDEX($F$4:$U$263,ROW(A69),MATCH($X$2,$F$3:$U$3,0))-INDEX($F$4:$U$263,ROW(A68),MATCH($X$2,$F$3:$U$3,0)))</f>
        <v>0</v>
      </c>
      <c r="Z72">
        <f>AVERAGE(INDEX($Y$4:$Y$263,MATCH(SPC!$B$13,IF(Setup!$B$11="Weekly",'SPC Backing (Hide)'!$B$4:$B$263,'SPC Backing (Hide)'!$E$4:$E$263),0)):INDEX($Y$4:$Y$263,MATCH(SPC!$B$14,IF(Setup!$B$11="Weekly",'SPC Backing (Hide)'!$B$4:$B$263,'SPC Backing (Hide)'!$E$4:$E$263),0),1))</f>
        <v>18.416666666666668</v>
      </c>
      <c r="AA72">
        <f t="shared" si="17"/>
        <v>16.326832151300238</v>
      </c>
      <c r="AB72">
        <f t="shared" si="18"/>
        <v>88.60283687943263</v>
      </c>
      <c r="AC72">
        <f t="shared" si="19"/>
        <v>104.92966903073287</v>
      </c>
      <c r="AD72">
        <f t="shared" si="20"/>
        <v>121.25650118203311</v>
      </c>
      <c r="AE72">
        <f t="shared" si="21"/>
        <v>153.91016548463358</v>
      </c>
      <c r="AF72">
        <f t="shared" si="22"/>
        <v>170.23699763593382</v>
      </c>
      <c r="AG72">
        <f t="shared" si="23"/>
        <v>186.56382978723406</v>
      </c>
      <c r="AH72">
        <f t="shared" si="24"/>
        <v>0</v>
      </c>
      <c r="AI72">
        <f t="shared" si="31"/>
        <v>-2</v>
      </c>
      <c r="AJ72">
        <f t="shared" si="25"/>
        <v>0</v>
      </c>
      <c r="AK72">
        <f t="shared" si="26"/>
        <v>0</v>
      </c>
      <c r="AL72" t="e">
        <f t="shared" si="27"/>
        <v>#N/A</v>
      </c>
      <c r="AM72">
        <f t="shared" si="28"/>
        <v>-1</v>
      </c>
      <c r="AN72">
        <f t="shared" si="29"/>
        <v>0</v>
      </c>
      <c r="AO72">
        <f>_xlfn.PERCENTILE.INC(INDEX($W$4:$W$263,MATCH(SPC!$B$13,IF(Setup!$B$11="Weekly",'SPC Backing (Hide)'!$B$4:$B$263,'SPC Backing (Hide)'!$E$4:$E$263),0),1):INDEX($W$4:$W$263,MATCH(SPC!$B$14,IF(Setup!$B$11="Weekly",'SPC Backing (Hide)'!$B$4:$B$263,'SPC Backing (Hide)'!$E$4:$E$263),0),1),'SPC Backing (Hide)'!$AO$3)</f>
        <v>136.10000000000002</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2">
        <f t="shared" si="30"/>
        <v>33.44999999999996</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137.58333333333334</v>
      </c>
      <c r="Y73" cm="1">
        <f t="array" ref="Y73">ABS(INDEX($F$4:$U$263,ROW(A70),MATCH($X$2,$F$3:$U$3,0))-INDEX($F$4:$U$263,ROW(A69),MATCH($X$2,$F$3:$U$3,0)))</f>
        <v>0</v>
      </c>
      <c r="Z73">
        <f>AVERAGE(INDEX($Y$4:$Y$263,MATCH(SPC!$B$13,IF(Setup!$B$11="Weekly",'SPC Backing (Hide)'!$B$4:$B$263,'SPC Backing (Hide)'!$E$4:$E$263),0)):INDEX($Y$4:$Y$263,MATCH(SPC!$B$14,IF(Setup!$B$11="Weekly",'SPC Backing (Hide)'!$B$4:$B$263,'SPC Backing (Hide)'!$E$4:$E$263),0),1))</f>
        <v>18.416666666666668</v>
      </c>
      <c r="AA73">
        <f t="shared" si="17"/>
        <v>16.326832151300238</v>
      </c>
      <c r="AB73">
        <f t="shared" si="18"/>
        <v>88.60283687943263</v>
      </c>
      <c r="AC73">
        <f t="shared" si="19"/>
        <v>104.92966903073287</v>
      </c>
      <c r="AD73">
        <f t="shared" si="20"/>
        <v>121.25650118203311</v>
      </c>
      <c r="AE73">
        <f t="shared" si="21"/>
        <v>153.91016548463358</v>
      </c>
      <c r="AF73">
        <f t="shared" si="22"/>
        <v>170.23699763593382</v>
      </c>
      <c r="AG73">
        <f t="shared" si="23"/>
        <v>186.56382978723406</v>
      </c>
      <c r="AH73">
        <f t="shared" si="24"/>
        <v>0</v>
      </c>
      <c r="AI73">
        <f t="shared" si="31"/>
        <v>-2</v>
      </c>
      <c r="AJ73">
        <f t="shared" si="25"/>
        <v>0</v>
      </c>
      <c r="AK73">
        <f t="shared" si="26"/>
        <v>0</v>
      </c>
      <c r="AL73" t="e">
        <f t="shared" si="27"/>
        <v>#N/A</v>
      </c>
      <c r="AM73">
        <f t="shared" si="28"/>
        <v>-1</v>
      </c>
      <c r="AN73">
        <f t="shared" si="29"/>
        <v>0</v>
      </c>
      <c r="AO73">
        <f>_xlfn.PERCENTILE.INC(INDEX($W$4:$W$263,MATCH(SPC!$B$13,IF(Setup!$B$11="Weekly",'SPC Backing (Hide)'!$B$4:$B$263,'SPC Backing (Hide)'!$E$4:$E$263),0),1):INDEX($W$4:$W$263,MATCH(SPC!$B$14,IF(Setup!$B$11="Weekly",'SPC Backing (Hide)'!$B$4:$B$263,'SPC Backing (Hide)'!$E$4:$E$263),0),1),'SPC Backing (Hide)'!$AO$3)</f>
        <v>136.10000000000002</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3">
        <f t="shared" si="30"/>
        <v>33.44999999999996</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137.58333333333334</v>
      </c>
      <c r="Y74" cm="1">
        <f t="array" ref="Y74">ABS(INDEX($F$4:$U$263,ROW(A71),MATCH($X$2,$F$3:$U$3,0))-INDEX($F$4:$U$263,ROW(A70),MATCH($X$2,$F$3:$U$3,0)))</f>
        <v>0</v>
      </c>
      <c r="Z74">
        <f>AVERAGE(INDEX($Y$4:$Y$263,MATCH(SPC!$B$13,IF(Setup!$B$11="Weekly",'SPC Backing (Hide)'!$B$4:$B$263,'SPC Backing (Hide)'!$E$4:$E$263),0)):INDEX($Y$4:$Y$263,MATCH(SPC!$B$14,IF(Setup!$B$11="Weekly",'SPC Backing (Hide)'!$B$4:$B$263,'SPC Backing (Hide)'!$E$4:$E$263),0),1))</f>
        <v>18.416666666666668</v>
      </c>
      <c r="AA74">
        <f t="shared" si="17"/>
        <v>16.326832151300238</v>
      </c>
      <c r="AB74">
        <f t="shared" si="18"/>
        <v>88.60283687943263</v>
      </c>
      <c r="AC74">
        <f t="shared" si="19"/>
        <v>104.92966903073287</v>
      </c>
      <c r="AD74">
        <f t="shared" si="20"/>
        <v>121.25650118203311</v>
      </c>
      <c r="AE74">
        <f t="shared" si="21"/>
        <v>153.91016548463358</v>
      </c>
      <c r="AF74">
        <f t="shared" si="22"/>
        <v>170.23699763593382</v>
      </c>
      <c r="AG74">
        <f t="shared" si="23"/>
        <v>186.56382978723406</v>
      </c>
      <c r="AH74">
        <f t="shared" si="24"/>
        <v>0</v>
      </c>
      <c r="AI74">
        <f t="shared" si="31"/>
        <v>-2</v>
      </c>
      <c r="AJ74">
        <f t="shared" si="25"/>
        <v>0</v>
      </c>
      <c r="AK74">
        <f t="shared" si="26"/>
        <v>0</v>
      </c>
      <c r="AL74" t="e">
        <f t="shared" si="27"/>
        <v>#N/A</v>
      </c>
      <c r="AM74">
        <f t="shared" si="28"/>
        <v>-1</v>
      </c>
      <c r="AN74">
        <f t="shared" si="29"/>
        <v>0</v>
      </c>
      <c r="AO74">
        <f>_xlfn.PERCENTILE.INC(INDEX($W$4:$W$263,MATCH(SPC!$B$13,IF(Setup!$B$11="Weekly",'SPC Backing (Hide)'!$B$4:$B$263,'SPC Backing (Hide)'!$E$4:$E$263),0),1):INDEX($W$4:$W$263,MATCH(SPC!$B$14,IF(Setup!$B$11="Weekly",'SPC Backing (Hide)'!$B$4:$B$263,'SPC Backing (Hide)'!$E$4:$E$263),0),1),'SPC Backing (Hide)'!$AO$3)</f>
        <v>136.10000000000002</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4">
        <f t="shared" si="30"/>
        <v>33.44999999999996</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137.58333333333334</v>
      </c>
      <c r="Y75" cm="1">
        <f t="array" ref="Y75">ABS(INDEX($F$4:$U$263,ROW(A72),MATCH($X$2,$F$3:$U$3,0))-INDEX($F$4:$U$263,ROW(A71),MATCH($X$2,$F$3:$U$3,0)))</f>
        <v>0</v>
      </c>
      <c r="Z75">
        <f>AVERAGE(INDEX($Y$4:$Y$263,MATCH(SPC!$B$13,IF(Setup!$B$11="Weekly",'SPC Backing (Hide)'!$B$4:$B$263,'SPC Backing (Hide)'!$E$4:$E$263),0)):INDEX($Y$4:$Y$263,MATCH(SPC!$B$14,IF(Setup!$B$11="Weekly",'SPC Backing (Hide)'!$B$4:$B$263,'SPC Backing (Hide)'!$E$4:$E$263),0),1))</f>
        <v>18.416666666666668</v>
      </c>
      <c r="AA75">
        <f t="shared" si="17"/>
        <v>16.326832151300238</v>
      </c>
      <c r="AB75">
        <f t="shared" si="18"/>
        <v>88.60283687943263</v>
      </c>
      <c r="AC75">
        <f t="shared" si="19"/>
        <v>104.92966903073287</v>
      </c>
      <c r="AD75">
        <f t="shared" si="20"/>
        <v>121.25650118203311</v>
      </c>
      <c r="AE75">
        <f t="shared" si="21"/>
        <v>153.91016548463358</v>
      </c>
      <c r="AF75">
        <f t="shared" si="22"/>
        <v>170.23699763593382</v>
      </c>
      <c r="AG75">
        <f t="shared" si="23"/>
        <v>186.56382978723406</v>
      </c>
      <c r="AH75">
        <f t="shared" si="24"/>
        <v>0</v>
      </c>
      <c r="AI75">
        <f t="shared" si="31"/>
        <v>-2</v>
      </c>
      <c r="AJ75">
        <f t="shared" si="25"/>
        <v>0</v>
      </c>
      <c r="AK75">
        <f t="shared" si="26"/>
        <v>0</v>
      </c>
      <c r="AL75" t="e">
        <f t="shared" si="27"/>
        <v>#N/A</v>
      </c>
      <c r="AM75">
        <f t="shared" si="28"/>
        <v>-1</v>
      </c>
      <c r="AN75">
        <f t="shared" si="29"/>
        <v>0</v>
      </c>
      <c r="AO75">
        <f>_xlfn.PERCENTILE.INC(INDEX($W$4:$W$263,MATCH(SPC!$B$13,IF(Setup!$B$11="Weekly",'SPC Backing (Hide)'!$B$4:$B$263,'SPC Backing (Hide)'!$E$4:$E$263),0),1):INDEX($W$4:$W$263,MATCH(SPC!$B$14,IF(Setup!$B$11="Weekly",'SPC Backing (Hide)'!$B$4:$B$263,'SPC Backing (Hide)'!$E$4:$E$263),0),1),'SPC Backing (Hide)'!$AO$3)</f>
        <v>136.10000000000002</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5">
        <f t="shared" si="30"/>
        <v>33.44999999999996</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137.58333333333334</v>
      </c>
      <c r="Y76" cm="1">
        <f t="array" ref="Y76">ABS(INDEX($F$4:$U$263,ROW(A73),MATCH($X$2,$F$3:$U$3,0))-INDEX($F$4:$U$263,ROW(A72),MATCH($X$2,$F$3:$U$3,0)))</f>
        <v>0</v>
      </c>
      <c r="Z76">
        <f>AVERAGE(INDEX($Y$4:$Y$263,MATCH(SPC!$B$13,IF(Setup!$B$11="Weekly",'SPC Backing (Hide)'!$B$4:$B$263,'SPC Backing (Hide)'!$E$4:$E$263),0)):INDEX($Y$4:$Y$263,MATCH(SPC!$B$14,IF(Setup!$B$11="Weekly",'SPC Backing (Hide)'!$B$4:$B$263,'SPC Backing (Hide)'!$E$4:$E$263),0),1))</f>
        <v>18.416666666666668</v>
      </c>
      <c r="AA76">
        <f t="shared" si="17"/>
        <v>16.326832151300238</v>
      </c>
      <c r="AB76">
        <f t="shared" si="18"/>
        <v>88.60283687943263</v>
      </c>
      <c r="AC76">
        <f t="shared" si="19"/>
        <v>104.92966903073287</v>
      </c>
      <c r="AD76">
        <f t="shared" si="20"/>
        <v>121.25650118203311</v>
      </c>
      <c r="AE76">
        <f t="shared" si="21"/>
        <v>153.91016548463358</v>
      </c>
      <c r="AF76">
        <f t="shared" si="22"/>
        <v>170.23699763593382</v>
      </c>
      <c r="AG76">
        <f t="shared" si="23"/>
        <v>186.56382978723406</v>
      </c>
      <c r="AH76">
        <f t="shared" si="24"/>
        <v>0</v>
      </c>
      <c r="AI76">
        <f t="shared" si="31"/>
        <v>-2</v>
      </c>
      <c r="AJ76">
        <f t="shared" si="25"/>
        <v>0</v>
      </c>
      <c r="AK76">
        <f t="shared" si="26"/>
        <v>0</v>
      </c>
      <c r="AL76" t="e">
        <f t="shared" si="27"/>
        <v>#N/A</v>
      </c>
      <c r="AM76">
        <f t="shared" si="28"/>
        <v>-1</v>
      </c>
      <c r="AN76">
        <f t="shared" si="29"/>
        <v>0</v>
      </c>
      <c r="AO76">
        <f>_xlfn.PERCENTILE.INC(INDEX($W$4:$W$263,MATCH(SPC!$B$13,IF(Setup!$B$11="Weekly",'SPC Backing (Hide)'!$B$4:$B$263,'SPC Backing (Hide)'!$E$4:$E$263),0),1):INDEX($W$4:$W$263,MATCH(SPC!$B$14,IF(Setup!$B$11="Weekly",'SPC Backing (Hide)'!$B$4:$B$263,'SPC Backing (Hide)'!$E$4:$E$263),0),1),'SPC Backing (Hide)'!$AO$3)</f>
        <v>136.10000000000002</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6">
        <f t="shared" si="30"/>
        <v>33.44999999999996</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137.58333333333334</v>
      </c>
      <c r="Y77" cm="1">
        <f t="array" ref="Y77">ABS(INDEX($F$4:$U$263,ROW(A74),MATCH($X$2,$F$3:$U$3,0))-INDEX($F$4:$U$263,ROW(A73),MATCH($X$2,$F$3:$U$3,0)))</f>
        <v>0</v>
      </c>
      <c r="Z77">
        <f>AVERAGE(INDEX($Y$4:$Y$263,MATCH(SPC!$B$13,IF(Setup!$B$11="Weekly",'SPC Backing (Hide)'!$B$4:$B$263,'SPC Backing (Hide)'!$E$4:$E$263),0)):INDEX($Y$4:$Y$263,MATCH(SPC!$B$14,IF(Setup!$B$11="Weekly",'SPC Backing (Hide)'!$B$4:$B$263,'SPC Backing (Hide)'!$E$4:$E$263),0),1))</f>
        <v>18.416666666666668</v>
      </c>
      <c r="AA77">
        <f t="shared" si="17"/>
        <v>16.326832151300238</v>
      </c>
      <c r="AB77">
        <f t="shared" si="18"/>
        <v>88.60283687943263</v>
      </c>
      <c r="AC77">
        <f t="shared" si="19"/>
        <v>104.92966903073287</v>
      </c>
      <c r="AD77">
        <f t="shared" si="20"/>
        <v>121.25650118203311</v>
      </c>
      <c r="AE77">
        <f t="shared" si="21"/>
        <v>153.91016548463358</v>
      </c>
      <c r="AF77">
        <f t="shared" si="22"/>
        <v>170.23699763593382</v>
      </c>
      <c r="AG77">
        <f t="shared" si="23"/>
        <v>186.56382978723406</v>
      </c>
      <c r="AH77">
        <f t="shared" si="24"/>
        <v>0</v>
      </c>
      <c r="AI77">
        <f t="shared" si="31"/>
        <v>-2</v>
      </c>
      <c r="AJ77">
        <f t="shared" si="25"/>
        <v>0</v>
      </c>
      <c r="AK77">
        <f t="shared" si="26"/>
        <v>0</v>
      </c>
      <c r="AL77" t="e">
        <f t="shared" si="27"/>
        <v>#N/A</v>
      </c>
      <c r="AM77">
        <f t="shared" si="28"/>
        <v>-1</v>
      </c>
      <c r="AN77">
        <f t="shared" si="29"/>
        <v>0</v>
      </c>
      <c r="AO77">
        <f>_xlfn.PERCENTILE.INC(INDEX($W$4:$W$263,MATCH(SPC!$B$13,IF(Setup!$B$11="Weekly",'SPC Backing (Hide)'!$B$4:$B$263,'SPC Backing (Hide)'!$E$4:$E$263),0),1):INDEX($W$4:$W$263,MATCH(SPC!$B$14,IF(Setup!$B$11="Weekly",'SPC Backing (Hide)'!$B$4:$B$263,'SPC Backing (Hide)'!$E$4:$E$263),0),1),'SPC Backing (Hide)'!$AO$3)</f>
        <v>136.10000000000002</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7">
        <f t="shared" si="30"/>
        <v>33.44999999999996</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137.58333333333334</v>
      </c>
      <c r="Y78" cm="1">
        <f t="array" ref="Y78">ABS(INDEX($F$4:$U$263,ROW(A75),MATCH($X$2,$F$3:$U$3,0))-INDEX($F$4:$U$263,ROW(A74),MATCH($X$2,$F$3:$U$3,0)))</f>
        <v>0</v>
      </c>
      <c r="Z78">
        <f>AVERAGE(INDEX($Y$4:$Y$263,MATCH(SPC!$B$13,IF(Setup!$B$11="Weekly",'SPC Backing (Hide)'!$B$4:$B$263,'SPC Backing (Hide)'!$E$4:$E$263),0)):INDEX($Y$4:$Y$263,MATCH(SPC!$B$14,IF(Setup!$B$11="Weekly",'SPC Backing (Hide)'!$B$4:$B$263,'SPC Backing (Hide)'!$E$4:$E$263),0),1))</f>
        <v>18.416666666666668</v>
      </c>
      <c r="AA78">
        <f t="shared" si="17"/>
        <v>16.326832151300238</v>
      </c>
      <c r="AB78">
        <f t="shared" si="18"/>
        <v>88.60283687943263</v>
      </c>
      <c r="AC78">
        <f t="shared" si="19"/>
        <v>104.92966903073287</v>
      </c>
      <c r="AD78">
        <f t="shared" si="20"/>
        <v>121.25650118203311</v>
      </c>
      <c r="AE78">
        <f t="shared" si="21"/>
        <v>153.91016548463358</v>
      </c>
      <c r="AF78">
        <f t="shared" si="22"/>
        <v>170.23699763593382</v>
      </c>
      <c r="AG78">
        <f t="shared" si="23"/>
        <v>186.56382978723406</v>
      </c>
      <c r="AH78">
        <f t="shared" si="24"/>
        <v>0</v>
      </c>
      <c r="AI78">
        <f t="shared" si="31"/>
        <v>-2</v>
      </c>
      <c r="AJ78">
        <f t="shared" si="25"/>
        <v>0</v>
      </c>
      <c r="AK78">
        <f t="shared" si="26"/>
        <v>0</v>
      </c>
      <c r="AL78" t="e">
        <f t="shared" si="27"/>
        <v>#N/A</v>
      </c>
      <c r="AM78">
        <f t="shared" si="28"/>
        <v>-1</v>
      </c>
      <c r="AN78">
        <f t="shared" si="29"/>
        <v>0</v>
      </c>
      <c r="AO78">
        <f>_xlfn.PERCENTILE.INC(INDEX($W$4:$W$263,MATCH(SPC!$B$13,IF(Setup!$B$11="Weekly",'SPC Backing (Hide)'!$B$4:$B$263,'SPC Backing (Hide)'!$E$4:$E$263),0),1):INDEX($W$4:$W$263,MATCH(SPC!$B$14,IF(Setup!$B$11="Weekly",'SPC Backing (Hide)'!$B$4:$B$263,'SPC Backing (Hide)'!$E$4:$E$263),0),1),'SPC Backing (Hide)'!$AO$3)</f>
        <v>136.10000000000002</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8">
        <f t="shared" si="30"/>
        <v>33.44999999999996</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137.58333333333334</v>
      </c>
      <c r="Y79" cm="1">
        <f t="array" ref="Y79">ABS(INDEX($F$4:$U$263,ROW(A76),MATCH($X$2,$F$3:$U$3,0))-INDEX($F$4:$U$263,ROW(A75),MATCH($X$2,$F$3:$U$3,0)))</f>
        <v>0</v>
      </c>
      <c r="Z79">
        <f>AVERAGE(INDEX($Y$4:$Y$263,MATCH(SPC!$B$13,IF(Setup!$B$11="Weekly",'SPC Backing (Hide)'!$B$4:$B$263,'SPC Backing (Hide)'!$E$4:$E$263),0)):INDEX($Y$4:$Y$263,MATCH(SPC!$B$14,IF(Setup!$B$11="Weekly",'SPC Backing (Hide)'!$B$4:$B$263,'SPC Backing (Hide)'!$E$4:$E$263),0),1))</f>
        <v>18.416666666666668</v>
      </c>
      <c r="AA79">
        <f t="shared" si="17"/>
        <v>16.326832151300238</v>
      </c>
      <c r="AB79">
        <f t="shared" si="18"/>
        <v>88.60283687943263</v>
      </c>
      <c r="AC79">
        <f t="shared" si="19"/>
        <v>104.92966903073287</v>
      </c>
      <c r="AD79">
        <f t="shared" si="20"/>
        <v>121.25650118203311</v>
      </c>
      <c r="AE79">
        <f t="shared" si="21"/>
        <v>153.91016548463358</v>
      </c>
      <c r="AF79">
        <f t="shared" si="22"/>
        <v>170.23699763593382</v>
      </c>
      <c r="AG79">
        <f t="shared" si="23"/>
        <v>186.56382978723406</v>
      </c>
      <c r="AH79">
        <f t="shared" si="24"/>
        <v>0</v>
      </c>
      <c r="AI79">
        <f t="shared" si="31"/>
        <v>-2</v>
      </c>
      <c r="AJ79">
        <f t="shared" si="25"/>
        <v>0</v>
      </c>
      <c r="AK79">
        <f t="shared" si="26"/>
        <v>0</v>
      </c>
      <c r="AL79" t="e">
        <f t="shared" si="27"/>
        <v>#N/A</v>
      </c>
      <c r="AM79">
        <f t="shared" si="28"/>
        <v>-1</v>
      </c>
      <c r="AN79">
        <f t="shared" si="29"/>
        <v>0</v>
      </c>
      <c r="AO79">
        <f>_xlfn.PERCENTILE.INC(INDEX($W$4:$W$263,MATCH(SPC!$B$13,IF(Setup!$B$11="Weekly",'SPC Backing (Hide)'!$B$4:$B$263,'SPC Backing (Hide)'!$E$4:$E$263),0),1):INDEX($W$4:$W$263,MATCH(SPC!$B$14,IF(Setup!$B$11="Weekly",'SPC Backing (Hide)'!$B$4:$B$263,'SPC Backing (Hide)'!$E$4:$E$263),0),1),'SPC Backing (Hide)'!$AO$3)</f>
        <v>136.10000000000002</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79">
        <f t="shared" si="30"/>
        <v>33.44999999999996</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137.58333333333334</v>
      </c>
      <c r="Y80" cm="1">
        <f t="array" ref="Y80">ABS(INDEX($F$4:$U$263,ROW(A77),MATCH($X$2,$F$3:$U$3,0))-INDEX($F$4:$U$263,ROW(A76),MATCH($X$2,$F$3:$U$3,0)))</f>
        <v>0</v>
      </c>
      <c r="Z80">
        <f>AVERAGE(INDEX($Y$4:$Y$263,MATCH(SPC!$B$13,IF(Setup!$B$11="Weekly",'SPC Backing (Hide)'!$B$4:$B$263,'SPC Backing (Hide)'!$E$4:$E$263),0)):INDEX($Y$4:$Y$263,MATCH(SPC!$B$14,IF(Setup!$B$11="Weekly",'SPC Backing (Hide)'!$B$4:$B$263,'SPC Backing (Hide)'!$E$4:$E$263),0),1))</f>
        <v>18.416666666666668</v>
      </c>
      <c r="AA80">
        <f t="shared" si="17"/>
        <v>16.326832151300238</v>
      </c>
      <c r="AB80">
        <f t="shared" si="18"/>
        <v>88.60283687943263</v>
      </c>
      <c r="AC80">
        <f t="shared" si="19"/>
        <v>104.92966903073287</v>
      </c>
      <c r="AD80">
        <f t="shared" si="20"/>
        <v>121.25650118203311</v>
      </c>
      <c r="AE80">
        <f t="shared" si="21"/>
        <v>153.91016548463358</v>
      </c>
      <c r="AF80">
        <f t="shared" si="22"/>
        <v>170.23699763593382</v>
      </c>
      <c r="AG80">
        <f t="shared" si="23"/>
        <v>186.56382978723406</v>
      </c>
      <c r="AH80">
        <f t="shared" si="24"/>
        <v>0</v>
      </c>
      <c r="AI80">
        <f t="shared" si="31"/>
        <v>-2</v>
      </c>
      <c r="AJ80">
        <f t="shared" si="25"/>
        <v>0</v>
      </c>
      <c r="AK80">
        <f t="shared" si="26"/>
        <v>0</v>
      </c>
      <c r="AL80" t="e">
        <f t="shared" si="27"/>
        <v>#N/A</v>
      </c>
      <c r="AM80">
        <f t="shared" si="28"/>
        <v>-1</v>
      </c>
      <c r="AN80">
        <f t="shared" si="29"/>
        <v>0</v>
      </c>
      <c r="AO80">
        <f>_xlfn.PERCENTILE.INC(INDEX($W$4:$W$263,MATCH(SPC!$B$13,IF(Setup!$B$11="Weekly",'SPC Backing (Hide)'!$B$4:$B$263,'SPC Backing (Hide)'!$E$4:$E$263),0),1):INDEX($W$4:$W$263,MATCH(SPC!$B$14,IF(Setup!$B$11="Weekly",'SPC Backing (Hide)'!$B$4:$B$263,'SPC Backing (Hide)'!$E$4:$E$263),0),1),'SPC Backing (Hide)'!$AO$3)</f>
        <v>136.10000000000002</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0">
        <f t="shared" si="30"/>
        <v>33.44999999999996</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137.58333333333334</v>
      </c>
      <c r="Y81" cm="1">
        <f t="array" ref="Y81">ABS(INDEX($F$4:$U$263,ROW(A78),MATCH($X$2,$F$3:$U$3,0))-INDEX($F$4:$U$263,ROW(A77),MATCH($X$2,$F$3:$U$3,0)))</f>
        <v>0</v>
      </c>
      <c r="Z81">
        <f>AVERAGE(INDEX($Y$4:$Y$263,MATCH(SPC!$B$13,IF(Setup!$B$11="Weekly",'SPC Backing (Hide)'!$B$4:$B$263,'SPC Backing (Hide)'!$E$4:$E$263),0)):INDEX($Y$4:$Y$263,MATCH(SPC!$B$14,IF(Setup!$B$11="Weekly",'SPC Backing (Hide)'!$B$4:$B$263,'SPC Backing (Hide)'!$E$4:$E$263),0),1))</f>
        <v>18.416666666666668</v>
      </c>
      <c r="AA81">
        <f t="shared" si="17"/>
        <v>16.326832151300238</v>
      </c>
      <c r="AB81">
        <f t="shared" si="18"/>
        <v>88.60283687943263</v>
      </c>
      <c r="AC81">
        <f t="shared" si="19"/>
        <v>104.92966903073287</v>
      </c>
      <c r="AD81">
        <f t="shared" si="20"/>
        <v>121.25650118203311</v>
      </c>
      <c r="AE81">
        <f t="shared" si="21"/>
        <v>153.91016548463358</v>
      </c>
      <c r="AF81">
        <f t="shared" si="22"/>
        <v>170.23699763593382</v>
      </c>
      <c r="AG81">
        <f t="shared" si="23"/>
        <v>186.56382978723406</v>
      </c>
      <c r="AH81">
        <f t="shared" si="24"/>
        <v>0</v>
      </c>
      <c r="AI81">
        <f t="shared" si="31"/>
        <v>-2</v>
      </c>
      <c r="AJ81">
        <f t="shared" si="25"/>
        <v>0</v>
      </c>
      <c r="AK81">
        <f t="shared" si="26"/>
        <v>0</v>
      </c>
      <c r="AL81" t="e">
        <f t="shared" si="27"/>
        <v>#N/A</v>
      </c>
      <c r="AM81">
        <f t="shared" si="28"/>
        <v>-1</v>
      </c>
      <c r="AN81">
        <f t="shared" si="29"/>
        <v>0</v>
      </c>
      <c r="AO81">
        <f>_xlfn.PERCENTILE.INC(INDEX($W$4:$W$263,MATCH(SPC!$B$13,IF(Setup!$B$11="Weekly",'SPC Backing (Hide)'!$B$4:$B$263,'SPC Backing (Hide)'!$E$4:$E$263),0),1):INDEX($W$4:$W$263,MATCH(SPC!$B$14,IF(Setup!$B$11="Weekly",'SPC Backing (Hide)'!$B$4:$B$263,'SPC Backing (Hide)'!$E$4:$E$263),0),1),'SPC Backing (Hide)'!$AO$3)</f>
        <v>136.10000000000002</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1">
        <f t="shared" si="30"/>
        <v>33.44999999999996</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137.58333333333334</v>
      </c>
      <c r="Y82" cm="1">
        <f t="array" ref="Y82">ABS(INDEX($F$4:$U$263,ROW(A79),MATCH($X$2,$F$3:$U$3,0))-INDEX($F$4:$U$263,ROW(A78),MATCH($X$2,$F$3:$U$3,0)))</f>
        <v>0</v>
      </c>
      <c r="Z82">
        <f>AVERAGE(INDEX($Y$4:$Y$263,MATCH(SPC!$B$13,IF(Setup!$B$11="Weekly",'SPC Backing (Hide)'!$B$4:$B$263,'SPC Backing (Hide)'!$E$4:$E$263),0)):INDEX($Y$4:$Y$263,MATCH(SPC!$B$14,IF(Setup!$B$11="Weekly",'SPC Backing (Hide)'!$B$4:$B$263,'SPC Backing (Hide)'!$E$4:$E$263),0),1))</f>
        <v>18.416666666666668</v>
      </c>
      <c r="AA82">
        <f t="shared" si="17"/>
        <v>16.326832151300238</v>
      </c>
      <c r="AB82">
        <f t="shared" si="18"/>
        <v>88.60283687943263</v>
      </c>
      <c r="AC82">
        <f t="shared" si="19"/>
        <v>104.92966903073287</v>
      </c>
      <c r="AD82">
        <f t="shared" si="20"/>
        <v>121.25650118203311</v>
      </c>
      <c r="AE82">
        <f t="shared" si="21"/>
        <v>153.91016548463358</v>
      </c>
      <c r="AF82">
        <f t="shared" si="22"/>
        <v>170.23699763593382</v>
      </c>
      <c r="AG82">
        <f t="shared" si="23"/>
        <v>186.56382978723406</v>
      </c>
      <c r="AH82">
        <f t="shared" si="24"/>
        <v>0</v>
      </c>
      <c r="AI82">
        <f t="shared" si="31"/>
        <v>-2</v>
      </c>
      <c r="AJ82">
        <f t="shared" si="25"/>
        <v>0</v>
      </c>
      <c r="AK82">
        <f t="shared" si="26"/>
        <v>0</v>
      </c>
      <c r="AL82" t="e">
        <f t="shared" si="27"/>
        <v>#N/A</v>
      </c>
      <c r="AM82">
        <f t="shared" si="28"/>
        <v>-1</v>
      </c>
      <c r="AN82">
        <f t="shared" si="29"/>
        <v>0</v>
      </c>
      <c r="AO82">
        <f>_xlfn.PERCENTILE.INC(INDEX($W$4:$W$263,MATCH(SPC!$B$13,IF(Setup!$B$11="Weekly",'SPC Backing (Hide)'!$B$4:$B$263,'SPC Backing (Hide)'!$E$4:$E$263),0),1):INDEX($W$4:$W$263,MATCH(SPC!$B$14,IF(Setup!$B$11="Weekly",'SPC Backing (Hide)'!$B$4:$B$263,'SPC Backing (Hide)'!$E$4:$E$263),0),1),'SPC Backing (Hide)'!$AO$3)</f>
        <v>136.10000000000002</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2">
        <f t="shared" si="30"/>
        <v>33.44999999999996</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137.58333333333334</v>
      </c>
      <c r="Y83" cm="1">
        <f t="array" ref="Y83">ABS(INDEX($F$4:$U$263,ROW(A80),MATCH($X$2,$F$3:$U$3,0))-INDEX($F$4:$U$263,ROW(A79),MATCH($X$2,$F$3:$U$3,0)))</f>
        <v>0</v>
      </c>
      <c r="Z83">
        <f>AVERAGE(INDEX($Y$4:$Y$263,MATCH(SPC!$B$13,IF(Setup!$B$11="Weekly",'SPC Backing (Hide)'!$B$4:$B$263,'SPC Backing (Hide)'!$E$4:$E$263),0)):INDEX($Y$4:$Y$263,MATCH(SPC!$B$14,IF(Setup!$B$11="Weekly",'SPC Backing (Hide)'!$B$4:$B$263,'SPC Backing (Hide)'!$E$4:$E$263),0),1))</f>
        <v>18.416666666666668</v>
      </c>
      <c r="AA83">
        <f t="shared" si="17"/>
        <v>16.326832151300238</v>
      </c>
      <c r="AB83">
        <f t="shared" si="18"/>
        <v>88.60283687943263</v>
      </c>
      <c r="AC83">
        <f t="shared" si="19"/>
        <v>104.92966903073287</v>
      </c>
      <c r="AD83">
        <f t="shared" si="20"/>
        <v>121.25650118203311</v>
      </c>
      <c r="AE83">
        <f t="shared" si="21"/>
        <v>153.91016548463358</v>
      </c>
      <c r="AF83">
        <f t="shared" si="22"/>
        <v>170.23699763593382</v>
      </c>
      <c r="AG83">
        <f t="shared" si="23"/>
        <v>186.56382978723406</v>
      </c>
      <c r="AH83">
        <f t="shared" si="24"/>
        <v>0</v>
      </c>
      <c r="AI83">
        <f t="shared" si="31"/>
        <v>-2</v>
      </c>
      <c r="AJ83">
        <f t="shared" si="25"/>
        <v>0</v>
      </c>
      <c r="AK83">
        <f t="shared" si="26"/>
        <v>0</v>
      </c>
      <c r="AL83" t="e">
        <f t="shared" si="27"/>
        <v>#N/A</v>
      </c>
      <c r="AM83">
        <f t="shared" si="28"/>
        <v>-1</v>
      </c>
      <c r="AN83">
        <f t="shared" si="29"/>
        <v>0</v>
      </c>
      <c r="AO83">
        <f>_xlfn.PERCENTILE.INC(INDEX($W$4:$W$263,MATCH(SPC!$B$13,IF(Setup!$B$11="Weekly",'SPC Backing (Hide)'!$B$4:$B$263,'SPC Backing (Hide)'!$E$4:$E$263),0),1):INDEX($W$4:$W$263,MATCH(SPC!$B$14,IF(Setup!$B$11="Weekly",'SPC Backing (Hide)'!$B$4:$B$263,'SPC Backing (Hide)'!$E$4:$E$263),0),1),'SPC Backing (Hide)'!$AO$3)</f>
        <v>136.10000000000002</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3">
        <f t="shared" si="30"/>
        <v>33.44999999999996</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137.58333333333334</v>
      </c>
      <c r="Y84" cm="1">
        <f t="array" ref="Y84">ABS(INDEX($F$4:$U$263,ROW(A81),MATCH($X$2,$F$3:$U$3,0))-INDEX($F$4:$U$263,ROW(A80),MATCH($X$2,$F$3:$U$3,0)))</f>
        <v>0</v>
      </c>
      <c r="Z84">
        <f>AVERAGE(INDEX($Y$4:$Y$263,MATCH(SPC!$B$13,IF(Setup!$B$11="Weekly",'SPC Backing (Hide)'!$B$4:$B$263,'SPC Backing (Hide)'!$E$4:$E$263),0)):INDEX($Y$4:$Y$263,MATCH(SPC!$B$14,IF(Setup!$B$11="Weekly",'SPC Backing (Hide)'!$B$4:$B$263,'SPC Backing (Hide)'!$E$4:$E$263),0),1))</f>
        <v>18.416666666666668</v>
      </c>
      <c r="AA84">
        <f t="shared" si="17"/>
        <v>16.326832151300238</v>
      </c>
      <c r="AB84">
        <f t="shared" si="18"/>
        <v>88.60283687943263</v>
      </c>
      <c r="AC84">
        <f t="shared" si="19"/>
        <v>104.92966903073287</v>
      </c>
      <c r="AD84">
        <f t="shared" si="20"/>
        <v>121.25650118203311</v>
      </c>
      <c r="AE84">
        <f t="shared" si="21"/>
        <v>153.91016548463358</v>
      </c>
      <c r="AF84">
        <f t="shared" si="22"/>
        <v>170.23699763593382</v>
      </c>
      <c r="AG84">
        <f t="shared" si="23"/>
        <v>186.56382978723406</v>
      </c>
      <c r="AH84">
        <f t="shared" si="24"/>
        <v>0</v>
      </c>
      <c r="AI84">
        <f t="shared" si="31"/>
        <v>-2</v>
      </c>
      <c r="AJ84">
        <f t="shared" si="25"/>
        <v>0</v>
      </c>
      <c r="AK84">
        <f t="shared" si="26"/>
        <v>0</v>
      </c>
      <c r="AL84" t="e">
        <f t="shared" si="27"/>
        <v>#N/A</v>
      </c>
      <c r="AM84">
        <f t="shared" si="28"/>
        <v>-1</v>
      </c>
      <c r="AN84">
        <f t="shared" si="29"/>
        <v>0</v>
      </c>
      <c r="AO84">
        <f>_xlfn.PERCENTILE.INC(INDEX($W$4:$W$263,MATCH(SPC!$B$13,IF(Setup!$B$11="Weekly",'SPC Backing (Hide)'!$B$4:$B$263,'SPC Backing (Hide)'!$E$4:$E$263),0),1):INDEX($W$4:$W$263,MATCH(SPC!$B$14,IF(Setup!$B$11="Weekly",'SPC Backing (Hide)'!$B$4:$B$263,'SPC Backing (Hide)'!$E$4:$E$263),0),1),'SPC Backing (Hide)'!$AO$3)</f>
        <v>136.10000000000002</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4">
        <f t="shared" si="30"/>
        <v>33.44999999999996</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137.58333333333334</v>
      </c>
      <c r="Y85" cm="1">
        <f t="array" ref="Y85">ABS(INDEX($F$4:$U$263,ROW(A82),MATCH($X$2,$F$3:$U$3,0))-INDEX($F$4:$U$263,ROW(A81),MATCH($X$2,$F$3:$U$3,0)))</f>
        <v>0</v>
      </c>
      <c r="Z85">
        <f>AVERAGE(INDEX($Y$4:$Y$263,MATCH(SPC!$B$13,IF(Setup!$B$11="Weekly",'SPC Backing (Hide)'!$B$4:$B$263,'SPC Backing (Hide)'!$E$4:$E$263),0)):INDEX($Y$4:$Y$263,MATCH(SPC!$B$14,IF(Setup!$B$11="Weekly",'SPC Backing (Hide)'!$B$4:$B$263,'SPC Backing (Hide)'!$E$4:$E$263),0),1))</f>
        <v>18.416666666666668</v>
      </c>
      <c r="AA85">
        <f t="shared" si="17"/>
        <v>16.326832151300238</v>
      </c>
      <c r="AB85">
        <f t="shared" si="18"/>
        <v>88.60283687943263</v>
      </c>
      <c r="AC85">
        <f t="shared" si="19"/>
        <v>104.92966903073287</v>
      </c>
      <c r="AD85">
        <f t="shared" si="20"/>
        <v>121.25650118203311</v>
      </c>
      <c r="AE85">
        <f t="shared" si="21"/>
        <v>153.91016548463358</v>
      </c>
      <c r="AF85">
        <f t="shared" si="22"/>
        <v>170.23699763593382</v>
      </c>
      <c r="AG85">
        <f t="shared" si="23"/>
        <v>186.56382978723406</v>
      </c>
      <c r="AH85">
        <f t="shared" si="24"/>
        <v>0</v>
      </c>
      <c r="AI85">
        <f t="shared" si="31"/>
        <v>-2</v>
      </c>
      <c r="AJ85">
        <f t="shared" si="25"/>
        <v>0</v>
      </c>
      <c r="AK85">
        <f t="shared" si="26"/>
        <v>0</v>
      </c>
      <c r="AL85" t="e">
        <f t="shared" si="27"/>
        <v>#N/A</v>
      </c>
      <c r="AM85">
        <f t="shared" si="28"/>
        <v>-1</v>
      </c>
      <c r="AN85">
        <f t="shared" si="29"/>
        <v>0</v>
      </c>
      <c r="AO85">
        <f>_xlfn.PERCENTILE.INC(INDEX($W$4:$W$263,MATCH(SPC!$B$13,IF(Setup!$B$11="Weekly",'SPC Backing (Hide)'!$B$4:$B$263,'SPC Backing (Hide)'!$E$4:$E$263),0),1):INDEX($W$4:$W$263,MATCH(SPC!$B$14,IF(Setup!$B$11="Weekly",'SPC Backing (Hide)'!$B$4:$B$263,'SPC Backing (Hide)'!$E$4:$E$263),0),1),'SPC Backing (Hide)'!$AO$3)</f>
        <v>136.10000000000002</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5">
        <f t="shared" si="30"/>
        <v>33.44999999999996</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137.58333333333334</v>
      </c>
      <c r="Y86" cm="1">
        <f t="array" ref="Y86">ABS(INDEX($F$4:$U$263,ROW(A83),MATCH($X$2,$F$3:$U$3,0))-INDEX($F$4:$U$263,ROW(A82),MATCH($X$2,$F$3:$U$3,0)))</f>
        <v>0</v>
      </c>
      <c r="Z86">
        <f>AVERAGE(INDEX($Y$4:$Y$263,MATCH(SPC!$B$13,IF(Setup!$B$11="Weekly",'SPC Backing (Hide)'!$B$4:$B$263,'SPC Backing (Hide)'!$E$4:$E$263),0)):INDEX($Y$4:$Y$263,MATCH(SPC!$B$14,IF(Setup!$B$11="Weekly",'SPC Backing (Hide)'!$B$4:$B$263,'SPC Backing (Hide)'!$E$4:$E$263),0),1))</f>
        <v>18.416666666666668</v>
      </c>
      <c r="AA86">
        <f t="shared" si="17"/>
        <v>16.326832151300238</v>
      </c>
      <c r="AB86">
        <f t="shared" si="18"/>
        <v>88.60283687943263</v>
      </c>
      <c r="AC86">
        <f t="shared" si="19"/>
        <v>104.92966903073287</v>
      </c>
      <c r="AD86">
        <f t="shared" si="20"/>
        <v>121.25650118203311</v>
      </c>
      <c r="AE86">
        <f t="shared" si="21"/>
        <v>153.91016548463358</v>
      </c>
      <c r="AF86">
        <f t="shared" si="22"/>
        <v>170.23699763593382</v>
      </c>
      <c r="AG86">
        <f t="shared" si="23"/>
        <v>186.56382978723406</v>
      </c>
      <c r="AH86">
        <f t="shared" si="24"/>
        <v>0</v>
      </c>
      <c r="AI86">
        <f t="shared" si="31"/>
        <v>-2</v>
      </c>
      <c r="AJ86">
        <f t="shared" si="25"/>
        <v>0</v>
      </c>
      <c r="AK86">
        <f t="shared" si="26"/>
        <v>0</v>
      </c>
      <c r="AL86" t="e">
        <f t="shared" si="27"/>
        <v>#N/A</v>
      </c>
      <c r="AM86">
        <f t="shared" si="28"/>
        <v>-1</v>
      </c>
      <c r="AN86">
        <f t="shared" si="29"/>
        <v>0</v>
      </c>
      <c r="AO86">
        <f>_xlfn.PERCENTILE.INC(INDEX($W$4:$W$263,MATCH(SPC!$B$13,IF(Setup!$B$11="Weekly",'SPC Backing (Hide)'!$B$4:$B$263,'SPC Backing (Hide)'!$E$4:$E$263),0),1):INDEX($W$4:$W$263,MATCH(SPC!$B$14,IF(Setup!$B$11="Weekly",'SPC Backing (Hide)'!$B$4:$B$263,'SPC Backing (Hide)'!$E$4:$E$263),0),1),'SPC Backing (Hide)'!$AO$3)</f>
        <v>136.10000000000002</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6">
        <f t="shared" si="30"/>
        <v>33.44999999999996</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137.58333333333334</v>
      </c>
      <c r="Y87" cm="1">
        <f t="array" ref="Y87">ABS(INDEX($F$4:$U$263,ROW(A84),MATCH($X$2,$F$3:$U$3,0))-INDEX($F$4:$U$263,ROW(A83),MATCH($X$2,$F$3:$U$3,0)))</f>
        <v>0</v>
      </c>
      <c r="Z87">
        <f>AVERAGE(INDEX($Y$4:$Y$263,MATCH(SPC!$B$13,IF(Setup!$B$11="Weekly",'SPC Backing (Hide)'!$B$4:$B$263,'SPC Backing (Hide)'!$E$4:$E$263),0)):INDEX($Y$4:$Y$263,MATCH(SPC!$B$14,IF(Setup!$B$11="Weekly",'SPC Backing (Hide)'!$B$4:$B$263,'SPC Backing (Hide)'!$E$4:$E$263),0),1))</f>
        <v>18.416666666666668</v>
      </c>
      <c r="AA87">
        <f t="shared" si="17"/>
        <v>16.326832151300238</v>
      </c>
      <c r="AB87">
        <f t="shared" si="18"/>
        <v>88.60283687943263</v>
      </c>
      <c r="AC87">
        <f t="shared" si="19"/>
        <v>104.92966903073287</v>
      </c>
      <c r="AD87">
        <f t="shared" si="20"/>
        <v>121.25650118203311</v>
      </c>
      <c r="AE87">
        <f t="shared" si="21"/>
        <v>153.91016548463358</v>
      </c>
      <c r="AF87">
        <f t="shared" si="22"/>
        <v>170.23699763593382</v>
      </c>
      <c r="AG87">
        <f t="shared" si="23"/>
        <v>186.56382978723406</v>
      </c>
      <c r="AH87">
        <f t="shared" si="24"/>
        <v>0</v>
      </c>
      <c r="AI87">
        <f t="shared" si="31"/>
        <v>-2</v>
      </c>
      <c r="AJ87">
        <f t="shared" si="25"/>
        <v>0</v>
      </c>
      <c r="AK87">
        <f t="shared" si="26"/>
        <v>0</v>
      </c>
      <c r="AL87" t="e">
        <f t="shared" si="27"/>
        <v>#N/A</v>
      </c>
      <c r="AM87">
        <f t="shared" si="28"/>
        <v>-1</v>
      </c>
      <c r="AN87">
        <f t="shared" si="29"/>
        <v>0</v>
      </c>
      <c r="AO87">
        <f>_xlfn.PERCENTILE.INC(INDEX($W$4:$W$263,MATCH(SPC!$B$13,IF(Setup!$B$11="Weekly",'SPC Backing (Hide)'!$B$4:$B$263,'SPC Backing (Hide)'!$E$4:$E$263),0),1):INDEX($W$4:$W$263,MATCH(SPC!$B$14,IF(Setup!$B$11="Weekly",'SPC Backing (Hide)'!$B$4:$B$263,'SPC Backing (Hide)'!$E$4:$E$263),0),1),'SPC Backing (Hide)'!$AO$3)</f>
        <v>136.10000000000002</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7">
        <f t="shared" si="30"/>
        <v>33.44999999999996</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137.58333333333334</v>
      </c>
      <c r="Y88" cm="1">
        <f t="array" ref="Y88">ABS(INDEX($F$4:$U$263,ROW(A85),MATCH($X$2,$F$3:$U$3,0))-INDEX($F$4:$U$263,ROW(A84),MATCH($X$2,$F$3:$U$3,0)))</f>
        <v>0</v>
      </c>
      <c r="Z88">
        <f>AVERAGE(INDEX($Y$4:$Y$263,MATCH(SPC!$B$13,IF(Setup!$B$11="Weekly",'SPC Backing (Hide)'!$B$4:$B$263,'SPC Backing (Hide)'!$E$4:$E$263),0)):INDEX($Y$4:$Y$263,MATCH(SPC!$B$14,IF(Setup!$B$11="Weekly",'SPC Backing (Hide)'!$B$4:$B$263,'SPC Backing (Hide)'!$E$4:$E$263),0),1))</f>
        <v>18.416666666666668</v>
      </c>
      <c r="AA88">
        <f t="shared" si="17"/>
        <v>16.326832151300238</v>
      </c>
      <c r="AB88">
        <f t="shared" si="18"/>
        <v>88.60283687943263</v>
      </c>
      <c r="AC88">
        <f t="shared" si="19"/>
        <v>104.92966903073287</v>
      </c>
      <c r="AD88">
        <f t="shared" si="20"/>
        <v>121.25650118203311</v>
      </c>
      <c r="AE88">
        <f t="shared" si="21"/>
        <v>153.91016548463358</v>
      </c>
      <c r="AF88">
        <f t="shared" si="22"/>
        <v>170.23699763593382</v>
      </c>
      <c r="AG88">
        <f t="shared" si="23"/>
        <v>186.56382978723406</v>
      </c>
      <c r="AH88">
        <f t="shared" si="24"/>
        <v>0</v>
      </c>
      <c r="AI88">
        <f t="shared" si="31"/>
        <v>-2</v>
      </c>
      <c r="AJ88">
        <f t="shared" si="25"/>
        <v>0</v>
      </c>
      <c r="AK88">
        <f t="shared" si="26"/>
        <v>0</v>
      </c>
      <c r="AL88" t="e">
        <f t="shared" si="27"/>
        <v>#N/A</v>
      </c>
      <c r="AM88">
        <f t="shared" si="28"/>
        <v>-1</v>
      </c>
      <c r="AN88">
        <f t="shared" si="29"/>
        <v>0</v>
      </c>
      <c r="AO88">
        <f>_xlfn.PERCENTILE.INC(INDEX($W$4:$W$263,MATCH(SPC!$B$13,IF(Setup!$B$11="Weekly",'SPC Backing (Hide)'!$B$4:$B$263,'SPC Backing (Hide)'!$E$4:$E$263),0),1):INDEX($W$4:$W$263,MATCH(SPC!$B$14,IF(Setup!$B$11="Weekly",'SPC Backing (Hide)'!$B$4:$B$263,'SPC Backing (Hide)'!$E$4:$E$263),0),1),'SPC Backing (Hide)'!$AO$3)</f>
        <v>136.10000000000002</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8">
        <f t="shared" si="30"/>
        <v>33.44999999999996</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137.58333333333334</v>
      </c>
      <c r="Y89" cm="1">
        <f t="array" ref="Y89">ABS(INDEX($F$4:$U$263,ROW(A86),MATCH($X$2,$F$3:$U$3,0))-INDEX($F$4:$U$263,ROW(A85),MATCH($X$2,$F$3:$U$3,0)))</f>
        <v>0</v>
      </c>
      <c r="Z89">
        <f>AVERAGE(INDEX($Y$4:$Y$263,MATCH(SPC!$B$13,IF(Setup!$B$11="Weekly",'SPC Backing (Hide)'!$B$4:$B$263,'SPC Backing (Hide)'!$E$4:$E$263),0)):INDEX($Y$4:$Y$263,MATCH(SPC!$B$14,IF(Setup!$B$11="Weekly",'SPC Backing (Hide)'!$B$4:$B$263,'SPC Backing (Hide)'!$E$4:$E$263),0),1))</f>
        <v>18.416666666666668</v>
      </c>
      <c r="AA89">
        <f t="shared" si="17"/>
        <v>16.326832151300238</v>
      </c>
      <c r="AB89">
        <f t="shared" si="18"/>
        <v>88.60283687943263</v>
      </c>
      <c r="AC89">
        <f t="shared" si="19"/>
        <v>104.92966903073287</v>
      </c>
      <c r="AD89">
        <f t="shared" si="20"/>
        <v>121.25650118203311</v>
      </c>
      <c r="AE89">
        <f t="shared" si="21"/>
        <v>153.91016548463358</v>
      </c>
      <c r="AF89">
        <f t="shared" si="22"/>
        <v>170.23699763593382</v>
      </c>
      <c r="AG89">
        <f t="shared" si="23"/>
        <v>186.56382978723406</v>
      </c>
      <c r="AH89">
        <f t="shared" si="24"/>
        <v>0</v>
      </c>
      <c r="AI89">
        <f t="shared" si="31"/>
        <v>-2</v>
      </c>
      <c r="AJ89">
        <f t="shared" si="25"/>
        <v>0</v>
      </c>
      <c r="AK89">
        <f t="shared" si="26"/>
        <v>0</v>
      </c>
      <c r="AL89" t="e">
        <f t="shared" si="27"/>
        <v>#N/A</v>
      </c>
      <c r="AM89">
        <f t="shared" si="28"/>
        <v>-1</v>
      </c>
      <c r="AN89">
        <f t="shared" si="29"/>
        <v>0</v>
      </c>
      <c r="AO89">
        <f>_xlfn.PERCENTILE.INC(INDEX($W$4:$W$263,MATCH(SPC!$B$13,IF(Setup!$B$11="Weekly",'SPC Backing (Hide)'!$B$4:$B$263,'SPC Backing (Hide)'!$E$4:$E$263),0),1):INDEX($W$4:$W$263,MATCH(SPC!$B$14,IF(Setup!$B$11="Weekly",'SPC Backing (Hide)'!$B$4:$B$263,'SPC Backing (Hide)'!$E$4:$E$263),0),1),'SPC Backing (Hide)'!$AO$3)</f>
        <v>136.10000000000002</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89">
        <f t="shared" si="30"/>
        <v>33.44999999999996</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137.58333333333334</v>
      </c>
      <c r="Y90" cm="1">
        <f t="array" ref="Y90">ABS(INDEX($F$4:$U$263,ROW(A87),MATCH($X$2,$F$3:$U$3,0))-INDEX($F$4:$U$263,ROW(A86),MATCH($X$2,$F$3:$U$3,0)))</f>
        <v>0</v>
      </c>
      <c r="Z90">
        <f>AVERAGE(INDEX($Y$4:$Y$263,MATCH(SPC!$B$13,IF(Setup!$B$11="Weekly",'SPC Backing (Hide)'!$B$4:$B$263,'SPC Backing (Hide)'!$E$4:$E$263),0)):INDEX($Y$4:$Y$263,MATCH(SPC!$B$14,IF(Setup!$B$11="Weekly",'SPC Backing (Hide)'!$B$4:$B$263,'SPC Backing (Hide)'!$E$4:$E$263),0),1))</f>
        <v>18.416666666666668</v>
      </c>
      <c r="AA90">
        <f t="shared" si="17"/>
        <v>16.326832151300238</v>
      </c>
      <c r="AB90">
        <f t="shared" si="18"/>
        <v>88.60283687943263</v>
      </c>
      <c r="AC90">
        <f t="shared" si="19"/>
        <v>104.92966903073287</v>
      </c>
      <c r="AD90">
        <f t="shared" si="20"/>
        <v>121.25650118203311</v>
      </c>
      <c r="AE90">
        <f t="shared" si="21"/>
        <v>153.91016548463358</v>
      </c>
      <c r="AF90">
        <f t="shared" si="22"/>
        <v>170.23699763593382</v>
      </c>
      <c r="AG90">
        <f t="shared" si="23"/>
        <v>186.56382978723406</v>
      </c>
      <c r="AH90">
        <f t="shared" si="24"/>
        <v>0</v>
      </c>
      <c r="AI90">
        <f t="shared" si="31"/>
        <v>-2</v>
      </c>
      <c r="AJ90">
        <f t="shared" si="25"/>
        <v>0</v>
      </c>
      <c r="AK90">
        <f t="shared" si="26"/>
        <v>0</v>
      </c>
      <c r="AL90" t="e">
        <f t="shared" si="27"/>
        <v>#N/A</v>
      </c>
      <c r="AM90">
        <f t="shared" si="28"/>
        <v>-1</v>
      </c>
      <c r="AN90">
        <f t="shared" si="29"/>
        <v>0</v>
      </c>
      <c r="AO90">
        <f>_xlfn.PERCENTILE.INC(INDEX($W$4:$W$263,MATCH(SPC!$B$13,IF(Setup!$B$11="Weekly",'SPC Backing (Hide)'!$B$4:$B$263,'SPC Backing (Hide)'!$E$4:$E$263),0),1):INDEX($W$4:$W$263,MATCH(SPC!$B$14,IF(Setup!$B$11="Weekly",'SPC Backing (Hide)'!$B$4:$B$263,'SPC Backing (Hide)'!$E$4:$E$263),0),1),'SPC Backing (Hide)'!$AO$3)</f>
        <v>136.10000000000002</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0">
        <f t="shared" si="30"/>
        <v>33.44999999999996</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137.58333333333334</v>
      </c>
      <c r="Y91" cm="1">
        <f t="array" ref="Y91">ABS(INDEX($F$4:$U$263,ROW(A88),MATCH($X$2,$F$3:$U$3,0))-INDEX($F$4:$U$263,ROW(A87),MATCH($X$2,$F$3:$U$3,0)))</f>
        <v>0</v>
      </c>
      <c r="Z91">
        <f>AVERAGE(INDEX($Y$4:$Y$263,MATCH(SPC!$B$13,IF(Setup!$B$11="Weekly",'SPC Backing (Hide)'!$B$4:$B$263,'SPC Backing (Hide)'!$E$4:$E$263),0)):INDEX($Y$4:$Y$263,MATCH(SPC!$B$14,IF(Setup!$B$11="Weekly",'SPC Backing (Hide)'!$B$4:$B$263,'SPC Backing (Hide)'!$E$4:$E$263),0),1))</f>
        <v>18.416666666666668</v>
      </c>
      <c r="AA91">
        <f t="shared" si="17"/>
        <v>16.326832151300238</v>
      </c>
      <c r="AB91">
        <f t="shared" si="18"/>
        <v>88.60283687943263</v>
      </c>
      <c r="AC91">
        <f t="shared" si="19"/>
        <v>104.92966903073287</v>
      </c>
      <c r="AD91">
        <f t="shared" si="20"/>
        <v>121.25650118203311</v>
      </c>
      <c r="AE91">
        <f t="shared" si="21"/>
        <v>153.91016548463358</v>
      </c>
      <c r="AF91">
        <f t="shared" si="22"/>
        <v>170.23699763593382</v>
      </c>
      <c r="AG91">
        <f t="shared" si="23"/>
        <v>186.56382978723406</v>
      </c>
      <c r="AH91">
        <f t="shared" si="24"/>
        <v>0</v>
      </c>
      <c r="AI91">
        <f t="shared" si="31"/>
        <v>-2</v>
      </c>
      <c r="AJ91">
        <f t="shared" si="25"/>
        <v>0</v>
      </c>
      <c r="AK91">
        <f t="shared" si="26"/>
        <v>0</v>
      </c>
      <c r="AL91" t="e">
        <f t="shared" si="27"/>
        <v>#N/A</v>
      </c>
      <c r="AM91">
        <f t="shared" si="28"/>
        <v>-1</v>
      </c>
      <c r="AN91">
        <f t="shared" si="29"/>
        <v>0</v>
      </c>
      <c r="AO91">
        <f>_xlfn.PERCENTILE.INC(INDEX($W$4:$W$263,MATCH(SPC!$B$13,IF(Setup!$B$11="Weekly",'SPC Backing (Hide)'!$B$4:$B$263,'SPC Backing (Hide)'!$E$4:$E$263),0),1):INDEX($W$4:$W$263,MATCH(SPC!$B$14,IF(Setup!$B$11="Weekly",'SPC Backing (Hide)'!$B$4:$B$263,'SPC Backing (Hide)'!$E$4:$E$263),0),1),'SPC Backing (Hide)'!$AO$3)</f>
        <v>136.10000000000002</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1">
        <f t="shared" si="30"/>
        <v>33.44999999999996</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137.58333333333334</v>
      </c>
      <c r="Y92" cm="1">
        <f t="array" ref="Y92">ABS(INDEX($F$4:$U$263,ROW(A89),MATCH($X$2,$F$3:$U$3,0))-INDEX($F$4:$U$263,ROW(A88),MATCH($X$2,$F$3:$U$3,0)))</f>
        <v>0</v>
      </c>
      <c r="Z92">
        <f>AVERAGE(INDEX($Y$4:$Y$263,MATCH(SPC!$B$13,IF(Setup!$B$11="Weekly",'SPC Backing (Hide)'!$B$4:$B$263,'SPC Backing (Hide)'!$E$4:$E$263),0)):INDEX($Y$4:$Y$263,MATCH(SPC!$B$14,IF(Setup!$B$11="Weekly",'SPC Backing (Hide)'!$B$4:$B$263,'SPC Backing (Hide)'!$E$4:$E$263),0),1))</f>
        <v>18.416666666666668</v>
      </c>
      <c r="AA92">
        <f t="shared" si="17"/>
        <v>16.326832151300238</v>
      </c>
      <c r="AB92">
        <f t="shared" si="18"/>
        <v>88.60283687943263</v>
      </c>
      <c r="AC92">
        <f t="shared" si="19"/>
        <v>104.92966903073287</v>
      </c>
      <c r="AD92">
        <f t="shared" si="20"/>
        <v>121.25650118203311</v>
      </c>
      <c r="AE92">
        <f t="shared" si="21"/>
        <v>153.91016548463358</v>
      </c>
      <c r="AF92">
        <f t="shared" si="22"/>
        <v>170.23699763593382</v>
      </c>
      <c r="AG92">
        <f t="shared" si="23"/>
        <v>186.56382978723406</v>
      </c>
      <c r="AH92">
        <f t="shared" si="24"/>
        <v>0</v>
      </c>
      <c r="AI92">
        <f t="shared" si="31"/>
        <v>-2</v>
      </c>
      <c r="AJ92">
        <f t="shared" si="25"/>
        <v>0</v>
      </c>
      <c r="AK92">
        <f t="shared" si="26"/>
        <v>0</v>
      </c>
      <c r="AL92" t="e">
        <f t="shared" si="27"/>
        <v>#N/A</v>
      </c>
      <c r="AM92">
        <f t="shared" si="28"/>
        <v>-1</v>
      </c>
      <c r="AN92">
        <f t="shared" si="29"/>
        <v>0</v>
      </c>
      <c r="AO92">
        <f>_xlfn.PERCENTILE.INC(INDEX($W$4:$W$263,MATCH(SPC!$B$13,IF(Setup!$B$11="Weekly",'SPC Backing (Hide)'!$B$4:$B$263,'SPC Backing (Hide)'!$E$4:$E$263),0),1):INDEX($W$4:$W$263,MATCH(SPC!$B$14,IF(Setup!$B$11="Weekly",'SPC Backing (Hide)'!$B$4:$B$263,'SPC Backing (Hide)'!$E$4:$E$263),0),1),'SPC Backing (Hide)'!$AO$3)</f>
        <v>136.10000000000002</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2">
        <f t="shared" si="30"/>
        <v>33.44999999999996</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137.58333333333334</v>
      </c>
      <c r="Y93" cm="1">
        <f t="array" ref="Y93">ABS(INDEX($F$4:$U$263,ROW(A90),MATCH($X$2,$F$3:$U$3,0))-INDEX($F$4:$U$263,ROW(A89),MATCH($X$2,$F$3:$U$3,0)))</f>
        <v>0</v>
      </c>
      <c r="Z93">
        <f>AVERAGE(INDEX($Y$4:$Y$263,MATCH(SPC!$B$13,IF(Setup!$B$11="Weekly",'SPC Backing (Hide)'!$B$4:$B$263,'SPC Backing (Hide)'!$E$4:$E$263),0)):INDEX($Y$4:$Y$263,MATCH(SPC!$B$14,IF(Setup!$B$11="Weekly",'SPC Backing (Hide)'!$B$4:$B$263,'SPC Backing (Hide)'!$E$4:$E$263),0),1))</f>
        <v>18.416666666666668</v>
      </c>
      <c r="AA93">
        <f t="shared" si="17"/>
        <v>16.326832151300238</v>
      </c>
      <c r="AB93">
        <f t="shared" si="18"/>
        <v>88.60283687943263</v>
      </c>
      <c r="AC93">
        <f t="shared" si="19"/>
        <v>104.92966903073287</v>
      </c>
      <c r="AD93">
        <f t="shared" si="20"/>
        <v>121.25650118203311</v>
      </c>
      <c r="AE93">
        <f t="shared" si="21"/>
        <v>153.91016548463358</v>
      </c>
      <c r="AF93">
        <f t="shared" si="22"/>
        <v>170.23699763593382</v>
      </c>
      <c r="AG93">
        <f t="shared" si="23"/>
        <v>186.56382978723406</v>
      </c>
      <c r="AH93">
        <f t="shared" si="24"/>
        <v>0</v>
      </c>
      <c r="AI93">
        <f t="shared" si="31"/>
        <v>-2</v>
      </c>
      <c r="AJ93">
        <f t="shared" si="25"/>
        <v>0</v>
      </c>
      <c r="AK93">
        <f t="shared" si="26"/>
        <v>0</v>
      </c>
      <c r="AL93" t="e">
        <f t="shared" si="27"/>
        <v>#N/A</v>
      </c>
      <c r="AM93">
        <f t="shared" si="28"/>
        <v>-1</v>
      </c>
      <c r="AN93">
        <f t="shared" si="29"/>
        <v>0</v>
      </c>
      <c r="AO93">
        <f>_xlfn.PERCENTILE.INC(INDEX($W$4:$W$263,MATCH(SPC!$B$13,IF(Setup!$B$11="Weekly",'SPC Backing (Hide)'!$B$4:$B$263,'SPC Backing (Hide)'!$E$4:$E$263),0),1):INDEX($W$4:$W$263,MATCH(SPC!$B$14,IF(Setup!$B$11="Weekly",'SPC Backing (Hide)'!$B$4:$B$263,'SPC Backing (Hide)'!$E$4:$E$263),0),1),'SPC Backing (Hide)'!$AO$3)</f>
        <v>136.10000000000002</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3">
        <f t="shared" si="30"/>
        <v>33.44999999999996</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137.58333333333334</v>
      </c>
      <c r="Y94" cm="1">
        <f t="array" ref="Y94">ABS(INDEX($F$4:$U$263,ROW(A91),MATCH($X$2,$F$3:$U$3,0))-INDEX($F$4:$U$263,ROW(A90),MATCH($X$2,$F$3:$U$3,0)))</f>
        <v>0</v>
      </c>
      <c r="Z94">
        <f>AVERAGE(INDEX($Y$4:$Y$263,MATCH(SPC!$B$13,IF(Setup!$B$11="Weekly",'SPC Backing (Hide)'!$B$4:$B$263,'SPC Backing (Hide)'!$E$4:$E$263),0)):INDEX($Y$4:$Y$263,MATCH(SPC!$B$14,IF(Setup!$B$11="Weekly",'SPC Backing (Hide)'!$B$4:$B$263,'SPC Backing (Hide)'!$E$4:$E$263),0),1))</f>
        <v>18.416666666666668</v>
      </c>
      <c r="AA94">
        <f t="shared" si="17"/>
        <v>16.326832151300238</v>
      </c>
      <c r="AB94">
        <f t="shared" si="18"/>
        <v>88.60283687943263</v>
      </c>
      <c r="AC94">
        <f t="shared" si="19"/>
        <v>104.92966903073287</v>
      </c>
      <c r="AD94">
        <f t="shared" si="20"/>
        <v>121.25650118203311</v>
      </c>
      <c r="AE94">
        <f t="shared" si="21"/>
        <v>153.91016548463358</v>
      </c>
      <c r="AF94">
        <f t="shared" si="22"/>
        <v>170.23699763593382</v>
      </c>
      <c r="AG94">
        <f t="shared" si="23"/>
        <v>186.56382978723406</v>
      </c>
      <c r="AH94">
        <f t="shared" si="24"/>
        <v>0</v>
      </c>
      <c r="AI94">
        <f t="shared" si="31"/>
        <v>-2</v>
      </c>
      <c r="AJ94">
        <f t="shared" si="25"/>
        <v>0</v>
      </c>
      <c r="AK94">
        <f t="shared" si="26"/>
        <v>0</v>
      </c>
      <c r="AL94" t="e">
        <f t="shared" si="27"/>
        <v>#N/A</v>
      </c>
      <c r="AM94">
        <f t="shared" si="28"/>
        <v>-1</v>
      </c>
      <c r="AN94">
        <f t="shared" si="29"/>
        <v>0</v>
      </c>
      <c r="AO94">
        <f>_xlfn.PERCENTILE.INC(INDEX($W$4:$W$263,MATCH(SPC!$B$13,IF(Setup!$B$11="Weekly",'SPC Backing (Hide)'!$B$4:$B$263,'SPC Backing (Hide)'!$E$4:$E$263),0),1):INDEX($W$4:$W$263,MATCH(SPC!$B$14,IF(Setup!$B$11="Weekly",'SPC Backing (Hide)'!$B$4:$B$263,'SPC Backing (Hide)'!$E$4:$E$263),0),1),'SPC Backing (Hide)'!$AO$3)</f>
        <v>136.10000000000002</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4">
        <f t="shared" si="30"/>
        <v>33.44999999999996</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137.58333333333334</v>
      </c>
      <c r="Y95" cm="1">
        <f t="array" ref="Y95">ABS(INDEX($F$4:$U$263,ROW(A92),MATCH($X$2,$F$3:$U$3,0))-INDEX($F$4:$U$263,ROW(A91),MATCH($X$2,$F$3:$U$3,0)))</f>
        <v>0</v>
      </c>
      <c r="Z95">
        <f>AVERAGE(INDEX($Y$4:$Y$263,MATCH(SPC!$B$13,IF(Setup!$B$11="Weekly",'SPC Backing (Hide)'!$B$4:$B$263,'SPC Backing (Hide)'!$E$4:$E$263),0)):INDEX($Y$4:$Y$263,MATCH(SPC!$B$14,IF(Setup!$B$11="Weekly",'SPC Backing (Hide)'!$B$4:$B$263,'SPC Backing (Hide)'!$E$4:$E$263),0),1))</f>
        <v>18.416666666666668</v>
      </c>
      <c r="AA95">
        <f t="shared" si="17"/>
        <v>16.326832151300238</v>
      </c>
      <c r="AB95">
        <f t="shared" si="18"/>
        <v>88.60283687943263</v>
      </c>
      <c r="AC95">
        <f t="shared" si="19"/>
        <v>104.92966903073287</v>
      </c>
      <c r="AD95">
        <f t="shared" si="20"/>
        <v>121.25650118203311</v>
      </c>
      <c r="AE95">
        <f t="shared" si="21"/>
        <v>153.91016548463358</v>
      </c>
      <c r="AF95">
        <f t="shared" si="22"/>
        <v>170.23699763593382</v>
      </c>
      <c r="AG95">
        <f t="shared" si="23"/>
        <v>186.56382978723406</v>
      </c>
      <c r="AH95">
        <f t="shared" si="24"/>
        <v>0</v>
      </c>
      <c r="AI95">
        <f t="shared" si="31"/>
        <v>-2</v>
      </c>
      <c r="AJ95">
        <f t="shared" si="25"/>
        <v>0</v>
      </c>
      <c r="AK95">
        <f t="shared" si="26"/>
        <v>0</v>
      </c>
      <c r="AL95" t="e">
        <f t="shared" si="27"/>
        <v>#N/A</v>
      </c>
      <c r="AM95">
        <f t="shared" si="28"/>
        <v>-1</v>
      </c>
      <c r="AN95">
        <f t="shared" si="29"/>
        <v>0</v>
      </c>
      <c r="AO95">
        <f>_xlfn.PERCENTILE.INC(INDEX($W$4:$W$263,MATCH(SPC!$B$13,IF(Setup!$B$11="Weekly",'SPC Backing (Hide)'!$B$4:$B$263,'SPC Backing (Hide)'!$E$4:$E$263),0),1):INDEX($W$4:$W$263,MATCH(SPC!$B$14,IF(Setup!$B$11="Weekly",'SPC Backing (Hide)'!$B$4:$B$263,'SPC Backing (Hide)'!$E$4:$E$263),0),1),'SPC Backing (Hide)'!$AO$3)</f>
        <v>136.10000000000002</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5">
        <f t="shared" si="30"/>
        <v>33.44999999999996</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137.58333333333334</v>
      </c>
      <c r="Y96" cm="1">
        <f t="array" ref="Y96">ABS(INDEX($F$4:$U$263,ROW(A93),MATCH($X$2,$F$3:$U$3,0))-INDEX($F$4:$U$263,ROW(A92),MATCH($X$2,$F$3:$U$3,0)))</f>
        <v>0</v>
      </c>
      <c r="Z96">
        <f>AVERAGE(INDEX($Y$4:$Y$263,MATCH(SPC!$B$13,IF(Setup!$B$11="Weekly",'SPC Backing (Hide)'!$B$4:$B$263,'SPC Backing (Hide)'!$E$4:$E$263),0)):INDEX($Y$4:$Y$263,MATCH(SPC!$B$14,IF(Setup!$B$11="Weekly",'SPC Backing (Hide)'!$B$4:$B$263,'SPC Backing (Hide)'!$E$4:$E$263),0),1))</f>
        <v>18.416666666666668</v>
      </c>
      <c r="AA96">
        <f t="shared" si="17"/>
        <v>16.326832151300238</v>
      </c>
      <c r="AB96">
        <f t="shared" si="18"/>
        <v>88.60283687943263</v>
      </c>
      <c r="AC96">
        <f t="shared" si="19"/>
        <v>104.92966903073287</v>
      </c>
      <c r="AD96">
        <f t="shared" si="20"/>
        <v>121.25650118203311</v>
      </c>
      <c r="AE96">
        <f t="shared" si="21"/>
        <v>153.91016548463358</v>
      </c>
      <c r="AF96">
        <f t="shared" si="22"/>
        <v>170.23699763593382</v>
      </c>
      <c r="AG96">
        <f t="shared" si="23"/>
        <v>186.56382978723406</v>
      </c>
      <c r="AH96">
        <f t="shared" si="24"/>
        <v>0</v>
      </c>
      <c r="AI96">
        <f t="shared" si="31"/>
        <v>-2</v>
      </c>
      <c r="AJ96">
        <f t="shared" si="25"/>
        <v>0</v>
      </c>
      <c r="AK96">
        <f t="shared" si="26"/>
        <v>0</v>
      </c>
      <c r="AL96" t="e">
        <f t="shared" si="27"/>
        <v>#N/A</v>
      </c>
      <c r="AM96">
        <f t="shared" si="28"/>
        <v>-1</v>
      </c>
      <c r="AN96">
        <f t="shared" si="29"/>
        <v>0</v>
      </c>
      <c r="AO96">
        <f>_xlfn.PERCENTILE.INC(INDEX($W$4:$W$263,MATCH(SPC!$B$13,IF(Setup!$B$11="Weekly",'SPC Backing (Hide)'!$B$4:$B$263,'SPC Backing (Hide)'!$E$4:$E$263),0),1):INDEX($W$4:$W$263,MATCH(SPC!$B$14,IF(Setup!$B$11="Weekly",'SPC Backing (Hide)'!$B$4:$B$263,'SPC Backing (Hide)'!$E$4:$E$263),0),1),'SPC Backing (Hide)'!$AO$3)</f>
        <v>136.10000000000002</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6">
        <f t="shared" si="30"/>
        <v>33.44999999999996</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137.58333333333334</v>
      </c>
      <c r="Y97" cm="1">
        <f t="array" ref="Y97">ABS(INDEX($F$4:$U$263,ROW(A94),MATCH($X$2,$F$3:$U$3,0))-INDEX($F$4:$U$263,ROW(A93),MATCH($X$2,$F$3:$U$3,0)))</f>
        <v>0</v>
      </c>
      <c r="Z97">
        <f>AVERAGE(INDEX($Y$4:$Y$263,MATCH(SPC!$B$13,IF(Setup!$B$11="Weekly",'SPC Backing (Hide)'!$B$4:$B$263,'SPC Backing (Hide)'!$E$4:$E$263),0)):INDEX($Y$4:$Y$263,MATCH(SPC!$B$14,IF(Setup!$B$11="Weekly",'SPC Backing (Hide)'!$B$4:$B$263,'SPC Backing (Hide)'!$E$4:$E$263),0),1))</f>
        <v>18.416666666666668</v>
      </c>
      <c r="AA97">
        <f t="shared" si="17"/>
        <v>16.326832151300238</v>
      </c>
      <c r="AB97">
        <f t="shared" si="18"/>
        <v>88.60283687943263</v>
      </c>
      <c r="AC97">
        <f t="shared" si="19"/>
        <v>104.92966903073287</v>
      </c>
      <c r="AD97">
        <f t="shared" si="20"/>
        <v>121.25650118203311</v>
      </c>
      <c r="AE97">
        <f t="shared" si="21"/>
        <v>153.91016548463358</v>
      </c>
      <c r="AF97">
        <f t="shared" si="22"/>
        <v>170.23699763593382</v>
      </c>
      <c r="AG97">
        <f t="shared" si="23"/>
        <v>186.56382978723406</v>
      </c>
      <c r="AH97">
        <f t="shared" si="24"/>
        <v>0</v>
      </c>
      <c r="AI97">
        <f t="shared" si="31"/>
        <v>-2</v>
      </c>
      <c r="AJ97">
        <f t="shared" si="25"/>
        <v>0</v>
      </c>
      <c r="AK97">
        <f t="shared" si="26"/>
        <v>0</v>
      </c>
      <c r="AL97" t="e">
        <f t="shared" si="27"/>
        <v>#N/A</v>
      </c>
      <c r="AM97">
        <f t="shared" si="28"/>
        <v>-1</v>
      </c>
      <c r="AN97">
        <f t="shared" si="29"/>
        <v>0</v>
      </c>
      <c r="AO97">
        <f>_xlfn.PERCENTILE.INC(INDEX($W$4:$W$263,MATCH(SPC!$B$13,IF(Setup!$B$11="Weekly",'SPC Backing (Hide)'!$B$4:$B$263,'SPC Backing (Hide)'!$E$4:$E$263),0),1):INDEX($W$4:$W$263,MATCH(SPC!$B$14,IF(Setup!$B$11="Weekly",'SPC Backing (Hide)'!$B$4:$B$263,'SPC Backing (Hide)'!$E$4:$E$263),0),1),'SPC Backing (Hide)'!$AO$3)</f>
        <v>136.10000000000002</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7">
        <f t="shared" si="30"/>
        <v>33.44999999999996</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137.58333333333334</v>
      </c>
      <c r="Y98" cm="1">
        <f t="array" ref="Y98">ABS(INDEX($F$4:$U$263,ROW(A95),MATCH($X$2,$F$3:$U$3,0))-INDEX($F$4:$U$263,ROW(A94),MATCH($X$2,$F$3:$U$3,0)))</f>
        <v>0</v>
      </c>
      <c r="Z98">
        <f>AVERAGE(INDEX($Y$4:$Y$263,MATCH(SPC!$B$13,IF(Setup!$B$11="Weekly",'SPC Backing (Hide)'!$B$4:$B$263,'SPC Backing (Hide)'!$E$4:$E$263),0)):INDEX($Y$4:$Y$263,MATCH(SPC!$B$14,IF(Setup!$B$11="Weekly",'SPC Backing (Hide)'!$B$4:$B$263,'SPC Backing (Hide)'!$E$4:$E$263),0),1))</f>
        <v>18.416666666666668</v>
      </c>
      <c r="AA98">
        <f t="shared" si="17"/>
        <v>16.326832151300238</v>
      </c>
      <c r="AB98">
        <f t="shared" si="18"/>
        <v>88.60283687943263</v>
      </c>
      <c r="AC98">
        <f t="shared" si="19"/>
        <v>104.92966903073287</v>
      </c>
      <c r="AD98">
        <f t="shared" si="20"/>
        <v>121.25650118203311</v>
      </c>
      <c r="AE98">
        <f t="shared" si="21"/>
        <v>153.91016548463358</v>
      </c>
      <c r="AF98">
        <f t="shared" si="22"/>
        <v>170.23699763593382</v>
      </c>
      <c r="AG98">
        <f t="shared" si="23"/>
        <v>186.56382978723406</v>
      </c>
      <c r="AH98">
        <f t="shared" si="24"/>
        <v>0</v>
      </c>
      <c r="AI98">
        <f t="shared" si="31"/>
        <v>-2</v>
      </c>
      <c r="AJ98">
        <f t="shared" si="25"/>
        <v>0</v>
      </c>
      <c r="AK98">
        <f t="shared" si="26"/>
        <v>0</v>
      </c>
      <c r="AL98" t="e">
        <f t="shared" si="27"/>
        <v>#N/A</v>
      </c>
      <c r="AM98">
        <f t="shared" si="28"/>
        <v>-1</v>
      </c>
      <c r="AN98">
        <f t="shared" si="29"/>
        <v>0</v>
      </c>
      <c r="AO98">
        <f>_xlfn.PERCENTILE.INC(INDEX($W$4:$W$263,MATCH(SPC!$B$13,IF(Setup!$B$11="Weekly",'SPC Backing (Hide)'!$B$4:$B$263,'SPC Backing (Hide)'!$E$4:$E$263),0),1):INDEX($W$4:$W$263,MATCH(SPC!$B$14,IF(Setup!$B$11="Weekly",'SPC Backing (Hide)'!$B$4:$B$263,'SPC Backing (Hide)'!$E$4:$E$263),0),1),'SPC Backing (Hide)'!$AO$3)</f>
        <v>136.10000000000002</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8">
        <f t="shared" si="30"/>
        <v>33.44999999999996</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137.58333333333334</v>
      </c>
      <c r="Y99" cm="1">
        <f t="array" ref="Y99">ABS(INDEX($F$4:$U$263,ROW(A96),MATCH($X$2,$F$3:$U$3,0))-INDEX($F$4:$U$263,ROW(A95),MATCH($X$2,$F$3:$U$3,0)))</f>
        <v>0</v>
      </c>
      <c r="Z99">
        <f>AVERAGE(INDEX($Y$4:$Y$263,MATCH(SPC!$B$13,IF(Setup!$B$11="Weekly",'SPC Backing (Hide)'!$B$4:$B$263,'SPC Backing (Hide)'!$E$4:$E$263),0)):INDEX($Y$4:$Y$263,MATCH(SPC!$B$14,IF(Setup!$B$11="Weekly",'SPC Backing (Hide)'!$B$4:$B$263,'SPC Backing (Hide)'!$E$4:$E$263),0),1))</f>
        <v>18.416666666666668</v>
      </c>
      <c r="AA99">
        <f t="shared" si="17"/>
        <v>16.326832151300238</v>
      </c>
      <c r="AB99">
        <f t="shared" si="18"/>
        <v>88.60283687943263</v>
      </c>
      <c r="AC99">
        <f t="shared" si="19"/>
        <v>104.92966903073287</v>
      </c>
      <c r="AD99">
        <f t="shared" si="20"/>
        <v>121.25650118203311</v>
      </c>
      <c r="AE99">
        <f t="shared" si="21"/>
        <v>153.91016548463358</v>
      </c>
      <c r="AF99">
        <f t="shared" si="22"/>
        <v>170.23699763593382</v>
      </c>
      <c r="AG99">
        <f t="shared" si="23"/>
        <v>186.56382978723406</v>
      </c>
      <c r="AH99">
        <f t="shared" si="24"/>
        <v>0</v>
      </c>
      <c r="AI99">
        <f t="shared" si="31"/>
        <v>-2</v>
      </c>
      <c r="AJ99">
        <f t="shared" si="25"/>
        <v>0</v>
      </c>
      <c r="AK99">
        <f t="shared" si="26"/>
        <v>0</v>
      </c>
      <c r="AL99" t="e">
        <f t="shared" si="27"/>
        <v>#N/A</v>
      </c>
      <c r="AM99">
        <f t="shared" si="28"/>
        <v>-1</v>
      </c>
      <c r="AN99">
        <f t="shared" si="29"/>
        <v>0</v>
      </c>
      <c r="AO99">
        <f>_xlfn.PERCENTILE.INC(INDEX($W$4:$W$263,MATCH(SPC!$B$13,IF(Setup!$B$11="Weekly",'SPC Backing (Hide)'!$B$4:$B$263,'SPC Backing (Hide)'!$E$4:$E$263),0),1):INDEX($W$4:$W$263,MATCH(SPC!$B$14,IF(Setup!$B$11="Weekly",'SPC Backing (Hide)'!$B$4:$B$263,'SPC Backing (Hide)'!$E$4:$E$263),0),1),'SPC Backing (Hide)'!$AO$3)</f>
        <v>136.10000000000002</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99">
        <f t="shared" si="30"/>
        <v>33.44999999999996</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137.58333333333334</v>
      </c>
      <c r="Y100" cm="1">
        <f t="array" ref="Y100">ABS(INDEX($F$4:$U$263,ROW(A97),MATCH($X$2,$F$3:$U$3,0))-INDEX($F$4:$U$263,ROW(A96),MATCH($X$2,$F$3:$U$3,0)))</f>
        <v>0</v>
      </c>
      <c r="Z100">
        <f>AVERAGE(INDEX($Y$4:$Y$263,MATCH(SPC!$B$13,IF(Setup!$B$11="Weekly",'SPC Backing (Hide)'!$B$4:$B$263,'SPC Backing (Hide)'!$E$4:$E$263),0)):INDEX($Y$4:$Y$263,MATCH(SPC!$B$14,IF(Setup!$B$11="Weekly",'SPC Backing (Hide)'!$B$4:$B$263,'SPC Backing (Hide)'!$E$4:$E$263),0),1))</f>
        <v>18.416666666666668</v>
      </c>
      <c r="AA100">
        <f t="shared" si="17"/>
        <v>16.326832151300238</v>
      </c>
      <c r="AB100">
        <f t="shared" si="18"/>
        <v>88.60283687943263</v>
      </c>
      <c r="AC100">
        <f t="shared" si="19"/>
        <v>104.92966903073287</v>
      </c>
      <c r="AD100">
        <f t="shared" si="20"/>
        <v>121.25650118203311</v>
      </c>
      <c r="AE100">
        <f t="shared" si="21"/>
        <v>153.91016548463358</v>
      </c>
      <c r="AF100">
        <f t="shared" si="22"/>
        <v>170.23699763593382</v>
      </c>
      <c r="AG100">
        <f t="shared" si="23"/>
        <v>186.56382978723406</v>
      </c>
      <c r="AH100">
        <f t="shared" si="24"/>
        <v>0</v>
      </c>
      <c r="AI100">
        <f t="shared" si="31"/>
        <v>-2</v>
      </c>
      <c r="AJ100">
        <f t="shared" si="25"/>
        <v>0</v>
      </c>
      <c r="AK100">
        <f t="shared" si="26"/>
        <v>0</v>
      </c>
      <c r="AL100" t="e">
        <f t="shared" si="27"/>
        <v>#N/A</v>
      </c>
      <c r="AM100">
        <f t="shared" si="28"/>
        <v>-1</v>
      </c>
      <c r="AN100">
        <f t="shared" si="29"/>
        <v>0</v>
      </c>
      <c r="AO100">
        <f>_xlfn.PERCENTILE.INC(INDEX($W$4:$W$263,MATCH(SPC!$B$13,IF(Setup!$B$11="Weekly",'SPC Backing (Hide)'!$B$4:$B$263,'SPC Backing (Hide)'!$E$4:$E$263),0),1):INDEX($W$4:$W$263,MATCH(SPC!$B$14,IF(Setup!$B$11="Weekly",'SPC Backing (Hide)'!$B$4:$B$263,'SPC Backing (Hide)'!$E$4:$E$263),0),1),'SPC Backing (Hide)'!$AO$3)</f>
        <v>136.10000000000002</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0">
        <f t="shared" si="30"/>
        <v>33.44999999999996</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137.58333333333334</v>
      </c>
      <c r="Y101" cm="1">
        <f t="array" ref="Y101">ABS(INDEX($F$4:$U$263,ROW(A98),MATCH($X$2,$F$3:$U$3,0))-INDEX($F$4:$U$263,ROW(A97),MATCH($X$2,$F$3:$U$3,0)))</f>
        <v>0</v>
      </c>
      <c r="Z101">
        <f>AVERAGE(INDEX($Y$4:$Y$263,MATCH(SPC!$B$13,IF(Setup!$B$11="Weekly",'SPC Backing (Hide)'!$B$4:$B$263,'SPC Backing (Hide)'!$E$4:$E$263),0)):INDEX($Y$4:$Y$263,MATCH(SPC!$B$14,IF(Setup!$B$11="Weekly",'SPC Backing (Hide)'!$B$4:$B$263,'SPC Backing (Hide)'!$E$4:$E$263),0),1))</f>
        <v>18.416666666666668</v>
      </c>
      <c r="AA101">
        <f t="shared" si="17"/>
        <v>16.326832151300238</v>
      </c>
      <c r="AB101">
        <f t="shared" si="18"/>
        <v>88.60283687943263</v>
      </c>
      <c r="AC101">
        <f t="shared" si="19"/>
        <v>104.92966903073287</v>
      </c>
      <c r="AD101">
        <f t="shared" si="20"/>
        <v>121.25650118203311</v>
      </c>
      <c r="AE101">
        <f t="shared" si="21"/>
        <v>153.91016548463358</v>
      </c>
      <c r="AF101">
        <f t="shared" si="22"/>
        <v>170.23699763593382</v>
      </c>
      <c r="AG101">
        <f t="shared" si="23"/>
        <v>186.56382978723406</v>
      </c>
      <c r="AH101">
        <f t="shared" si="24"/>
        <v>0</v>
      </c>
      <c r="AI101">
        <f t="shared" si="31"/>
        <v>-2</v>
      </c>
      <c r="AJ101">
        <f t="shared" si="25"/>
        <v>0</v>
      </c>
      <c r="AK101">
        <f t="shared" si="26"/>
        <v>0</v>
      </c>
      <c r="AL101" t="e">
        <f t="shared" si="27"/>
        <v>#N/A</v>
      </c>
      <c r="AM101">
        <f t="shared" si="28"/>
        <v>-1</v>
      </c>
      <c r="AN101">
        <f t="shared" si="29"/>
        <v>0</v>
      </c>
      <c r="AO101">
        <f>_xlfn.PERCENTILE.INC(INDEX($W$4:$W$263,MATCH(SPC!$B$13,IF(Setup!$B$11="Weekly",'SPC Backing (Hide)'!$B$4:$B$263,'SPC Backing (Hide)'!$E$4:$E$263),0),1):INDEX($W$4:$W$263,MATCH(SPC!$B$14,IF(Setup!$B$11="Weekly",'SPC Backing (Hide)'!$B$4:$B$263,'SPC Backing (Hide)'!$E$4:$E$263),0),1),'SPC Backing (Hide)'!$AO$3)</f>
        <v>136.10000000000002</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1">
        <f t="shared" si="30"/>
        <v>33.44999999999996</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137.58333333333334</v>
      </c>
      <c r="Y102" cm="1">
        <f t="array" ref="Y102">ABS(INDEX($F$4:$U$263,ROW(A99),MATCH($X$2,$F$3:$U$3,0))-INDEX($F$4:$U$263,ROW(A98),MATCH($X$2,$F$3:$U$3,0)))</f>
        <v>0</v>
      </c>
      <c r="Z102">
        <f>AVERAGE(INDEX($Y$4:$Y$263,MATCH(SPC!$B$13,IF(Setup!$B$11="Weekly",'SPC Backing (Hide)'!$B$4:$B$263,'SPC Backing (Hide)'!$E$4:$E$263),0)):INDEX($Y$4:$Y$263,MATCH(SPC!$B$14,IF(Setup!$B$11="Weekly",'SPC Backing (Hide)'!$B$4:$B$263,'SPC Backing (Hide)'!$E$4:$E$263),0),1))</f>
        <v>18.416666666666668</v>
      </c>
      <c r="AA102">
        <f t="shared" si="17"/>
        <v>16.326832151300238</v>
      </c>
      <c r="AB102">
        <f t="shared" si="18"/>
        <v>88.60283687943263</v>
      </c>
      <c r="AC102">
        <f t="shared" si="19"/>
        <v>104.92966903073287</v>
      </c>
      <c r="AD102">
        <f t="shared" si="20"/>
        <v>121.25650118203311</v>
      </c>
      <c r="AE102">
        <f t="shared" si="21"/>
        <v>153.91016548463358</v>
      </c>
      <c r="AF102">
        <f t="shared" si="22"/>
        <v>170.23699763593382</v>
      </c>
      <c r="AG102">
        <f t="shared" si="23"/>
        <v>186.56382978723406</v>
      </c>
      <c r="AH102">
        <f t="shared" si="24"/>
        <v>0</v>
      </c>
      <c r="AI102">
        <f t="shared" si="31"/>
        <v>-2</v>
      </c>
      <c r="AJ102">
        <f t="shared" si="25"/>
        <v>0</v>
      </c>
      <c r="AK102">
        <f t="shared" si="26"/>
        <v>0</v>
      </c>
      <c r="AL102" t="e">
        <f t="shared" si="27"/>
        <v>#N/A</v>
      </c>
      <c r="AM102">
        <f t="shared" si="28"/>
        <v>-1</v>
      </c>
      <c r="AN102">
        <f t="shared" si="29"/>
        <v>0</v>
      </c>
      <c r="AO102">
        <f>_xlfn.PERCENTILE.INC(INDEX($W$4:$W$263,MATCH(SPC!$B$13,IF(Setup!$B$11="Weekly",'SPC Backing (Hide)'!$B$4:$B$263,'SPC Backing (Hide)'!$E$4:$E$263),0),1):INDEX($W$4:$W$263,MATCH(SPC!$B$14,IF(Setup!$B$11="Weekly",'SPC Backing (Hide)'!$B$4:$B$263,'SPC Backing (Hide)'!$E$4:$E$263),0),1),'SPC Backing (Hide)'!$AO$3)</f>
        <v>136.10000000000002</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2">
        <f t="shared" si="30"/>
        <v>33.44999999999996</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137.58333333333334</v>
      </c>
      <c r="Y103" cm="1">
        <f t="array" ref="Y103">ABS(INDEX($F$4:$U$263,ROW(A100),MATCH($X$2,$F$3:$U$3,0))-INDEX($F$4:$U$263,ROW(A99),MATCH($X$2,$F$3:$U$3,0)))</f>
        <v>0</v>
      </c>
      <c r="Z103">
        <f>AVERAGE(INDEX($Y$4:$Y$263,MATCH(SPC!$B$13,IF(Setup!$B$11="Weekly",'SPC Backing (Hide)'!$B$4:$B$263,'SPC Backing (Hide)'!$E$4:$E$263),0)):INDEX($Y$4:$Y$263,MATCH(SPC!$B$14,IF(Setup!$B$11="Weekly",'SPC Backing (Hide)'!$B$4:$B$263,'SPC Backing (Hide)'!$E$4:$E$263),0),1))</f>
        <v>18.416666666666668</v>
      </c>
      <c r="AA103">
        <f t="shared" si="17"/>
        <v>16.326832151300238</v>
      </c>
      <c r="AB103">
        <f t="shared" si="18"/>
        <v>88.60283687943263</v>
      </c>
      <c r="AC103">
        <f t="shared" si="19"/>
        <v>104.92966903073287</v>
      </c>
      <c r="AD103">
        <f t="shared" si="20"/>
        <v>121.25650118203311</v>
      </c>
      <c r="AE103">
        <f t="shared" si="21"/>
        <v>153.91016548463358</v>
      </c>
      <c r="AF103">
        <f t="shared" si="22"/>
        <v>170.23699763593382</v>
      </c>
      <c r="AG103">
        <f t="shared" si="23"/>
        <v>186.56382978723406</v>
      </c>
      <c r="AH103">
        <f t="shared" si="24"/>
        <v>0</v>
      </c>
      <c r="AI103">
        <f t="shared" si="31"/>
        <v>-2</v>
      </c>
      <c r="AJ103">
        <f t="shared" si="25"/>
        <v>0</v>
      </c>
      <c r="AK103">
        <f t="shared" si="26"/>
        <v>0</v>
      </c>
      <c r="AL103" t="e">
        <f t="shared" si="27"/>
        <v>#N/A</v>
      </c>
      <c r="AM103">
        <f t="shared" si="28"/>
        <v>-1</v>
      </c>
      <c r="AN103">
        <f t="shared" si="29"/>
        <v>0</v>
      </c>
      <c r="AO103">
        <f>_xlfn.PERCENTILE.INC(INDEX($W$4:$W$263,MATCH(SPC!$B$13,IF(Setup!$B$11="Weekly",'SPC Backing (Hide)'!$B$4:$B$263,'SPC Backing (Hide)'!$E$4:$E$263),0),1):INDEX($W$4:$W$263,MATCH(SPC!$B$14,IF(Setup!$B$11="Weekly",'SPC Backing (Hide)'!$B$4:$B$263,'SPC Backing (Hide)'!$E$4:$E$263),0),1),'SPC Backing (Hide)'!$AO$3)</f>
        <v>136.10000000000002</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3">
        <f t="shared" si="30"/>
        <v>33.44999999999996</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137.58333333333334</v>
      </c>
      <c r="Y104" cm="1">
        <f t="array" ref="Y104">ABS(INDEX($F$4:$U$263,ROW(A101),MATCH($X$2,$F$3:$U$3,0))-INDEX($F$4:$U$263,ROW(A100),MATCH($X$2,$F$3:$U$3,0)))</f>
        <v>0</v>
      </c>
      <c r="Z104">
        <f>AVERAGE(INDEX($Y$4:$Y$263,MATCH(SPC!$B$13,IF(Setup!$B$11="Weekly",'SPC Backing (Hide)'!$B$4:$B$263,'SPC Backing (Hide)'!$E$4:$E$263),0)):INDEX($Y$4:$Y$263,MATCH(SPC!$B$14,IF(Setup!$B$11="Weekly",'SPC Backing (Hide)'!$B$4:$B$263,'SPC Backing (Hide)'!$E$4:$E$263),0),1))</f>
        <v>18.416666666666668</v>
      </c>
      <c r="AA104">
        <f t="shared" si="17"/>
        <v>16.326832151300238</v>
      </c>
      <c r="AB104">
        <f t="shared" si="18"/>
        <v>88.60283687943263</v>
      </c>
      <c r="AC104">
        <f t="shared" si="19"/>
        <v>104.92966903073287</v>
      </c>
      <c r="AD104">
        <f t="shared" si="20"/>
        <v>121.25650118203311</v>
      </c>
      <c r="AE104">
        <f t="shared" si="21"/>
        <v>153.91016548463358</v>
      </c>
      <c r="AF104">
        <f t="shared" si="22"/>
        <v>170.23699763593382</v>
      </c>
      <c r="AG104">
        <f t="shared" si="23"/>
        <v>186.56382978723406</v>
      </c>
      <c r="AH104">
        <f t="shared" si="24"/>
        <v>0</v>
      </c>
      <c r="AI104">
        <f t="shared" si="31"/>
        <v>-2</v>
      </c>
      <c r="AJ104">
        <f t="shared" si="25"/>
        <v>0</v>
      </c>
      <c r="AK104">
        <f t="shared" si="26"/>
        <v>0</v>
      </c>
      <c r="AL104" t="e">
        <f t="shared" si="27"/>
        <v>#N/A</v>
      </c>
      <c r="AM104">
        <f t="shared" si="28"/>
        <v>-1</v>
      </c>
      <c r="AN104">
        <f t="shared" si="29"/>
        <v>0</v>
      </c>
      <c r="AO104">
        <f>_xlfn.PERCENTILE.INC(INDEX($W$4:$W$263,MATCH(SPC!$B$13,IF(Setup!$B$11="Weekly",'SPC Backing (Hide)'!$B$4:$B$263,'SPC Backing (Hide)'!$E$4:$E$263),0),1):INDEX($W$4:$W$263,MATCH(SPC!$B$14,IF(Setup!$B$11="Weekly",'SPC Backing (Hide)'!$B$4:$B$263,'SPC Backing (Hide)'!$E$4:$E$263),0),1),'SPC Backing (Hide)'!$AO$3)</f>
        <v>136.10000000000002</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4">
        <f t="shared" si="30"/>
        <v>33.44999999999996</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137.58333333333334</v>
      </c>
      <c r="Y105" cm="1">
        <f t="array" ref="Y105">ABS(INDEX($F$4:$U$263,ROW(A102),MATCH($X$2,$F$3:$U$3,0))-INDEX($F$4:$U$263,ROW(A101),MATCH($X$2,$F$3:$U$3,0)))</f>
        <v>0</v>
      </c>
      <c r="Z105">
        <f>AVERAGE(INDEX($Y$4:$Y$263,MATCH(SPC!$B$13,IF(Setup!$B$11="Weekly",'SPC Backing (Hide)'!$B$4:$B$263,'SPC Backing (Hide)'!$E$4:$E$263),0)):INDEX($Y$4:$Y$263,MATCH(SPC!$B$14,IF(Setup!$B$11="Weekly",'SPC Backing (Hide)'!$B$4:$B$263,'SPC Backing (Hide)'!$E$4:$E$263),0),1))</f>
        <v>18.416666666666668</v>
      </c>
      <c r="AA105">
        <f t="shared" si="17"/>
        <v>16.326832151300238</v>
      </c>
      <c r="AB105">
        <f t="shared" si="18"/>
        <v>88.60283687943263</v>
      </c>
      <c r="AC105">
        <f t="shared" si="19"/>
        <v>104.92966903073287</v>
      </c>
      <c r="AD105">
        <f t="shared" si="20"/>
        <v>121.25650118203311</v>
      </c>
      <c r="AE105">
        <f t="shared" si="21"/>
        <v>153.91016548463358</v>
      </c>
      <c r="AF105">
        <f t="shared" si="22"/>
        <v>170.23699763593382</v>
      </c>
      <c r="AG105">
        <f t="shared" si="23"/>
        <v>186.56382978723406</v>
      </c>
      <c r="AH105">
        <f t="shared" si="24"/>
        <v>0</v>
      </c>
      <c r="AI105">
        <f t="shared" si="31"/>
        <v>-2</v>
      </c>
      <c r="AJ105">
        <f t="shared" si="25"/>
        <v>0</v>
      </c>
      <c r="AK105">
        <f t="shared" si="26"/>
        <v>0</v>
      </c>
      <c r="AL105" t="e">
        <f t="shared" si="27"/>
        <v>#N/A</v>
      </c>
      <c r="AM105">
        <f t="shared" si="28"/>
        <v>-1</v>
      </c>
      <c r="AN105">
        <f t="shared" si="29"/>
        <v>0</v>
      </c>
      <c r="AO105">
        <f>_xlfn.PERCENTILE.INC(INDEX($W$4:$W$263,MATCH(SPC!$B$13,IF(Setup!$B$11="Weekly",'SPC Backing (Hide)'!$B$4:$B$263,'SPC Backing (Hide)'!$E$4:$E$263),0),1):INDEX($W$4:$W$263,MATCH(SPC!$B$14,IF(Setup!$B$11="Weekly",'SPC Backing (Hide)'!$B$4:$B$263,'SPC Backing (Hide)'!$E$4:$E$263),0),1),'SPC Backing (Hide)'!$AO$3)</f>
        <v>136.10000000000002</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5">
        <f t="shared" si="30"/>
        <v>33.44999999999996</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137.58333333333334</v>
      </c>
      <c r="Y106" cm="1">
        <f t="array" ref="Y106">ABS(INDEX($F$4:$U$263,ROW(A103),MATCH($X$2,$F$3:$U$3,0))-INDEX($F$4:$U$263,ROW(A102),MATCH($X$2,$F$3:$U$3,0)))</f>
        <v>0</v>
      </c>
      <c r="Z106">
        <f>AVERAGE(INDEX($Y$4:$Y$263,MATCH(SPC!$B$13,IF(Setup!$B$11="Weekly",'SPC Backing (Hide)'!$B$4:$B$263,'SPC Backing (Hide)'!$E$4:$E$263),0)):INDEX($Y$4:$Y$263,MATCH(SPC!$B$14,IF(Setup!$B$11="Weekly",'SPC Backing (Hide)'!$B$4:$B$263,'SPC Backing (Hide)'!$E$4:$E$263),0),1))</f>
        <v>18.416666666666668</v>
      </c>
      <c r="AA106">
        <f t="shared" si="17"/>
        <v>16.326832151300238</v>
      </c>
      <c r="AB106">
        <f t="shared" si="18"/>
        <v>88.60283687943263</v>
      </c>
      <c r="AC106">
        <f t="shared" si="19"/>
        <v>104.92966903073287</v>
      </c>
      <c r="AD106">
        <f t="shared" si="20"/>
        <v>121.25650118203311</v>
      </c>
      <c r="AE106">
        <f t="shared" si="21"/>
        <v>153.91016548463358</v>
      </c>
      <c r="AF106">
        <f t="shared" si="22"/>
        <v>170.23699763593382</v>
      </c>
      <c r="AG106">
        <f t="shared" si="23"/>
        <v>186.56382978723406</v>
      </c>
      <c r="AH106">
        <f t="shared" si="24"/>
        <v>0</v>
      </c>
      <c r="AI106">
        <f t="shared" si="31"/>
        <v>-2</v>
      </c>
      <c r="AJ106">
        <f t="shared" si="25"/>
        <v>0</v>
      </c>
      <c r="AK106">
        <f t="shared" si="26"/>
        <v>0</v>
      </c>
      <c r="AL106" t="e">
        <f t="shared" si="27"/>
        <v>#N/A</v>
      </c>
      <c r="AM106">
        <f t="shared" si="28"/>
        <v>-1</v>
      </c>
      <c r="AN106">
        <f t="shared" si="29"/>
        <v>0</v>
      </c>
      <c r="AO106">
        <f>_xlfn.PERCENTILE.INC(INDEX($W$4:$W$263,MATCH(SPC!$B$13,IF(Setup!$B$11="Weekly",'SPC Backing (Hide)'!$B$4:$B$263,'SPC Backing (Hide)'!$E$4:$E$263),0),1):INDEX($W$4:$W$263,MATCH(SPC!$B$14,IF(Setup!$B$11="Weekly",'SPC Backing (Hide)'!$B$4:$B$263,'SPC Backing (Hide)'!$E$4:$E$263),0),1),'SPC Backing (Hide)'!$AO$3)</f>
        <v>136.10000000000002</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6">
        <f t="shared" si="30"/>
        <v>33.44999999999996</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137.58333333333334</v>
      </c>
      <c r="Y107" cm="1">
        <f t="array" ref="Y107">ABS(INDEX($F$4:$U$263,ROW(A104),MATCH($X$2,$F$3:$U$3,0))-INDEX($F$4:$U$263,ROW(A103),MATCH($X$2,$F$3:$U$3,0)))</f>
        <v>0</v>
      </c>
      <c r="Z107">
        <f>AVERAGE(INDEX($Y$4:$Y$263,MATCH(SPC!$B$13,IF(Setup!$B$11="Weekly",'SPC Backing (Hide)'!$B$4:$B$263,'SPC Backing (Hide)'!$E$4:$E$263),0)):INDEX($Y$4:$Y$263,MATCH(SPC!$B$14,IF(Setup!$B$11="Weekly",'SPC Backing (Hide)'!$B$4:$B$263,'SPC Backing (Hide)'!$E$4:$E$263),0),1))</f>
        <v>18.416666666666668</v>
      </c>
      <c r="AA107">
        <f t="shared" si="17"/>
        <v>16.326832151300238</v>
      </c>
      <c r="AB107">
        <f t="shared" si="18"/>
        <v>88.60283687943263</v>
      </c>
      <c r="AC107">
        <f t="shared" si="19"/>
        <v>104.92966903073287</v>
      </c>
      <c r="AD107">
        <f t="shared" si="20"/>
        <v>121.25650118203311</v>
      </c>
      <c r="AE107">
        <f t="shared" si="21"/>
        <v>153.91016548463358</v>
      </c>
      <c r="AF107">
        <f t="shared" si="22"/>
        <v>170.23699763593382</v>
      </c>
      <c r="AG107">
        <f t="shared" si="23"/>
        <v>186.56382978723406</v>
      </c>
      <c r="AH107">
        <f t="shared" si="24"/>
        <v>0</v>
      </c>
      <c r="AI107">
        <f t="shared" si="31"/>
        <v>-2</v>
      </c>
      <c r="AJ107">
        <f t="shared" si="25"/>
        <v>0</v>
      </c>
      <c r="AK107">
        <f t="shared" si="26"/>
        <v>0</v>
      </c>
      <c r="AL107" t="e">
        <f t="shared" si="27"/>
        <v>#N/A</v>
      </c>
      <c r="AM107">
        <f t="shared" si="28"/>
        <v>-1</v>
      </c>
      <c r="AN107">
        <f t="shared" si="29"/>
        <v>0</v>
      </c>
      <c r="AO107">
        <f>_xlfn.PERCENTILE.INC(INDEX($W$4:$W$263,MATCH(SPC!$B$13,IF(Setup!$B$11="Weekly",'SPC Backing (Hide)'!$B$4:$B$263,'SPC Backing (Hide)'!$E$4:$E$263),0),1):INDEX($W$4:$W$263,MATCH(SPC!$B$14,IF(Setup!$B$11="Weekly",'SPC Backing (Hide)'!$B$4:$B$263,'SPC Backing (Hide)'!$E$4:$E$263),0),1),'SPC Backing (Hide)'!$AO$3)</f>
        <v>136.10000000000002</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7">
        <f t="shared" si="30"/>
        <v>33.44999999999996</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137.58333333333334</v>
      </c>
      <c r="Y108" cm="1">
        <f t="array" ref="Y108">ABS(INDEX($F$4:$U$263,ROW(A105),MATCH($X$2,$F$3:$U$3,0))-INDEX($F$4:$U$263,ROW(A104),MATCH($X$2,$F$3:$U$3,0)))</f>
        <v>0</v>
      </c>
      <c r="Z108">
        <f>AVERAGE(INDEX($Y$4:$Y$263,MATCH(SPC!$B$13,IF(Setup!$B$11="Weekly",'SPC Backing (Hide)'!$B$4:$B$263,'SPC Backing (Hide)'!$E$4:$E$263),0)):INDEX($Y$4:$Y$263,MATCH(SPC!$B$14,IF(Setup!$B$11="Weekly",'SPC Backing (Hide)'!$B$4:$B$263,'SPC Backing (Hide)'!$E$4:$E$263),0),1))</f>
        <v>18.416666666666668</v>
      </c>
      <c r="AA108">
        <f t="shared" si="17"/>
        <v>16.326832151300238</v>
      </c>
      <c r="AB108">
        <f t="shared" si="18"/>
        <v>88.60283687943263</v>
      </c>
      <c r="AC108">
        <f t="shared" si="19"/>
        <v>104.92966903073287</v>
      </c>
      <c r="AD108">
        <f t="shared" si="20"/>
        <v>121.25650118203311</v>
      </c>
      <c r="AE108">
        <f t="shared" si="21"/>
        <v>153.91016548463358</v>
      </c>
      <c r="AF108">
        <f t="shared" si="22"/>
        <v>170.23699763593382</v>
      </c>
      <c r="AG108">
        <f t="shared" si="23"/>
        <v>186.56382978723406</v>
      </c>
      <c r="AH108">
        <f t="shared" si="24"/>
        <v>0</v>
      </c>
      <c r="AI108">
        <f t="shared" si="31"/>
        <v>-2</v>
      </c>
      <c r="AJ108">
        <f t="shared" si="25"/>
        <v>0</v>
      </c>
      <c r="AK108">
        <f t="shared" si="26"/>
        <v>0</v>
      </c>
      <c r="AL108" t="e">
        <f t="shared" si="27"/>
        <v>#N/A</v>
      </c>
      <c r="AM108">
        <f t="shared" si="28"/>
        <v>-1</v>
      </c>
      <c r="AN108">
        <f t="shared" si="29"/>
        <v>0</v>
      </c>
      <c r="AO108">
        <f>_xlfn.PERCENTILE.INC(INDEX($W$4:$W$263,MATCH(SPC!$B$13,IF(Setup!$B$11="Weekly",'SPC Backing (Hide)'!$B$4:$B$263,'SPC Backing (Hide)'!$E$4:$E$263),0),1):INDEX($W$4:$W$263,MATCH(SPC!$B$14,IF(Setup!$B$11="Weekly",'SPC Backing (Hide)'!$B$4:$B$263,'SPC Backing (Hide)'!$E$4:$E$263),0),1),'SPC Backing (Hide)'!$AO$3)</f>
        <v>136.10000000000002</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8">
        <f t="shared" si="30"/>
        <v>33.44999999999996</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137.58333333333334</v>
      </c>
      <c r="Y109" cm="1">
        <f t="array" ref="Y109">ABS(INDEX($F$4:$U$263,ROW(A106),MATCH($X$2,$F$3:$U$3,0))-INDEX($F$4:$U$263,ROW(A105),MATCH($X$2,$F$3:$U$3,0)))</f>
        <v>0</v>
      </c>
      <c r="Z109">
        <f>AVERAGE(INDEX($Y$4:$Y$263,MATCH(SPC!$B$13,IF(Setup!$B$11="Weekly",'SPC Backing (Hide)'!$B$4:$B$263,'SPC Backing (Hide)'!$E$4:$E$263),0)):INDEX($Y$4:$Y$263,MATCH(SPC!$B$14,IF(Setup!$B$11="Weekly",'SPC Backing (Hide)'!$B$4:$B$263,'SPC Backing (Hide)'!$E$4:$E$263),0),1))</f>
        <v>18.416666666666668</v>
      </c>
      <c r="AA109">
        <f t="shared" si="17"/>
        <v>16.326832151300238</v>
      </c>
      <c r="AB109">
        <f t="shared" si="18"/>
        <v>88.60283687943263</v>
      </c>
      <c r="AC109">
        <f t="shared" si="19"/>
        <v>104.92966903073287</v>
      </c>
      <c r="AD109">
        <f t="shared" si="20"/>
        <v>121.25650118203311</v>
      </c>
      <c r="AE109">
        <f t="shared" si="21"/>
        <v>153.91016548463358</v>
      </c>
      <c r="AF109">
        <f t="shared" si="22"/>
        <v>170.23699763593382</v>
      </c>
      <c r="AG109">
        <f t="shared" si="23"/>
        <v>186.56382978723406</v>
      </c>
      <c r="AH109">
        <f t="shared" si="24"/>
        <v>0</v>
      </c>
      <c r="AI109">
        <f t="shared" si="31"/>
        <v>-2</v>
      </c>
      <c r="AJ109">
        <f t="shared" si="25"/>
        <v>0</v>
      </c>
      <c r="AK109">
        <f t="shared" si="26"/>
        <v>0</v>
      </c>
      <c r="AL109" t="e">
        <f t="shared" si="27"/>
        <v>#N/A</v>
      </c>
      <c r="AM109">
        <f t="shared" si="28"/>
        <v>-1</v>
      </c>
      <c r="AN109">
        <f t="shared" si="29"/>
        <v>0</v>
      </c>
      <c r="AO109">
        <f>_xlfn.PERCENTILE.INC(INDEX($W$4:$W$263,MATCH(SPC!$B$13,IF(Setup!$B$11="Weekly",'SPC Backing (Hide)'!$B$4:$B$263,'SPC Backing (Hide)'!$E$4:$E$263),0),1):INDEX($W$4:$W$263,MATCH(SPC!$B$14,IF(Setup!$B$11="Weekly",'SPC Backing (Hide)'!$B$4:$B$263,'SPC Backing (Hide)'!$E$4:$E$263),0),1),'SPC Backing (Hide)'!$AO$3)</f>
        <v>136.10000000000002</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09">
        <f t="shared" si="30"/>
        <v>33.44999999999996</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137.58333333333334</v>
      </c>
      <c r="Y110" cm="1">
        <f t="array" ref="Y110">ABS(INDEX($F$4:$U$263,ROW(A107),MATCH($X$2,$F$3:$U$3,0))-INDEX($F$4:$U$263,ROW(A106),MATCH($X$2,$F$3:$U$3,0)))</f>
        <v>0</v>
      </c>
      <c r="Z110">
        <f>AVERAGE(INDEX($Y$4:$Y$263,MATCH(SPC!$B$13,IF(Setup!$B$11="Weekly",'SPC Backing (Hide)'!$B$4:$B$263,'SPC Backing (Hide)'!$E$4:$E$263),0)):INDEX($Y$4:$Y$263,MATCH(SPC!$B$14,IF(Setup!$B$11="Weekly",'SPC Backing (Hide)'!$B$4:$B$263,'SPC Backing (Hide)'!$E$4:$E$263),0),1))</f>
        <v>18.416666666666668</v>
      </c>
      <c r="AA110">
        <f t="shared" si="17"/>
        <v>16.326832151300238</v>
      </c>
      <c r="AB110">
        <f t="shared" si="18"/>
        <v>88.60283687943263</v>
      </c>
      <c r="AC110">
        <f t="shared" si="19"/>
        <v>104.92966903073287</v>
      </c>
      <c r="AD110">
        <f t="shared" si="20"/>
        <v>121.25650118203311</v>
      </c>
      <c r="AE110">
        <f t="shared" si="21"/>
        <v>153.91016548463358</v>
      </c>
      <c r="AF110">
        <f t="shared" si="22"/>
        <v>170.23699763593382</v>
      </c>
      <c r="AG110">
        <f t="shared" si="23"/>
        <v>186.56382978723406</v>
      </c>
      <c r="AH110">
        <f t="shared" si="24"/>
        <v>0</v>
      </c>
      <c r="AI110">
        <f t="shared" si="31"/>
        <v>-2</v>
      </c>
      <c r="AJ110">
        <f t="shared" si="25"/>
        <v>0</v>
      </c>
      <c r="AK110">
        <f t="shared" si="26"/>
        <v>0</v>
      </c>
      <c r="AL110" t="e">
        <f t="shared" si="27"/>
        <v>#N/A</v>
      </c>
      <c r="AM110">
        <f t="shared" si="28"/>
        <v>-1</v>
      </c>
      <c r="AN110">
        <f t="shared" si="29"/>
        <v>0</v>
      </c>
      <c r="AO110">
        <f>_xlfn.PERCENTILE.INC(INDEX($W$4:$W$263,MATCH(SPC!$B$13,IF(Setup!$B$11="Weekly",'SPC Backing (Hide)'!$B$4:$B$263,'SPC Backing (Hide)'!$E$4:$E$263),0),1):INDEX($W$4:$W$263,MATCH(SPC!$B$14,IF(Setup!$B$11="Weekly",'SPC Backing (Hide)'!$B$4:$B$263,'SPC Backing (Hide)'!$E$4:$E$263),0),1),'SPC Backing (Hide)'!$AO$3)</f>
        <v>136.10000000000002</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0">
        <f t="shared" si="30"/>
        <v>33.44999999999996</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137.58333333333334</v>
      </c>
      <c r="Y111" cm="1">
        <f t="array" ref="Y111">ABS(INDEX($F$4:$U$263,ROW(A108),MATCH($X$2,$F$3:$U$3,0))-INDEX($F$4:$U$263,ROW(A107),MATCH($X$2,$F$3:$U$3,0)))</f>
        <v>0</v>
      </c>
      <c r="Z111">
        <f>AVERAGE(INDEX($Y$4:$Y$263,MATCH(SPC!$B$13,IF(Setup!$B$11="Weekly",'SPC Backing (Hide)'!$B$4:$B$263,'SPC Backing (Hide)'!$E$4:$E$263),0)):INDEX($Y$4:$Y$263,MATCH(SPC!$B$14,IF(Setup!$B$11="Weekly",'SPC Backing (Hide)'!$B$4:$B$263,'SPC Backing (Hide)'!$E$4:$E$263),0),1))</f>
        <v>18.416666666666668</v>
      </c>
      <c r="AA111">
        <f t="shared" si="17"/>
        <v>16.326832151300238</v>
      </c>
      <c r="AB111">
        <f t="shared" si="18"/>
        <v>88.60283687943263</v>
      </c>
      <c r="AC111">
        <f t="shared" si="19"/>
        <v>104.92966903073287</v>
      </c>
      <c r="AD111">
        <f t="shared" si="20"/>
        <v>121.25650118203311</v>
      </c>
      <c r="AE111">
        <f t="shared" si="21"/>
        <v>153.91016548463358</v>
      </c>
      <c r="AF111">
        <f t="shared" si="22"/>
        <v>170.23699763593382</v>
      </c>
      <c r="AG111">
        <f t="shared" si="23"/>
        <v>186.56382978723406</v>
      </c>
      <c r="AH111">
        <f t="shared" si="24"/>
        <v>0</v>
      </c>
      <c r="AI111">
        <f t="shared" si="31"/>
        <v>-2</v>
      </c>
      <c r="AJ111">
        <f t="shared" si="25"/>
        <v>0</v>
      </c>
      <c r="AK111">
        <f t="shared" si="26"/>
        <v>0</v>
      </c>
      <c r="AL111" t="e">
        <f t="shared" si="27"/>
        <v>#N/A</v>
      </c>
      <c r="AM111">
        <f t="shared" si="28"/>
        <v>-1</v>
      </c>
      <c r="AN111">
        <f t="shared" si="29"/>
        <v>0</v>
      </c>
      <c r="AO111">
        <f>_xlfn.PERCENTILE.INC(INDEX($W$4:$W$263,MATCH(SPC!$B$13,IF(Setup!$B$11="Weekly",'SPC Backing (Hide)'!$B$4:$B$263,'SPC Backing (Hide)'!$E$4:$E$263),0),1):INDEX($W$4:$W$263,MATCH(SPC!$B$14,IF(Setup!$B$11="Weekly",'SPC Backing (Hide)'!$B$4:$B$263,'SPC Backing (Hide)'!$E$4:$E$263),0),1),'SPC Backing (Hide)'!$AO$3)</f>
        <v>136.10000000000002</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1">
        <f t="shared" si="30"/>
        <v>33.44999999999996</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137.58333333333334</v>
      </c>
      <c r="Y112" cm="1">
        <f t="array" ref="Y112">ABS(INDEX($F$4:$U$263,ROW(A109),MATCH($X$2,$F$3:$U$3,0))-INDEX($F$4:$U$263,ROW(A108),MATCH($X$2,$F$3:$U$3,0)))</f>
        <v>0</v>
      </c>
      <c r="Z112">
        <f>AVERAGE(INDEX($Y$4:$Y$263,MATCH(SPC!$B$13,IF(Setup!$B$11="Weekly",'SPC Backing (Hide)'!$B$4:$B$263,'SPC Backing (Hide)'!$E$4:$E$263),0)):INDEX($Y$4:$Y$263,MATCH(SPC!$B$14,IF(Setup!$B$11="Weekly",'SPC Backing (Hide)'!$B$4:$B$263,'SPC Backing (Hide)'!$E$4:$E$263),0),1))</f>
        <v>18.416666666666668</v>
      </c>
      <c r="AA112">
        <f t="shared" si="17"/>
        <v>16.326832151300238</v>
      </c>
      <c r="AB112">
        <f t="shared" si="18"/>
        <v>88.60283687943263</v>
      </c>
      <c r="AC112">
        <f t="shared" si="19"/>
        <v>104.92966903073287</v>
      </c>
      <c r="AD112">
        <f t="shared" si="20"/>
        <v>121.25650118203311</v>
      </c>
      <c r="AE112">
        <f t="shared" si="21"/>
        <v>153.91016548463358</v>
      </c>
      <c r="AF112">
        <f t="shared" si="22"/>
        <v>170.23699763593382</v>
      </c>
      <c r="AG112">
        <f t="shared" si="23"/>
        <v>186.56382978723406</v>
      </c>
      <c r="AH112">
        <f t="shared" si="24"/>
        <v>0</v>
      </c>
      <c r="AI112">
        <f t="shared" si="31"/>
        <v>-2</v>
      </c>
      <c r="AJ112">
        <f t="shared" si="25"/>
        <v>0</v>
      </c>
      <c r="AK112">
        <f t="shared" si="26"/>
        <v>0</v>
      </c>
      <c r="AL112" t="e">
        <f t="shared" si="27"/>
        <v>#N/A</v>
      </c>
      <c r="AM112">
        <f t="shared" si="28"/>
        <v>-1</v>
      </c>
      <c r="AN112">
        <f t="shared" si="29"/>
        <v>0</v>
      </c>
      <c r="AO112">
        <f>_xlfn.PERCENTILE.INC(INDEX($W$4:$W$263,MATCH(SPC!$B$13,IF(Setup!$B$11="Weekly",'SPC Backing (Hide)'!$B$4:$B$263,'SPC Backing (Hide)'!$E$4:$E$263),0),1):INDEX($W$4:$W$263,MATCH(SPC!$B$14,IF(Setup!$B$11="Weekly",'SPC Backing (Hide)'!$B$4:$B$263,'SPC Backing (Hide)'!$E$4:$E$263),0),1),'SPC Backing (Hide)'!$AO$3)</f>
        <v>136.10000000000002</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2">
        <f t="shared" si="30"/>
        <v>33.44999999999996</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137.58333333333334</v>
      </c>
      <c r="Y113" cm="1">
        <f t="array" ref="Y113">ABS(INDEX($F$4:$U$263,ROW(A110),MATCH($X$2,$F$3:$U$3,0))-INDEX($F$4:$U$263,ROW(A109),MATCH($X$2,$F$3:$U$3,0)))</f>
        <v>0</v>
      </c>
      <c r="Z113">
        <f>AVERAGE(INDEX($Y$4:$Y$263,MATCH(SPC!$B$13,IF(Setup!$B$11="Weekly",'SPC Backing (Hide)'!$B$4:$B$263,'SPC Backing (Hide)'!$E$4:$E$263),0)):INDEX($Y$4:$Y$263,MATCH(SPC!$B$14,IF(Setup!$B$11="Weekly",'SPC Backing (Hide)'!$B$4:$B$263,'SPC Backing (Hide)'!$E$4:$E$263),0),1))</f>
        <v>18.416666666666668</v>
      </c>
      <c r="AA113">
        <f t="shared" si="17"/>
        <v>16.326832151300238</v>
      </c>
      <c r="AB113">
        <f t="shared" si="18"/>
        <v>88.60283687943263</v>
      </c>
      <c r="AC113">
        <f t="shared" si="19"/>
        <v>104.92966903073287</v>
      </c>
      <c r="AD113">
        <f t="shared" si="20"/>
        <v>121.25650118203311</v>
      </c>
      <c r="AE113">
        <f t="shared" si="21"/>
        <v>153.91016548463358</v>
      </c>
      <c r="AF113">
        <f t="shared" si="22"/>
        <v>170.23699763593382</v>
      </c>
      <c r="AG113">
        <f t="shared" si="23"/>
        <v>186.56382978723406</v>
      </c>
      <c r="AH113">
        <f t="shared" si="24"/>
        <v>0</v>
      </c>
      <c r="AI113">
        <f t="shared" si="31"/>
        <v>-2</v>
      </c>
      <c r="AJ113">
        <f t="shared" si="25"/>
        <v>0</v>
      </c>
      <c r="AK113">
        <f t="shared" si="26"/>
        <v>0</v>
      </c>
      <c r="AL113" t="e">
        <f t="shared" si="27"/>
        <v>#N/A</v>
      </c>
      <c r="AM113">
        <f t="shared" si="28"/>
        <v>-1</v>
      </c>
      <c r="AN113">
        <f t="shared" si="29"/>
        <v>0</v>
      </c>
      <c r="AO113">
        <f>_xlfn.PERCENTILE.INC(INDEX($W$4:$W$263,MATCH(SPC!$B$13,IF(Setup!$B$11="Weekly",'SPC Backing (Hide)'!$B$4:$B$263,'SPC Backing (Hide)'!$E$4:$E$263),0),1):INDEX($W$4:$W$263,MATCH(SPC!$B$14,IF(Setup!$B$11="Weekly",'SPC Backing (Hide)'!$B$4:$B$263,'SPC Backing (Hide)'!$E$4:$E$263),0),1),'SPC Backing (Hide)'!$AO$3)</f>
        <v>136.10000000000002</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3">
        <f t="shared" si="30"/>
        <v>33.44999999999996</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137.58333333333334</v>
      </c>
      <c r="Y114" cm="1">
        <f t="array" ref="Y114">ABS(INDEX($F$4:$U$263,ROW(A111),MATCH($X$2,$F$3:$U$3,0))-INDEX($F$4:$U$263,ROW(A110),MATCH($X$2,$F$3:$U$3,0)))</f>
        <v>0</v>
      </c>
      <c r="Z114">
        <f>AVERAGE(INDEX($Y$4:$Y$263,MATCH(SPC!$B$13,IF(Setup!$B$11="Weekly",'SPC Backing (Hide)'!$B$4:$B$263,'SPC Backing (Hide)'!$E$4:$E$263),0)):INDEX($Y$4:$Y$263,MATCH(SPC!$B$14,IF(Setup!$B$11="Weekly",'SPC Backing (Hide)'!$B$4:$B$263,'SPC Backing (Hide)'!$E$4:$E$263),0),1))</f>
        <v>18.416666666666668</v>
      </c>
      <c r="AA114">
        <f t="shared" si="17"/>
        <v>16.326832151300238</v>
      </c>
      <c r="AB114">
        <f t="shared" si="18"/>
        <v>88.60283687943263</v>
      </c>
      <c r="AC114">
        <f t="shared" si="19"/>
        <v>104.92966903073287</v>
      </c>
      <c r="AD114">
        <f t="shared" si="20"/>
        <v>121.25650118203311</v>
      </c>
      <c r="AE114">
        <f t="shared" si="21"/>
        <v>153.91016548463358</v>
      </c>
      <c r="AF114">
        <f t="shared" si="22"/>
        <v>170.23699763593382</v>
      </c>
      <c r="AG114">
        <f t="shared" si="23"/>
        <v>186.56382978723406</v>
      </c>
      <c r="AH114">
        <f t="shared" si="24"/>
        <v>0</v>
      </c>
      <c r="AI114">
        <f t="shared" si="31"/>
        <v>-2</v>
      </c>
      <c r="AJ114">
        <f t="shared" si="25"/>
        <v>0</v>
      </c>
      <c r="AK114">
        <f t="shared" si="26"/>
        <v>0</v>
      </c>
      <c r="AL114" t="e">
        <f t="shared" si="27"/>
        <v>#N/A</v>
      </c>
      <c r="AM114">
        <f t="shared" si="28"/>
        <v>-1</v>
      </c>
      <c r="AN114">
        <f t="shared" si="29"/>
        <v>0</v>
      </c>
      <c r="AO114">
        <f>_xlfn.PERCENTILE.INC(INDEX($W$4:$W$263,MATCH(SPC!$B$13,IF(Setup!$B$11="Weekly",'SPC Backing (Hide)'!$B$4:$B$263,'SPC Backing (Hide)'!$E$4:$E$263),0),1):INDEX($W$4:$W$263,MATCH(SPC!$B$14,IF(Setup!$B$11="Weekly",'SPC Backing (Hide)'!$B$4:$B$263,'SPC Backing (Hide)'!$E$4:$E$263),0),1),'SPC Backing (Hide)'!$AO$3)</f>
        <v>136.10000000000002</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4">
        <f t="shared" si="30"/>
        <v>33.44999999999996</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137.58333333333334</v>
      </c>
      <c r="Y115" cm="1">
        <f t="array" ref="Y115">ABS(INDEX($F$4:$U$263,ROW(A112),MATCH($X$2,$F$3:$U$3,0))-INDEX($F$4:$U$263,ROW(A111),MATCH($X$2,$F$3:$U$3,0)))</f>
        <v>0</v>
      </c>
      <c r="Z115">
        <f>AVERAGE(INDEX($Y$4:$Y$263,MATCH(SPC!$B$13,IF(Setup!$B$11="Weekly",'SPC Backing (Hide)'!$B$4:$B$263,'SPC Backing (Hide)'!$E$4:$E$263),0)):INDEX($Y$4:$Y$263,MATCH(SPC!$B$14,IF(Setup!$B$11="Weekly",'SPC Backing (Hide)'!$B$4:$B$263,'SPC Backing (Hide)'!$E$4:$E$263),0),1))</f>
        <v>18.416666666666668</v>
      </c>
      <c r="AA115">
        <f t="shared" si="17"/>
        <v>16.326832151300238</v>
      </c>
      <c r="AB115">
        <f t="shared" si="18"/>
        <v>88.60283687943263</v>
      </c>
      <c r="AC115">
        <f t="shared" si="19"/>
        <v>104.92966903073287</v>
      </c>
      <c r="AD115">
        <f t="shared" si="20"/>
        <v>121.25650118203311</v>
      </c>
      <c r="AE115">
        <f t="shared" si="21"/>
        <v>153.91016548463358</v>
      </c>
      <c r="AF115">
        <f t="shared" si="22"/>
        <v>170.23699763593382</v>
      </c>
      <c r="AG115">
        <f t="shared" si="23"/>
        <v>186.56382978723406</v>
      </c>
      <c r="AH115">
        <f t="shared" si="24"/>
        <v>0</v>
      </c>
      <c r="AI115">
        <f t="shared" si="31"/>
        <v>-2</v>
      </c>
      <c r="AJ115">
        <f t="shared" si="25"/>
        <v>0</v>
      </c>
      <c r="AK115">
        <f t="shared" si="26"/>
        <v>0</v>
      </c>
      <c r="AL115" t="e">
        <f t="shared" si="27"/>
        <v>#N/A</v>
      </c>
      <c r="AM115">
        <f t="shared" si="28"/>
        <v>-1</v>
      </c>
      <c r="AN115">
        <f t="shared" si="29"/>
        <v>0</v>
      </c>
      <c r="AO115">
        <f>_xlfn.PERCENTILE.INC(INDEX($W$4:$W$263,MATCH(SPC!$B$13,IF(Setup!$B$11="Weekly",'SPC Backing (Hide)'!$B$4:$B$263,'SPC Backing (Hide)'!$E$4:$E$263),0),1):INDEX($W$4:$W$263,MATCH(SPC!$B$14,IF(Setup!$B$11="Weekly",'SPC Backing (Hide)'!$B$4:$B$263,'SPC Backing (Hide)'!$E$4:$E$263),0),1),'SPC Backing (Hide)'!$AO$3)</f>
        <v>136.10000000000002</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5">
        <f t="shared" si="30"/>
        <v>33.44999999999996</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137.58333333333334</v>
      </c>
      <c r="Y116" cm="1">
        <f t="array" ref="Y116">ABS(INDEX($F$4:$U$263,ROW(A113),MATCH($X$2,$F$3:$U$3,0))-INDEX($F$4:$U$263,ROW(A112),MATCH($X$2,$F$3:$U$3,0)))</f>
        <v>0</v>
      </c>
      <c r="Z116">
        <f>AVERAGE(INDEX($Y$4:$Y$263,MATCH(SPC!$B$13,IF(Setup!$B$11="Weekly",'SPC Backing (Hide)'!$B$4:$B$263,'SPC Backing (Hide)'!$E$4:$E$263),0)):INDEX($Y$4:$Y$263,MATCH(SPC!$B$14,IF(Setup!$B$11="Weekly",'SPC Backing (Hide)'!$B$4:$B$263,'SPC Backing (Hide)'!$E$4:$E$263),0),1))</f>
        <v>18.416666666666668</v>
      </c>
      <c r="AA116">
        <f t="shared" si="17"/>
        <v>16.326832151300238</v>
      </c>
      <c r="AB116">
        <f t="shared" si="18"/>
        <v>88.60283687943263</v>
      </c>
      <c r="AC116">
        <f t="shared" si="19"/>
        <v>104.92966903073287</v>
      </c>
      <c r="AD116">
        <f t="shared" si="20"/>
        <v>121.25650118203311</v>
      </c>
      <c r="AE116">
        <f t="shared" si="21"/>
        <v>153.91016548463358</v>
      </c>
      <c r="AF116">
        <f t="shared" si="22"/>
        <v>170.23699763593382</v>
      </c>
      <c r="AG116">
        <f t="shared" si="23"/>
        <v>186.56382978723406</v>
      </c>
      <c r="AH116">
        <f t="shared" si="24"/>
        <v>0</v>
      </c>
      <c r="AI116">
        <f t="shared" si="31"/>
        <v>-2</v>
      </c>
      <c r="AJ116">
        <f t="shared" si="25"/>
        <v>0</v>
      </c>
      <c r="AK116">
        <f t="shared" si="26"/>
        <v>0</v>
      </c>
      <c r="AL116" t="e">
        <f t="shared" si="27"/>
        <v>#N/A</v>
      </c>
      <c r="AM116">
        <f t="shared" si="28"/>
        <v>-1</v>
      </c>
      <c r="AN116">
        <f t="shared" si="29"/>
        <v>0</v>
      </c>
      <c r="AO116">
        <f>_xlfn.PERCENTILE.INC(INDEX($W$4:$W$263,MATCH(SPC!$B$13,IF(Setup!$B$11="Weekly",'SPC Backing (Hide)'!$B$4:$B$263,'SPC Backing (Hide)'!$E$4:$E$263),0),1):INDEX($W$4:$W$263,MATCH(SPC!$B$14,IF(Setup!$B$11="Weekly",'SPC Backing (Hide)'!$B$4:$B$263,'SPC Backing (Hide)'!$E$4:$E$263),0),1),'SPC Backing (Hide)'!$AO$3)</f>
        <v>136.10000000000002</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6">
        <f t="shared" si="30"/>
        <v>33.44999999999996</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137.58333333333334</v>
      </c>
      <c r="Y117" cm="1">
        <f t="array" ref="Y117">ABS(INDEX($F$4:$U$263,ROW(A114),MATCH($X$2,$F$3:$U$3,0))-INDEX($F$4:$U$263,ROW(A113),MATCH($X$2,$F$3:$U$3,0)))</f>
        <v>0</v>
      </c>
      <c r="Z117">
        <f>AVERAGE(INDEX($Y$4:$Y$263,MATCH(SPC!$B$13,IF(Setup!$B$11="Weekly",'SPC Backing (Hide)'!$B$4:$B$263,'SPC Backing (Hide)'!$E$4:$E$263),0)):INDEX($Y$4:$Y$263,MATCH(SPC!$B$14,IF(Setup!$B$11="Weekly",'SPC Backing (Hide)'!$B$4:$B$263,'SPC Backing (Hide)'!$E$4:$E$263),0),1))</f>
        <v>18.416666666666668</v>
      </c>
      <c r="AA117">
        <f t="shared" si="17"/>
        <v>16.326832151300238</v>
      </c>
      <c r="AB117">
        <f t="shared" si="18"/>
        <v>88.60283687943263</v>
      </c>
      <c r="AC117">
        <f t="shared" si="19"/>
        <v>104.92966903073287</v>
      </c>
      <c r="AD117">
        <f t="shared" si="20"/>
        <v>121.25650118203311</v>
      </c>
      <c r="AE117">
        <f t="shared" si="21"/>
        <v>153.91016548463358</v>
      </c>
      <c r="AF117">
        <f t="shared" si="22"/>
        <v>170.23699763593382</v>
      </c>
      <c r="AG117">
        <f t="shared" si="23"/>
        <v>186.56382978723406</v>
      </c>
      <c r="AH117">
        <f t="shared" si="24"/>
        <v>0</v>
      </c>
      <c r="AI117">
        <f t="shared" si="31"/>
        <v>-2</v>
      </c>
      <c r="AJ117">
        <f t="shared" si="25"/>
        <v>0</v>
      </c>
      <c r="AK117">
        <f t="shared" si="26"/>
        <v>0</v>
      </c>
      <c r="AL117" t="e">
        <f t="shared" si="27"/>
        <v>#N/A</v>
      </c>
      <c r="AM117">
        <f t="shared" si="28"/>
        <v>-1</v>
      </c>
      <c r="AN117">
        <f t="shared" si="29"/>
        <v>0</v>
      </c>
      <c r="AO117">
        <f>_xlfn.PERCENTILE.INC(INDEX($W$4:$W$263,MATCH(SPC!$B$13,IF(Setup!$B$11="Weekly",'SPC Backing (Hide)'!$B$4:$B$263,'SPC Backing (Hide)'!$E$4:$E$263),0),1):INDEX($W$4:$W$263,MATCH(SPC!$B$14,IF(Setup!$B$11="Weekly",'SPC Backing (Hide)'!$B$4:$B$263,'SPC Backing (Hide)'!$E$4:$E$263),0),1),'SPC Backing (Hide)'!$AO$3)</f>
        <v>136.10000000000002</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7">
        <f t="shared" si="30"/>
        <v>33.44999999999996</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137.58333333333334</v>
      </c>
      <c r="Y118" cm="1">
        <f t="array" ref="Y118">ABS(INDEX($F$4:$U$263,ROW(A115),MATCH($X$2,$F$3:$U$3,0))-INDEX($F$4:$U$263,ROW(A114),MATCH($X$2,$F$3:$U$3,0)))</f>
        <v>0</v>
      </c>
      <c r="Z118">
        <f>AVERAGE(INDEX($Y$4:$Y$263,MATCH(SPC!$B$13,IF(Setup!$B$11="Weekly",'SPC Backing (Hide)'!$B$4:$B$263,'SPC Backing (Hide)'!$E$4:$E$263),0)):INDEX($Y$4:$Y$263,MATCH(SPC!$B$14,IF(Setup!$B$11="Weekly",'SPC Backing (Hide)'!$B$4:$B$263,'SPC Backing (Hide)'!$E$4:$E$263),0),1))</f>
        <v>18.416666666666668</v>
      </c>
      <c r="AA118">
        <f t="shared" si="17"/>
        <v>16.326832151300238</v>
      </c>
      <c r="AB118">
        <f t="shared" si="18"/>
        <v>88.60283687943263</v>
      </c>
      <c r="AC118">
        <f t="shared" si="19"/>
        <v>104.92966903073287</v>
      </c>
      <c r="AD118">
        <f t="shared" si="20"/>
        <v>121.25650118203311</v>
      </c>
      <c r="AE118">
        <f t="shared" si="21"/>
        <v>153.91016548463358</v>
      </c>
      <c r="AF118">
        <f t="shared" si="22"/>
        <v>170.23699763593382</v>
      </c>
      <c r="AG118">
        <f t="shared" si="23"/>
        <v>186.56382978723406</v>
      </c>
      <c r="AH118">
        <f t="shared" si="24"/>
        <v>0</v>
      </c>
      <c r="AI118">
        <f t="shared" si="31"/>
        <v>-2</v>
      </c>
      <c r="AJ118">
        <f t="shared" si="25"/>
        <v>0</v>
      </c>
      <c r="AK118">
        <f t="shared" si="26"/>
        <v>0</v>
      </c>
      <c r="AL118" t="e">
        <f t="shared" si="27"/>
        <v>#N/A</v>
      </c>
      <c r="AM118">
        <f t="shared" si="28"/>
        <v>-1</v>
      </c>
      <c r="AN118">
        <f t="shared" si="29"/>
        <v>0</v>
      </c>
      <c r="AO118">
        <f>_xlfn.PERCENTILE.INC(INDEX($W$4:$W$263,MATCH(SPC!$B$13,IF(Setup!$B$11="Weekly",'SPC Backing (Hide)'!$B$4:$B$263,'SPC Backing (Hide)'!$E$4:$E$263),0),1):INDEX($W$4:$W$263,MATCH(SPC!$B$14,IF(Setup!$B$11="Weekly",'SPC Backing (Hide)'!$B$4:$B$263,'SPC Backing (Hide)'!$E$4:$E$263),0),1),'SPC Backing (Hide)'!$AO$3)</f>
        <v>136.10000000000002</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8">
        <f t="shared" si="30"/>
        <v>33.44999999999996</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137.58333333333334</v>
      </c>
      <c r="Y119" cm="1">
        <f t="array" ref="Y119">ABS(INDEX($F$4:$U$263,ROW(A116),MATCH($X$2,$F$3:$U$3,0))-INDEX($F$4:$U$263,ROW(A115),MATCH($X$2,$F$3:$U$3,0)))</f>
        <v>0</v>
      </c>
      <c r="Z119">
        <f>AVERAGE(INDEX($Y$4:$Y$263,MATCH(SPC!$B$13,IF(Setup!$B$11="Weekly",'SPC Backing (Hide)'!$B$4:$B$263,'SPC Backing (Hide)'!$E$4:$E$263),0)):INDEX($Y$4:$Y$263,MATCH(SPC!$B$14,IF(Setup!$B$11="Weekly",'SPC Backing (Hide)'!$B$4:$B$263,'SPC Backing (Hide)'!$E$4:$E$263),0),1))</f>
        <v>18.416666666666668</v>
      </c>
      <c r="AA119">
        <f t="shared" si="17"/>
        <v>16.326832151300238</v>
      </c>
      <c r="AB119">
        <f t="shared" si="18"/>
        <v>88.60283687943263</v>
      </c>
      <c r="AC119">
        <f t="shared" si="19"/>
        <v>104.92966903073287</v>
      </c>
      <c r="AD119">
        <f t="shared" si="20"/>
        <v>121.25650118203311</v>
      </c>
      <c r="AE119">
        <f t="shared" si="21"/>
        <v>153.91016548463358</v>
      </c>
      <c r="AF119">
        <f t="shared" si="22"/>
        <v>170.23699763593382</v>
      </c>
      <c r="AG119">
        <f t="shared" si="23"/>
        <v>186.56382978723406</v>
      </c>
      <c r="AH119">
        <f t="shared" si="24"/>
        <v>0</v>
      </c>
      <c r="AI119">
        <f t="shared" si="31"/>
        <v>-2</v>
      </c>
      <c r="AJ119">
        <f t="shared" si="25"/>
        <v>0</v>
      </c>
      <c r="AK119">
        <f t="shared" si="26"/>
        <v>0</v>
      </c>
      <c r="AL119" t="e">
        <f t="shared" si="27"/>
        <v>#N/A</v>
      </c>
      <c r="AM119">
        <f t="shared" si="28"/>
        <v>-1</v>
      </c>
      <c r="AN119">
        <f t="shared" si="29"/>
        <v>0</v>
      </c>
      <c r="AO119">
        <f>_xlfn.PERCENTILE.INC(INDEX($W$4:$W$263,MATCH(SPC!$B$13,IF(Setup!$B$11="Weekly",'SPC Backing (Hide)'!$B$4:$B$263,'SPC Backing (Hide)'!$E$4:$E$263),0),1):INDEX($W$4:$W$263,MATCH(SPC!$B$14,IF(Setup!$B$11="Weekly",'SPC Backing (Hide)'!$B$4:$B$263,'SPC Backing (Hide)'!$E$4:$E$263),0),1),'SPC Backing (Hide)'!$AO$3)</f>
        <v>136.10000000000002</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19">
        <f t="shared" si="30"/>
        <v>33.44999999999996</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137.58333333333334</v>
      </c>
      <c r="Y120" cm="1">
        <f t="array" ref="Y120">ABS(INDEX($F$4:$U$263,ROW(A117),MATCH($X$2,$F$3:$U$3,0))-INDEX($F$4:$U$263,ROW(A116),MATCH($X$2,$F$3:$U$3,0)))</f>
        <v>0</v>
      </c>
      <c r="Z120">
        <f>AVERAGE(INDEX($Y$4:$Y$263,MATCH(SPC!$B$13,IF(Setup!$B$11="Weekly",'SPC Backing (Hide)'!$B$4:$B$263,'SPC Backing (Hide)'!$E$4:$E$263),0)):INDEX($Y$4:$Y$263,MATCH(SPC!$B$14,IF(Setup!$B$11="Weekly",'SPC Backing (Hide)'!$B$4:$B$263,'SPC Backing (Hide)'!$E$4:$E$263),0),1))</f>
        <v>18.416666666666668</v>
      </c>
      <c r="AA120">
        <f t="shared" si="17"/>
        <v>16.326832151300238</v>
      </c>
      <c r="AB120">
        <f t="shared" si="18"/>
        <v>88.60283687943263</v>
      </c>
      <c r="AC120">
        <f t="shared" si="19"/>
        <v>104.92966903073287</v>
      </c>
      <c r="AD120">
        <f t="shared" si="20"/>
        <v>121.25650118203311</v>
      </c>
      <c r="AE120">
        <f t="shared" si="21"/>
        <v>153.91016548463358</v>
      </c>
      <c r="AF120">
        <f t="shared" si="22"/>
        <v>170.23699763593382</v>
      </c>
      <c r="AG120">
        <f t="shared" si="23"/>
        <v>186.56382978723406</v>
      </c>
      <c r="AH120">
        <f t="shared" si="24"/>
        <v>0</v>
      </c>
      <c r="AI120">
        <f t="shared" si="31"/>
        <v>-2</v>
      </c>
      <c r="AJ120">
        <f t="shared" si="25"/>
        <v>0</v>
      </c>
      <c r="AK120">
        <f t="shared" si="26"/>
        <v>0</v>
      </c>
      <c r="AL120" t="e">
        <f t="shared" si="27"/>
        <v>#N/A</v>
      </c>
      <c r="AM120">
        <f t="shared" si="28"/>
        <v>-1</v>
      </c>
      <c r="AN120">
        <f t="shared" si="29"/>
        <v>0</v>
      </c>
      <c r="AO120">
        <f>_xlfn.PERCENTILE.INC(INDEX($W$4:$W$263,MATCH(SPC!$B$13,IF(Setup!$B$11="Weekly",'SPC Backing (Hide)'!$B$4:$B$263,'SPC Backing (Hide)'!$E$4:$E$263),0),1):INDEX($W$4:$W$263,MATCH(SPC!$B$14,IF(Setup!$B$11="Weekly",'SPC Backing (Hide)'!$B$4:$B$263,'SPC Backing (Hide)'!$E$4:$E$263),0),1),'SPC Backing (Hide)'!$AO$3)</f>
        <v>136.10000000000002</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0">
        <f t="shared" si="30"/>
        <v>33.44999999999996</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137.58333333333334</v>
      </c>
      <c r="Y121" cm="1">
        <f t="array" ref="Y121">ABS(INDEX($F$4:$U$263,ROW(A118),MATCH($X$2,$F$3:$U$3,0))-INDEX($F$4:$U$263,ROW(A117),MATCH($X$2,$F$3:$U$3,0)))</f>
        <v>0</v>
      </c>
      <c r="Z121">
        <f>AVERAGE(INDEX($Y$4:$Y$263,MATCH(SPC!$B$13,IF(Setup!$B$11="Weekly",'SPC Backing (Hide)'!$B$4:$B$263,'SPC Backing (Hide)'!$E$4:$E$263),0)):INDEX($Y$4:$Y$263,MATCH(SPC!$B$14,IF(Setup!$B$11="Weekly",'SPC Backing (Hide)'!$B$4:$B$263,'SPC Backing (Hide)'!$E$4:$E$263),0),1))</f>
        <v>18.416666666666668</v>
      </c>
      <c r="AA121">
        <f t="shared" si="17"/>
        <v>16.326832151300238</v>
      </c>
      <c r="AB121">
        <f t="shared" si="18"/>
        <v>88.60283687943263</v>
      </c>
      <c r="AC121">
        <f t="shared" si="19"/>
        <v>104.92966903073287</v>
      </c>
      <c r="AD121">
        <f t="shared" si="20"/>
        <v>121.25650118203311</v>
      </c>
      <c r="AE121">
        <f t="shared" si="21"/>
        <v>153.91016548463358</v>
      </c>
      <c r="AF121">
        <f t="shared" si="22"/>
        <v>170.23699763593382</v>
      </c>
      <c r="AG121">
        <f t="shared" si="23"/>
        <v>186.56382978723406</v>
      </c>
      <c r="AH121">
        <f t="shared" si="24"/>
        <v>0</v>
      </c>
      <c r="AI121">
        <f t="shared" si="31"/>
        <v>-2</v>
      </c>
      <c r="AJ121">
        <f t="shared" si="25"/>
        <v>0</v>
      </c>
      <c r="AK121">
        <f t="shared" si="26"/>
        <v>0</v>
      </c>
      <c r="AL121" t="e">
        <f t="shared" si="27"/>
        <v>#N/A</v>
      </c>
      <c r="AM121">
        <f t="shared" si="28"/>
        <v>-1</v>
      </c>
      <c r="AN121">
        <f t="shared" si="29"/>
        <v>0</v>
      </c>
      <c r="AO121">
        <f>_xlfn.PERCENTILE.INC(INDEX($W$4:$W$263,MATCH(SPC!$B$13,IF(Setup!$B$11="Weekly",'SPC Backing (Hide)'!$B$4:$B$263,'SPC Backing (Hide)'!$E$4:$E$263),0),1):INDEX($W$4:$W$263,MATCH(SPC!$B$14,IF(Setup!$B$11="Weekly",'SPC Backing (Hide)'!$B$4:$B$263,'SPC Backing (Hide)'!$E$4:$E$263),0),1),'SPC Backing (Hide)'!$AO$3)</f>
        <v>136.10000000000002</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1">
        <f t="shared" si="30"/>
        <v>33.44999999999996</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137.58333333333334</v>
      </c>
      <c r="Y122" cm="1">
        <f t="array" ref="Y122">ABS(INDEX($F$4:$U$263,ROW(A119),MATCH($X$2,$F$3:$U$3,0))-INDEX($F$4:$U$263,ROW(A118),MATCH($X$2,$F$3:$U$3,0)))</f>
        <v>0</v>
      </c>
      <c r="Z122">
        <f>AVERAGE(INDEX($Y$4:$Y$263,MATCH(SPC!$B$13,IF(Setup!$B$11="Weekly",'SPC Backing (Hide)'!$B$4:$B$263,'SPC Backing (Hide)'!$E$4:$E$263),0)):INDEX($Y$4:$Y$263,MATCH(SPC!$B$14,IF(Setup!$B$11="Weekly",'SPC Backing (Hide)'!$B$4:$B$263,'SPC Backing (Hide)'!$E$4:$E$263),0),1))</f>
        <v>18.416666666666668</v>
      </c>
      <c r="AA122">
        <f t="shared" si="17"/>
        <v>16.326832151300238</v>
      </c>
      <c r="AB122">
        <f t="shared" si="18"/>
        <v>88.60283687943263</v>
      </c>
      <c r="AC122">
        <f t="shared" si="19"/>
        <v>104.92966903073287</v>
      </c>
      <c r="AD122">
        <f t="shared" si="20"/>
        <v>121.25650118203311</v>
      </c>
      <c r="AE122">
        <f t="shared" si="21"/>
        <v>153.91016548463358</v>
      </c>
      <c r="AF122">
        <f t="shared" si="22"/>
        <v>170.23699763593382</v>
      </c>
      <c r="AG122">
        <f t="shared" si="23"/>
        <v>186.56382978723406</v>
      </c>
      <c r="AH122">
        <f t="shared" si="24"/>
        <v>0</v>
      </c>
      <c r="AI122">
        <f t="shared" si="31"/>
        <v>-2</v>
      </c>
      <c r="AJ122">
        <f t="shared" si="25"/>
        <v>0</v>
      </c>
      <c r="AK122">
        <f t="shared" si="26"/>
        <v>0</v>
      </c>
      <c r="AL122" t="e">
        <f t="shared" si="27"/>
        <v>#N/A</v>
      </c>
      <c r="AM122">
        <f t="shared" si="28"/>
        <v>-1</v>
      </c>
      <c r="AN122">
        <f t="shared" si="29"/>
        <v>0</v>
      </c>
      <c r="AO122">
        <f>_xlfn.PERCENTILE.INC(INDEX($W$4:$W$263,MATCH(SPC!$B$13,IF(Setup!$B$11="Weekly",'SPC Backing (Hide)'!$B$4:$B$263,'SPC Backing (Hide)'!$E$4:$E$263),0),1):INDEX($W$4:$W$263,MATCH(SPC!$B$14,IF(Setup!$B$11="Weekly",'SPC Backing (Hide)'!$B$4:$B$263,'SPC Backing (Hide)'!$E$4:$E$263),0),1),'SPC Backing (Hide)'!$AO$3)</f>
        <v>136.10000000000002</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2">
        <f t="shared" si="30"/>
        <v>33.44999999999996</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137.58333333333334</v>
      </c>
      <c r="Y123" cm="1">
        <f t="array" ref="Y123">ABS(INDEX($F$4:$U$263,ROW(A120),MATCH($X$2,$F$3:$U$3,0))-INDEX($F$4:$U$263,ROW(A119),MATCH($X$2,$F$3:$U$3,0)))</f>
        <v>0</v>
      </c>
      <c r="Z123">
        <f>AVERAGE(INDEX($Y$4:$Y$263,MATCH(SPC!$B$13,IF(Setup!$B$11="Weekly",'SPC Backing (Hide)'!$B$4:$B$263,'SPC Backing (Hide)'!$E$4:$E$263),0)):INDEX($Y$4:$Y$263,MATCH(SPC!$B$14,IF(Setup!$B$11="Weekly",'SPC Backing (Hide)'!$B$4:$B$263,'SPC Backing (Hide)'!$E$4:$E$263),0),1))</f>
        <v>18.416666666666668</v>
      </c>
      <c r="AA123">
        <f t="shared" si="17"/>
        <v>16.326832151300238</v>
      </c>
      <c r="AB123">
        <f t="shared" si="18"/>
        <v>88.60283687943263</v>
      </c>
      <c r="AC123">
        <f t="shared" si="19"/>
        <v>104.92966903073287</v>
      </c>
      <c r="AD123">
        <f t="shared" si="20"/>
        <v>121.25650118203311</v>
      </c>
      <c r="AE123">
        <f t="shared" si="21"/>
        <v>153.91016548463358</v>
      </c>
      <c r="AF123">
        <f t="shared" si="22"/>
        <v>170.23699763593382</v>
      </c>
      <c r="AG123">
        <f t="shared" si="23"/>
        <v>186.56382978723406</v>
      </c>
      <c r="AH123">
        <f t="shared" si="24"/>
        <v>0</v>
      </c>
      <c r="AI123">
        <f t="shared" si="31"/>
        <v>-2</v>
      </c>
      <c r="AJ123">
        <f t="shared" si="25"/>
        <v>0</v>
      </c>
      <c r="AK123">
        <f t="shared" si="26"/>
        <v>0</v>
      </c>
      <c r="AL123" t="e">
        <f t="shared" si="27"/>
        <v>#N/A</v>
      </c>
      <c r="AM123">
        <f t="shared" si="28"/>
        <v>-1</v>
      </c>
      <c r="AN123">
        <f t="shared" si="29"/>
        <v>0</v>
      </c>
      <c r="AO123">
        <f>_xlfn.PERCENTILE.INC(INDEX($W$4:$W$263,MATCH(SPC!$B$13,IF(Setup!$B$11="Weekly",'SPC Backing (Hide)'!$B$4:$B$263,'SPC Backing (Hide)'!$E$4:$E$263),0),1):INDEX($W$4:$W$263,MATCH(SPC!$B$14,IF(Setup!$B$11="Weekly",'SPC Backing (Hide)'!$B$4:$B$263,'SPC Backing (Hide)'!$E$4:$E$263),0),1),'SPC Backing (Hide)'!$AO$3)</f>
        <v>136.10000000000002</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3">
        <f t="shared" si="30"/>
        <v>33.44999999999996</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137.58333333333334</v>
      </c>
      <c r="Y124" cm="1">
        <f t="array" ref="Y124">ABS(INDEX($F$4:$U$263,ROW(A121),MATCH($X$2,$F$3:$U$3,0))-INDEX($F$4:$U$263,ROW(A120),MATCH($X$2,$F$3:$U$3,0)))</f>
        <v>0</v>
      </c>
      <c r="Z124">
        <f>AVERAGE(INDEX($Y$4:$Y$263,MATCH(SPC!$B$13,IF(Setup!$B$11="Weekly",'SPC Backing (Hide)'!$B$4:$B$263,'SPC Backing (Hide)'!$E$4:$E$263),0)):INDEX($Y$4:$Y$263,MATCH(SPC!$B$14,IF(Setup!$B$11="Weekly",'SPC Backing (Hide)'!$B$4:$B$263,'SPC Backing (Hide)'!$E$4:$E$263),0),1))</f>
        <v>18.416666666666668</v>
      </c>
      <c r="AA124">
        <f t="shared" si="17"/>
        <v>16.326832151300238</v>
      </c>
      <c r="AB124">
        <f t="shared" si="18"/>
        <v>88.60283687943263</v>
      </c>
      <c r="AC124">
        <f t="shared" si="19"/>
        <v>104.92966903073287</v>
      </c>
      <c r="AD124">
        <f t="shared" si="20"/>
        <v>121.25650118203311</v>
      </c>
      <c r="AE124">
        <f t="shared" si="21"/>
        <v>153.91016548463358</v>
      </c>
      <c r="AF124">
        <f t="shared" si="22"/>
        <v>170.23699763593382</v>
      </c>
      <c r="AG124">
        <f t="shared" si="23"/>
        <v>186.56382978723406</v>
      </c>
      <c r="AH124">
        <f t="shared" si="24"/>
        <v>0</v>
      </c>
      <c r="AI124">
        <f t="shared" si="31"/>
        <v>-2</v>
      </c>
      <c r="AJ124">
        <f t="shared" si="25"/>
        <v>0</v>
      </c>
      <c r="AK124">
        <f t="shared" si="26"/>
        <v>0</v>
      </c>
      <c r="AL124" t="e">
        <f t="shared" si="27"/>
        <v>#N/A</v>
      </c>
      <c r="AM124">
        <f t="shared" si="28"/>
        <v>-1</v>
      </c>
      <c r="AN124">
        <f t="shared" si="29"/>
        <v>0</v>
      </c>
      <c r="AO124">
        <f>_xlfn.PERCENTILE.INC(INDEX($W$4:$W$263,MATCH(SPC!$B$13,IF(Setup!$B$11="Weekly",'SPC Backing (Hide)'!$B$4:$B$263,'SPC Backing (Hide)'!$E$4:$E$263),0),1):INDEX($W$4:$W$263,MATCH(SPC!$B$14,IF(Setup!$B$11="Weekly",'SPC Backing (Hide)'!$B$4:$B$263,'SPC Backing (Hide)'!$E$4:$E$263),0),1),'SPC Backing (Hide)'!$AO$3)</f>
        <v>136.10000000000002</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4">
        <f t="shared" si="30"/>
        <v>33.44999999999996</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137.58333333333334</v>
      </c>
      <c r="Y125" cm="1">
        <f t="array" ref="Y125">ABS(INDEX($F$4:$U$263,ROW(A122),MATCH($X$2,$F$3:$U$3,0))-INDEX($F$4:$U$263,ROW(A121),MATCH($X$2,$F$3:$U$3,0)))</f>
        <v>0</v>
      </c>
      <c r="Z125">
        <f>AVERAGE(INDEX($Y$4:$Y$263,MATCH(SPC!$B$13,IF(Setup!$B$11="Weekly",'SPC Backing (Hide)'!$B$4:$B$263,'SPC Backing (Hide)'!$E$4:$E$263),0)):INDEX($Y$4:$Y$263,MATCH(SPC!$B$14,IF(Setup!$B$11="Weekly",'SPC Backing (Hide)'!$B$4:$B$263,'SPC Backing (Hide)'!$E$4:$E$263),0),1))</f>
        <v>18.416666666666668</v>
      </c>
      <c r="AA125">
        <f t="shared" si="17"/>
        <v>16.326832151300238</v>
      </c>
      <c r="AB125">
        <f t="shared" si="18"/>
        <v>88.60283687943263</v>
      </c>
      <c r="AC125">
        <f t="shared" si="19"/>
        <v>104.92966903073287</v>
      </c>
      <c r="AD125">
        <f t="shared" si="20"/>
        <v>121.25650118203311</v>
      </c>
      <c r="AE125">
        <f t="shared" si="21"/>
        <v>153.91016548463358</v>
      </c>
      <c r="AF125">
        <f t="shared" si="22"/>
        <v>170.23699763593382</v>
      </c>
      <c r="AG125">
        <f t="shared" si="23"/>
        <v>186.56382978723406</v>
      </c>
      <c r="AH125">
        <f t="shared" si="24"/>
        <v>0</v>
      </c>
      <c r="AI125">
        <f t="shared" si="31"/>
        <v>-2</v>
      </c>
      <c r="AJ125">
        <f t="shared" si="25"/>
        <v>0</v>
      </c>
      <c r="AK125">
        <f t="shared" si="26"/>
        <v>0</v>
      </c>
      <c r="AL125" t="e">
        <f t="shared" si="27"/>
        <v>#N/A</v>
      </c>
      <c r="AM125">
        <f t="shared" si="28"/>
        <v>-1</v>
      </c>
      <c r="AN125">
        <f t="shared" si="29"/>
        <v>0</v>
      </c>
      <c r="AO125">
        <f>_xlfn.PERCENTILE.INC(INDEX($W$4:$W$263,MATCH(SPC!$B$13,IF(Setup!$B$11="Weekly",'SPC Backing (Hide)'!$B$4:$B$263,'SPC Backing (Hide)'!$E$4:$E$263),0),1):INDEX($W$4:$W$263,MATCH(SPC!$B$14,IF(Setup!$B$11="Weekly",'SPC Backing (Hide)'!$B$4:$B$263,'SPC Backing (Hide)'!$E$4:$E$263),0),1),'SPC Backing (Hide)'!$AO$3)</f>
        <v>136.10000000000002</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5">
        <f t="shared" si="30"/>
        <v>33.44999999999996</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137.58333333333334</v>
      </c>
      <c r="Y126" cm="1">
        <f t="array" ref="Y126">ABS(INDEX($F$4:$U$263,ROW(A123),MATCH($X$2,$F$3:$U$3,0))-INDEX($F$4:$U$263,ROW(A122),MATCH($X$2,$F$3:$U$3,0)))</f>
        <v>0</v>
      </c>
      <c r="Z126">
        <f>AVERAGE(INDEX($Y$4:$Y$263,MATCH(SPC!$B$13,IF(Setup!$B$11="Weekly",'SPC Backing (Hide)'!$B$4:$B$263,'SPC Backing (Hide)'!$E$4:$E$263),0)):INDEX($Y$4:$Y$263,MATCH(SPC!$B$14,IF(Setup!$B$11="Weekly",'SPC Backing (Hide)'!$B$4:$B$263,'SPC Backing (Hide)'!$E$4:$E$263),0),1))</f>
        <v>18.416666666666668</v>
      </c>
      <c r="AA126">
        <f t="shared" si="17"/>
        <v>16.326832151300238</v>
      </c>
      <c r="AB126">
        <f t="shared" si="18"/>
        <v>88.60283687943263</v>
      </c>
      <c r="AC126">
        <f t="shared" si="19"/>
        <v>104.92966903073287</v>
      </c>
      <c r="AD126">
        <f t="shared" si="20"/>
        <v>121.25650118203311</v>
      </c>
      <c r="AE126">
        <f t="shared" si="21"/>
        <v>153.91016548463358</v>
      </c>
      <c r="AF126">
        <f t="shared" si="22"/>
        <v>170.23699763593382</v>
      </c>
      <c r="AG126">
        <f t="shared" si="23"/>
        <v>186.56382978723406</v>
      </c>
      <c r="AH126">
        <f t="shared" si="24"/>
        <v>0</v>
      </c>
      <c r="AI126">
        <f t="shared" si="31"/>
        <v>-2</v>
      </c>
      <c r="AJ126">
        <f t="shared" si="25"/>
        <v>0</v>
      </c>
      <c r="AK126">
        <f t="shared" si="26"/>
        <v>0</v>
      </c>
      <c r="AL126" t="e">
        <f t="shared" si="27"/>
        <v>#N/A</v>
      </c>
      <c r="AM126">
        <f t="shared" si="28"/>
        <v>-1</v>
      </c>
      <c r="AN126">
        <f t="shared" si="29"/>
        <v>0</v>
      </c>
      <c r="AO126">
        <f>_xlfn.PERCENTILE.INC(INDEX($W$4:$W$263,MATCH(SPC!$B$13,IF(Setup!$B$11="Weekly",'SPC Backing (Hide)'!$B$4:$B$263,'SPC Backing (Hide)'!$E$4:$E$263),0),1):INDEX($W$4:$W$263,MATCH(SPC!$B$14,IF(Setup!$B$11="Weekly",'SPC Backing (Hide)'!$B$4:$B$263,'SPC Backing (Hide)'!$E$4:$E$263),0),1),'SPC Backing (Hide)'!$AO$3)</f>
        <v>136.10000000000002</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6">
        <f t="shared" si="30"/>
        <v>33.44999999999996</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137.58333333333334</v>
      </c>
      <c r="Y127" cm="1">
        <f t="array" ref="Y127">ABS(INDEX($F$4:$U$263,ROW(A124),MATCH($X$2,$F$3:$U$3,0))-INDEX($F$4:$U$263,ROW(A123),MATCH($X$2,$F$3:$U$3,0)))</f>
        <v>0</v>
      </c>
      <c r="Z127">
        <f>AVERAGE(INDEX($Y$4:$Y$263,MATCH(SPC!$B$13,IF(Setup!$B$11="Weekly",'SPC Backing (Hide)'!$B$4:$B$263,'SPC Backing (Hide)'!$E$4:$E$263),0)):INDEX($Y$4:$Y$263,MATCH(SPC!$B$14,IF(Setup!$B$11="Weekly",'SPC Backing (Hide)'!$B$4:$B$263,'SPC Backing (Hide)'!$E$4:$E$263),0),1))</f>
        <v>18.416666666666668</v>
      </c>
      <c r="AA127">
        <f t="shared" si="17"/>
        <v>16.326832151300238</v>
      </c>
      <c r="AB127">
        <f t="shared" si="18"/>
        <v>88.60283687943263</v>
      </c>
      <c r="AC127">
        <f t="shared" si="19"/>
        <v>104.92966903073287</v>
      </c>
      <c r="AD127">
        <f t="shared" si="20"/>
        <v>121.25650118203311</v>
      </c>
      <c r="AE127">
        <f t="shared" si="21"/>
        <v>153.91016548463358</v>
      </c>
      <c r="AF127">
        <f t="shared" si="22"/>
        <v>170.23699763593382</v>
      </c>
      <c r="AG127">
        <f t="shared" si="23"/>
        <v>186.56382978723406</v>
      </c>
      <c r="AH127">
        <f t="shared" si="24"/>
        <v>0</v>
      </c>
      <c r="AI127">
        <f t="shared" si="31"/>
        <v>-2</v>
      </c>
      <c r="AJ127">
        <f t="shared" si="25"/>
        <v>0</v>
      </c>
      <c r="AK127">
        <f t="shared" si="26"/>
        <v>0</v>
      </c>
      <c r="AL127" t="e">
        <f t="shared" si="27"/>
        <v>#N/A</v>
      </c>
      <c r="AM127">
        <f t="shared" si="28"/>
        <v>-1</v>
      </c>
      <c r="AN127">
        <f t="shared" si="29"/>
        <v>0</v>
      </c>
      <c r="AO127">
        <f>_xlfn.PERCENTILE.INC(INDEX($W$4:$W$263,MATCH(SPC!$B$13,IF(Setup!$B$11="Weekly",'SPC Backing (Hide)'!$B$4:$B$263,'SPC Backing (Hide)'!$E$4:$E$263),0),1):INDEX($W$4:$W$263,MATCH(SPC!$B$14,IF(Setup!$B$11="Weekly",'SPC Backing (Hide)'!$B$4:$B$263,'SPC Backing (Hide)'!$E$4:$E$263),0),1),'SPC Backing (Hide)'!$AO$3)</f>
        <v>136.10000000000002</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7">
        <f t="shared" si="30"/>
        <v>33.44999999999996</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137.58333333333334</v>
      </c>
      <c r="Y128" cm="1">
        <f t="array" ref="Y128">ABS(INDEX($F$4:$U$263,ROW(A125),MATCH($X$2,$F$3:$U$3,0))-INDEX($F$4:$U$263,ROW(A124),MATCH($X$2,$F$3:$U$3,0)))</f>
        <v>0</v>
      </c>
      <c r="Z128">
        <f>AVERAGE(INDEX($Y$4:$Y$263,MATCH(SPC!$B$13,IF(Setup!$B$11="Weekly",'SPC Backing (Hide)'!$B$4:$B$263,'SPC Backing (Hide)'!$E$4:$E$263),0)):INDEX($Y$4:$Y$263,MATCH(SPC!$B$14,IF(Setup!$B$11="Weekly",'SPC Backing (Hide)'!$B$4:$B$263,'SPC Backing (Hide)'!$E$4:$E$263),0),1))</f>
        <v>18.416666666666668</v>
      </c>
      <c r="AA128">
        <f t="shared" si="17"/>
        <v>16.326832151300238</v>
      </c>
      <c r="AB128">
        <f t="shared" si="18"/>
        <v>88.60283687943263</v>
      </c>
      <c r="AC128">
        <f t="shared" si="19"/>
        <v>104.92966903073287</v>
      </c>
      <c r="AD128">
        <f t="shared" si="20"/>
        <v>121.25650118203311</v>
      </c>
      <c r="AE128">
        <f t="shared" si="21"/>
        <v>153.91016548463358</v>
      </c>
      <c r="AF128">
        <f t="shared" si="22"/>
        <v>170.23699763593382</v>
      </c>
      <c r="AG128">
        <f t="shared" si="23"/>
        <v>186.56382978723406</v>
      </c>
      <c r="AH128">
        <f t="shared" si="24"/>
        <v>0</v>
      </c>
      <c r="AI128">
        <f t="shared" si="31"/>
        <v>-2</v>
      </c>
      <c r="AJ128">
        <f t="shared" si="25"/>
        <v>0</v>
      </c>
      <c r="AK128">
        <f t="shared" si="26"/>
        <v>0</v>
      </c>
      <c r="AL128" t="e">
        <f t="shared" si="27"/>
        <v>#N/A</v>
      </c>
      <c r="AM128">
        <f t="shared" si="28"/>
        <v>-1</v>
      </c>
      <c r="AN128">
        <f t="shared" si="29"/>
        <v>0</v>
      </c>
      <c r="AO128">
        <f>_xlfn.PERCENTILE.INC(INDEX($W$4:$W$263,MATCH(SPC!$B$13,IF(Setup!$B$11="Weekly",'SPC Backing (Hide)'!$B$4:$B$263,'SPC Backing (Hide)'!$E$4:$E$263),0),1):INDEX($W$4:$W$263,MATCH(SPC!$B$14,IF(Setup!$B$11="Weekly",'SPC Backing (Hide)'!$B$4:$B$263,'SPC Backing (Hide)'!$E$4:$E$263),0),1),'SPC Backing (Hide)'!$AO$3)</f>
        <v>136.10000000000002</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8">
        <f t="shared" si="30"/>
        <v>33.44999999999996</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137.58333333333334</v>
      </c>
      <c r="Y129" cm="1">
        <f t="array" ref="Y129">ABS(INDEX($F$4:$U$263,ROW(A126),MATCH($X$2,$F$3:$U$3,0))-INDEX($F$4:$U$263,ROW(A125),MATCH($X$2,$F$3:$U$3,0)))</f>
        <v>0</v>
      </c>
      <c r="Z129">
        <f>AVERAGE(INDEX($Y$4:$Y$263,MATCH(SPC!$B$13,IF(Setup!$B$11="Weekly",'SPC Backing (Hide)'!$B$4:$B$263,'SPC Backing (Hide)'!$E$4:$E$263),0)):INDEX($Y$4:$Y$263,MATCH(SPC!$B$14,IF(Setup!$B$11="Weekly",'SPC Backing (Hide)'!$B$4:$B$263,'SPC Backing (Hide)'!$E$4:$E$263),0),1))</f>
        <v>18.416666666666668</v>
      </c>
      <c r="AA129">
        <f t="shared" si="17"/>
        <v>16.326832151300238</v>
      </c>
      <c r="AB129">
        <f t="shared" si="18"/>
        <v>88.60283687943263</v>
      </c>
      <c r="AC129">
        <f t="shared" si="19"/>
        <v>104.92966903073287</v>
      </c>
      <c r="AD129">
        <f t="shared" si="20"/>
        <v>121.25650118203311</v>
      </c>
      <c r="AE129">
        <f t="shared" si="21"/>
        <v>153.91016548463358</v>
      </c>
      <c r="AF129">
        <f t="shared" si="22"/>
        <v>170.23699763593382</v>
      </c>
      <c r="AG129">
        <f t="shared" si="23"/>
        <v>186.56382978723406</v>
      </c>
      <c r="AH129">
        <f t="shared" si="24"/>
        <v>0</v>
      </c>
      <c r="AI129">
        <f t="shared" si="31"/>
        <v>-2</v>
      </c>
      <c r="AJ129">
        <f t="shared" si="25"/>
        <v>0</v>
      </c>
      <c r="AK129">
        <f t="shared" si="26"/>
        <v>0</v>
      </c>
      <c r="AL129" t="e">
        <f t="shared" si="27"/>
        <v>#N/A</v>
      </c>
      <c r="AM129">
        <f t="shared" si="28"/>
        <v>-1</v>
      </c>
      <c r="AN129">
        <f t="shared" si="29"/>
        <v>0</v>
      </c>
      <c r="AO129">
        <f>_xlfn.PERCENTILE.INC(INDEX($W$4:$W$263,MATCH(SPC!$B$13,IF(Setup!$B$11="Weekly",'SPC Backing (Hide)'!$B$4:$B$263,'SPC Backing (Hide)'!$E$4:$E$263),0),1):INDEX($W$4:$W$263,MATCH(SPC!$B$14,IF(Setup!$B$11="Weekly",'SPC Backing (Hide)'!$B$4:$B$263,'SPC Backing (Hide)'!$E$4:$E$263),0),1),'SPC Backing (Hide)'!$AO$3)</f>
        <v>136.10000000000002</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29">
        <f t="shared" si="30"/>
        <v>33.44999999999996</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137.58333333333334</v>
      </c>
      <c r="Y130" cm="1">
        <f t="array" ref="Y130">ABS(INDEX($F$4:$U$263,ROW(A127),MATCH($X$2,$F$3:$U$3,0))-INDEX($F$4:$U$263,ROW(A126),MATCH($X$2,$F$3:$U$3,0)))</f>
        <v>0</v>
      </c>
      <c r="Z130">
        <f>AVERAGE(INDEX($Y$4:$Y$263,MATCH(SPC!$B$13,IF(Setup!$B$11="Weekly",'SPC Backing (Hide)'!$B$4:$B$263,'SPC Backing (Hide)'!$E$4:$E$263),0)):INDEX($Y$4:$Y$263,MATCH(SPC!$B$14,IF(Setup!$B$11="Weekly",'SPC Backing (Hide)'!$B$4:$B$263,'SPC Backing (Hide)'!$E$4:$E$263),0),1))</f>
        <v>18.416666666666668</v>
      </c>
      <c r="AA130">
        <f t="shared" si="17"/>
        <v>16.326832151300238</v>
      </c>
      <c r="AB130">
        <f t="shared" si="18"/>
        <v>88.60283687943263</v>
      </c>
      <c r="AC130">
        <f t="shared" si="19"/>
        <v>104.92966903073287</v>
      </c>
      <c r="AD130">
        <f t="shared" si="20"/>
        <v>121.25650118203311</v>
      </c>
      <c r="AE130">
        <f t="shared" si="21"/>
        <v>153.91016548463358</v>
      </c>
      <c r="AF130">
        <f t="shared" si="22"/>
        <v>170.23699763593382</v>
      </c>
      <c r="AG130">
        <f t="shared" si="23"/>
        <v>186.56382978723406</v>
      </c>
      <c r="AH130">
        <f t="shared" si="24"/>
        <v>0</v>
      </c>
      <c r="AI130">
        <f t="shared" si="31"/>
        <v>-2</v>
      </c>
      <c r="AJ130">
        <f t="shared" si="25"/>
        <v>0</v>
      </c>
      <c r="AK130">
        <f t="shared" si="26"/>
        <v>0</v>
      </c>
      <c r="AL130" t="e">
        <f t="shared" si="27"/>
        <v>#N/A</v>
      </c>
      <c r="AM130">
        <f t="shared" si="28"/>
        <v>-1</v>
      </c>
      <c r="AN130">
        <f t="shared" si="29"/>
        <v>0</v>
      </c>
      <c r="AO130">
        <f>_xlfn.PERCENTILE.INC(INDEX($W$4:$W$263,MATCH(SPC!$B$13,IF(Setup!$B$11="Weekly",'SPC Backing (Hide)'!$B$4:$B$263,'SPC Backing (Hide)'!$E$4:$E$263),0),1):INDEX($W$4:$W$263,MATCH(SPC!$B$14,IF(Setup!$B$11="Weekly",'SPC Backing (Hide)'!$B$4:$B$263,'SPC Backing (Hide)'!$E$4:$E$263),0),1),'SPC Backing (Hide)'!$AO$3)</f>
        <v>136.10000000000002</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0">
        <f t="shared" si="30"/>
        <v>33.44999999999996</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137.58333333333334</v>
      </c>
      <c r="Y131" cm="1">
        <f t="array" ref="Y131">ABS(INDEX($F$4:$U$263,ROW(A128),MATCH($X$2,$F$3:$U$3,0))-INDEX($F$4:$U$263,ROW(A127),MATCH($X$2,$F$3:$U$3,0)))</f>
        <v>0</v>
      </c>
      <c r="Z131">
        <f>AVERAGE(INDEX($Y$4:$Y$263,MATCH(SPC!$B$13,IF(Setup!$B$11="Weekly",'SPC Backing (Hide)'!$B$4:$B$263,'SPC Backing (Hide)'!$E$4:$E$263),0)):INDEX($Y$4:$Y$263,MATCH(SPC!$B$14,IF(Setup!$B$11="Weekly",'SPC Backing (Hide)'!$B$4:$B$263,'SPC Backing (Hide)'!$E$4:$E$263),0),1))</f>
        <v>18.416666666666668</v>
      </c>
      <c r="AA131">
        <f t="shared" si="17"/>
        <v>16.326832151300238</v>
      </c>
      <c r="AB131">
        <f t="shared" si="18"/>
        <v>88.60283687943263</v>
      </c>
      <c r="AC131">
        <f t="shared" si="19"/>
        <v>104.92966903073287</v>
      </c>
      <c r="AD131">
        <f t="shared" si="20"/>
        <v>121.25650118203311</v>
      </c>
      <c r="AE131">
        <f t="shared" si="21"/>
        <v>153.91016548463358</v>
      </c>
      <c r="AF131">
        <f t="shared" si="22"/>
        <v>170.23699763593382</v>
      </c>
      <c r="AG131">
        <f t="shared" si="23"/>
        <v>186.56382978723406</v>
      </c>
      <c r="AH131">
        <f t="shared" si="24"/>
        <v>0</v>
      </c>
      <c r="AI131">
        <f t="shared" si="31"/>
        <v>-2</v>
      </c>
      <c r="AJ131">
        <f t="shared" si="25"/>
        <v>0</v>
      </c>
      <c r="AK131">
        <f t="shared" si="26"/>
        <v>0</v>
      </c>
      <c r="AL131" t="e">
        <f t="shared" si="27"/>
        <v>#N/A</v>
      </c>
      <c r="AM131">
        <f t="shared" si="28"/>
        <v>-1</v>
      </c>
      <c r="AN131">
        <f t="shared" si="29"/>
        <v>0</v>
      </c>
      <c r="AO131">
        <f>_xlfn.PERCENTILE.INC(INDEX($W$4:$W$263,MATCH(SPC!$B$13,IF(Setup!$B$11="Weekly",'SPC Backing (Hide)'!$B$4:$B$263,'SPC Backing (Hide)'!$E$4:$E$263),0),1):INDEX($W$4:$W$263,MATCH(SPC!$B$14,IF(Setup!$B$11="Weekly",'SPC Backing (Hide)'!$B$4:$B$263,'SPC Backing (Hide)'!$E$4:$E$263),0),1),'SPC Backing (Hide)'!$AO$3)</f>
        <v>136.10000000000002</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1">
        <f t="shared" si="30"/>
        <v>33.44999999999996</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137.58333333333334</v>
      </c>
      <c r="Y132" cm="1">
        <f t="array" ref="Y132">ABS(INDEX($F$4:$U$263,ROW(A129),MATCH($X$2,$F$3:$U$3,0))-INDEX($F$4:$U$263,ROW(A128),MATCH($X$2,$F$3:$U$3,0)))</f>
        <v>0</v>
      </c>
      <c r="Z132">
        <f>AVERAGE(INDEX($Y$4:$Y$263,MATCH(SPC!$B$13,IF(Setup!$B$11="Weekly",'SPC Backing (Hide)'!$B$4:$B$263,'SPC Backing (Hide)'!$E$4:$E$263),0)):INDEX($Y$4:$Y$263,MATCH(SPC!$B$14,IF(Setup!$B$11="Weekly",'SPC Backing (Hide)'!$B$4:$B$263,'SPC Backing (Hide)'!$E$4:$E$263),0),1))</f>
        <v>18.416666666666668</v>
      </c>
      <c r="AA132">
        <f t="shared" si="17"/>
        <v>16.326832151300238</v>
      </c>
      <c r="AB132">
        <f t="shared" si="18"/>
        <v>88.60283687943263</v>
      </c>
      <c r="AC132">
        <f t="shared" si="19"/>
        <v>104.92966903073287</v>
      </c>
      <c r="AD132">
        <f t="shared" si="20"/>
        <v>121.25650118203311</v>
      </c>
      <c r="AE132">
        <f t="shared" si="21"/>
        <v>153.91016548463358</v>
      </c>
      <c r="AF132">
        <f t="shared" si="22"/>
        <v>170.23699763593382</v>
      </c>
      <c r="AG132">
        <f t="shared" si="23"/>
        <v>186.56382978723406</v>
      </c>
      <c r="AH132">
        <f t="shared" si="24"/>
        <v>0</v>
      </c>
      <c r="AI132">
        <f t="shared" si="31"/>
        <v>-2</v>
      </c>
      <c r="AJ132">
        <f t="shared" si="25"/>
        <v>0</v>
      </c>
      <c r="AK132">
        <f t="shared" si="26"/>
        <v>0</v>
      </c>
      <c r="AL132" t="e">
        <f t="shared" si="27"/>
        <v>#N/A</v>
      </c>
      <c r="AM132">
        <f t="shared" si="28"/>
        <v>-1</v>
      </c>
      <c r="AN132">
        <f t="shared" si="29"/>
        <v>0</v>
      </c>
      <c r="AO132">
        <f>_xlfn.PERCENTILE.INC(INDEX($W$4:$W$263,MATCH(SPC!$B$13,IF(Setup!$B$11="Weekly",'SPC Backing (Hide)'!$B$4:$B$263,'SPC Backing (Hide)'!$E$4:$E$263),0),1):INDEX($W$4:$W$263,MATCH(SPC!$B$14,IF(Setup!$B$11="Weekly",'SPC Backing (Hide)'!$B$4:$B$263,'SPC Backing (Hide)'!$E$4:$E$263),0),1),'SPC Backing (Hide)'!$AO$3)</f>
        <v>136.10000000000002</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2">
        <f t="shared" si="30"/>
        <v>33.44999999999996</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137.58333333333334</v>
      </c>
      <c r="Y133" cm="1">
        <f t="array" ref="Y133">ABS(INDEX($F$4:$U$263,ROW(A130),MATCH($X$2,$F$3:$U$3,0))-INDEX($F$4:$U$263,ROW(A129),MATCH($X$2,$F$3:$U$3,0)))</f>
        <v>0</v>
      </c>
      <c r="Z133">
        <f>AVERAGE(INDEX($Y$4:$Y$263,MATCH(SPC!$B$13,IF(Setup!$B$11="Weekly",'SPC Backing (Hide)'!$B$4:$B$263,'SPC Backing (Hide)'!$E$4:$E$263),0)):INDEX($Y$4:$Y$263,MATCH(SPC!$B$14,IF(Setup!$B$11="Weekly",'SPC Backing (Hide)'!$B$4:$B$263,'SPC Backing (Hide)'!$E$4:$E$263),0),1))</f>
        <v>18.416666666666668</v>
      </c>
      <c r="AA133">
        <f t="shared" ref="AA133:AA196" si="33">Z133/1.128</f>
        <v>16.326832151300238</v>
      </c>
      <c r="AB133">
        <f t="shared" ref="AB133:AB196" si="34">MAX(0,X133-(3*AA133))</f>
        <v>88.60283687943263</v>
      </c>
      <c r="AC133">
        <f t="shared" ref="AC133:AC196" si="35">MAX(0,X133-(2*AA133))</f>
        <v>104.92966903073287</v>
      </c>
      <c r="AD133">
        <f t="shared" ref="AD133:AD196" si="36">MAX(0,X133-AA133)</f>
        <v>121.25650118203311</v>
      </c>
      <c r="AE133">
        <f t="shared" ref="AE133:AE196" si="37">X133+AA133</f>
        <v>153.91016548463358</v>
      </c>
      <c r="AF133">
        <f t="shared" ref="AF133:AF196" si="38">X133+(2*AA133)</f>
        <v>170.23699763593382</v>
      </c>
      <c r="AG133">
        <f t="shared" ref="AG133:AG196" si="39">X133+(3*AA133)</f>
        <v>186.56382978723406</v>
      </c>
      <c r="AH133">
        <f t="shared" ref="AH133:AH196" si="40">IF(OR(W133&gt;AG133,W133&lt;AB133),W133,NA())</f>
        <v>0</v>
      </c>
      <c r="AI133">
        <f t="shared" si="31"/>
        <v>-2</v>
      </c>
      <c r="AJ133">
        <f t="shared" ref="AJ133:AJ196" si="41">IF(ABS(SUM(AI133:AI135))&gt;=5,W133,NA())</f>
        <v>0</v>
      </c>
      <c r="AK133">
        <f t="shared" ref="AK133:AK196" si="42">IF(W134&gt;W133,1,IF(W134&lt;W133,-1,0))</f>
        <v>0</v>
      </c>
      <c r="AL133" t="e">
        <f t="shared" ref="AL133:AL196" si="43">IF(ABS(SUM(AK133:AK138))=6,W133,NA())</f>
        <v>#N/A</v>
      </c>
      <c r="AM133">
        <f t="shared" ref="AM133:AM196" si="44">IF(W133&lt;X133,-1,IF(W133&gt;X133,1,0))</f>
        <v>-1</v>
      </c>
      <c r="AN133">
        <f t="shared" ref="AN133:AN196" si="45">IF(ABS(SUM(AM133:AM141))=9,W133,NA())</f>
        <v>0</v>
      </c>
      <c r="AO133">
        <f>_xlfn.PERCENTILE.INC(INDEX($W$4:$W$263,MATCH(SPC!$B$13,IF(Setup!$B$11="Weekly",'SPC Backing (Hide)'!$B$4:$B$263,'SPC Backing (Hide)'!$E$4:$E$263),0),1):INDEX($W$4:$W$263,MATCH(SPC!$B$14,IF(Setup!$B$11="Weekly",'SPC Backing (Hide)'!$B$4:$B$263,'SPC Backing (Hide)'!$E$4:$E$263),0),1),'SPC Backing (Hide)'!$AO$3)</f>
        <v>136.10000000000002</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3">
        <f t="shared" ref="AQ133:AQ196" si="46">AP133-AO133</f>
        <v>33.44999999999996</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137.58333333333334</v>
      </c>
      <c r="Y134" cm="1">
        <f t="array" ref="Y134">ABS(INDEX($F$4:$U$263,ROW(A131),MATCH($X$2,$F$3:$U$3,0))-INDEX($F$4:$U$263,ROW(A130),MATCH($X$2,$F$3:$U$3,0)))</f>
        <v>0</v>
      </c>
      <c r="Z134">
        <f>AVERAGE(INDEX($Y$4:$Y$263,MATCH(SPC!$B$13,IF(Setup!$B$11="Weekly",'SPC Backing (Hide)'!$B$4:$B$263,'SPC Backing (Hide)'!$E$4:$E$263),0)):INDEX($Y$4:$Y$263,MATCH(SPC!$B$14,IF(Setup!$B$11="Weekly",'SPC Backing (Hide)'!$B$4:$B$263,'SPC Backing (Hide)'!$E$4:$E$263),0),1))</f>
        <v>18.416666666666668</v>
      </c>
      <c r="AA134">
        <f t="shared" si="33"/>
        <v>16.326832151300238</v>
      </c>
      <c r="AB134">
        <f t="shared" si="34"/>
        <v>88.60283687943263</v>
      </c>
      <c r="AC134">
        <f t="shared" si="35"/>
        <v>104.92966903073287</v>
      </c>
      <c r="AD134">
        <f t="shared" si="36"/>
        <v>121.25650118203311</v>
      </c>
      <c r="AE134">
        <f t="shared" si="37"/>
        <v>153.91016548463358</v>
      </c>
      <c r="AF134">
        <f t="shared" si="38"/>
        <v>170.23699763593382</v>
      </c>
      <c r="AG134">
        <f t="shared" si="39"/>
        <v>186.56382978723406</v>
      </c>
      <c r="AH134">
        <f t="shared" si="40"/>
        <v>0</v>
      </c>
      <c r="AI134">
        <f t="shared" ref="AI134:AI197" si="47">IF(W134&gt;AF134,2,IF(W134&lt;AC134,-2,IF(W134&gt;X134,1,IF(W134&lt;X134,-1,0))))</f>
        <v>-2</v>
      </c>
      <c r="AJ134">
        <f t="shared" si="41"/>
        <v>0</v>
      </c>
      <c r="AK134">
        <f t="shared" si="42"/>
        <v>0</v>
      </c>
      <c r="AL134" t="e">
        <f t="shared" si="43"/>
        <v>#N/A</v>
      </c>
      <c r="AM134">
        <f t="shared" si="44"/>
        <v>-1</v>
      </c>
      <c r="AN134">
        <f t="shared" si="45"/>
        <v>0</v>
      </c>
      <c r="AO134">
        <f>_xlfn.PERCENTILE.INC(INDEX($W$4:$W$263,MATCH(SPC!$B$13,IF(Setup!$B$11="Weekly",'SPC Backing (Hide)'!$B$4:$B$263,'SPC Backing (Hide)'!$E$4:$E$263),0),1):INDEX($W$4:$W$263,MATCH(SPC!$B$14,IF(Setup!$B$11="Weekly",'SPC Backing (Hide)'!$B$4:$B$263,'SPC Backing (Hide)'!$E$4:$E$263),0),1),'SPC Backing (Hide)'!$AO$3)</f>
        <v>136.10000000000002</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4">
        <f t="shared" si="46"/>
        <v>33.44999999999996</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137.58333333333334</v>
      </c>
      <c r="Y135" cm="1">
        <f t="array" ref="Y135">ABS(INDEX($F$4:$U$263,ROW(A132),MATCH($X$2,$F$3:$U$3,0))-INDEX($F$4:$U$263,ROW(A131),MATCH($X$2,$F$3:$U$3,0)))</f>
        <v>0</v>
      </c>
      <c r="Z135">
        <f>AVERAGE(INDEX($Y$4:$Y$263,MATCH(SPC!$B$13,IF(Setup!$B$11="Weekly",'SPC Backing (Hide)'!$B$4:$B$263,'SPC Backing (Hide)'!$E$4:$E$263),0)):INDEX($Y$4:$Y$263,MATCH(SPC!$B$14,IF(Setup!$B$11="Weekly",'SPC Backing (Hide)'!$B$4:$B$263,'SPC Backing (Hide)'!$E$4:$E$263),0),1))</f>
        <v>18.416666666666668</v>
      </c>
      <c r="AA135">
        <f t="shared" si="33"/>
        <v>16.326832151300238</v>
      </c>
      <c r="AB135">
        <f t="shared" si="34"/>
        <v>88.60283687943263</v>
      </c>
      <c r="AC135">
        <f t="shared" si="35"/>
        <v>104.92966903073287</v>
      </c>
      <c r="AD135">
        <f t="shared" si="36"/>
        <v>121.25650118203311</v>
      </c>
      <c r="AE135">
        <f t="shared" si="37"/>
        <v>153.91016548463358</v>
      </c>
      <c r="AF135">
        <f t="shared" si="38"/>
        <v>170.23699763593382</v>
      </c>
      <c r="AG135">
        <f t="shared" si="39"/>
        <v>186.56382978723406</v>
      </c>
      <c r="AH135">
        <f t="shared" si="40"/>
        <v>0</v>
      </c>
      <c r="AI135">
        <f t="shared" si="47"/>
        <v>-2</v>
      </c>
      <c r="AJ135">
        <f t="shared" si="41"/>
        <v>0</v>
      </c>
      <c r="AK135">
        <f t="shared" si="42"/>
        <v>0</v>
      </c>
      <c r="AL135" t="e">
        <f t="shared" si="43"/>
        <v>#N/A</v>
      </c>
      <c r="AM135">
        <f t="shared" si="44"/>
        <v>-1</v>
      </c>
      <c r="AN135">
        <f t="shared" si="45"/>
        <v>0</v>
      </c>
      <c r="AO135">
        <f>_xlfn.PERCENTILE.INC(INDEX($W$4:$W$263,MATCH(SPC!$B$13,IF(Setup!$B$11="Weekly",'SPC Backing (Hide)'!$B$4:$B$263,'SPC Backing (Hide)'!$E$4:$E$263),0),1):INDEX($W$4:$W$263,MATCH(SPC!$B$14,IF(Setup!$B$11="Weekly",'SPC Backing (Hide)'!$B$4:$B$263,'SPC Backing (Hide)'!$E$4:$E$263),0),1),'SPC Backing (Hide)'!$AO$3)</f>
        <v>136.10000000000002</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5">
        <f t="shared" si="46"/>
        <v>33.44999999999996</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137.58333333333334</v>
      </c>
      <c r="Y136" cm="1">
        <f t="array" ref="Y136">ABS(INDEX($F$4:$U$263,ROW(A133),MATCH($X$2,$F$3:$U$3,0))-INDEX($F$4:$U$263,ROW(A132),MATCH($X$2,$F$3:$U$3,0)))</f>
        <v>0</v>
      </c>
      <c r="Z136">
        <f>AVERAGE(INDEX($Y$4:$Y$263,MATCH(SPC!$B$13,IF(Setup!$B$11="Weekly",'SPC Backing (Hide)'!$B$4:$B$263,'SPC Backing (Hide)'!$E$4:$E$263),0)):INDEX($Y$4:$Y$263,MATCH(SPC!$B$14,IF(Setup!$B$11="Weekly",'SPC Backing (Hide)'!$B$4:$B$263,'SPC Backing (Hide)'!$E$4:$E$263),0),1))</f>
        <v>18.416666666666668</v>
      </c>
      <c r="AA136">
        <f t="shared" si="33"/>
        <v>16.326832151300238</v>
      </c>
      <c r="AB136">
        <f t="shared" si="34"/>
        <v>88.60283687943263</v>
      </c>
      <c r="AC136">
        <f t="shared" si="35"/>
        <v>104.92966903073287</v>
      </c>
      <c r="AD136">
        <f t="shared" si="36"/>
        <v>121.25650118203311</v>
      </c>
      <c r="AE136">
        <f t="shared" si="37"/>
        <v>153.91016548463358</v>
      </c>
      <c r="AF136">
        <f t="shared" si="38"/>
        <v>170.23699763593382</v>
      </c>
      <c r="AG136">
        <f t="shared" si="39"/>
        <v>186.56382978723406</v>
      </c>
      <c r="AH136">
        <f t="shared" si="40"/>
        <v>0</v>
      </c>
      <c r="AI136">
        <f t="shared" si="47"/>
        <v>-2</v>
      </c>
      <c r="AJ136">
        <f t="shared" si="41"/>
        <v>0</v>
      </c>
      <c r="AK136">
        <f t="shared" si="42"/>
        <v>0</v>
      </c>
      <c r="AL136" t="e">
        <f t="shared" si="43"/>
        <v>#N/A</v>
      </c>
      <c r="AM136">
        <f t="shared" si="44"/>
        <v>-1</v>
      </c>
      <c r="AN136">
        <f t="shared" si="45"/>
        <v>0</v>
      </c>
      <c r="AO136">
        <f>_xlfn.PERCENTILE.INC(INDEX($W$4:$W$263,MATCH(SPC!$B$13,IF(Setup!$B$11="Weekly",'SPC Backing (Hide)'!$B$4:$B$263,'SPC Backing (Hide)'!$E$4:$E$263),0),1):INDEX($W$4:$W$263,MATCH(SPC!$B$14,IF(Setup!$B$11="Weekly",'SPC Backing (Hide)'!$B$4:$B$263,'SPC Backing (Hide)'!$E$4:$E$263),0),1),'SPC Backing (Hide)'!$AO$3)</f>
        <v>136.10000000000002</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6">
        <f t="shared" si="46"/>
        <v>33.44999999999996</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137.58333333333334</v>
      </c>
      <c r="Y137" cm="1">
        <f t="array" ref="Y137">ABS(INDEX($F$4:$U$263,ROW(A134),MATCH($X$2,$F$3:$U$3,0))-INDEX($F$4:$U$263,ROW(A133),MATCH($X$2,$F$3:$U$3,0)))</f>
        <v>0</v>
      </c>
      <c r="Z137">
        <f>AVERAGE(INDEX($Y$4:$Y$263,MATCH(SPC!$B$13,IF(Setup!$B$11="Weekly",'SPC Backing (Hide)'!$B$4:$B$263,'SPC Backing (Hide)'!$E$4:$E$263),0)):INDEX($Y$4:$Y$263,MATCH(SPC!$B$14,IF(Setup!$B$11="Weekly",'SPC Backing (Hide)'!$B$4:$B$263,'SPC Backing (Hide)'!$E$4:$E$263),0),1))</f>
        <v>18.416666666666668</v>
      </c>
      <c r="AA137">
        <f t="shared" si="33"/>
        <v>16.326832151300238</v>
      </c>
      <c r="AB137">
        <f t="shared" si="34"/>
        <v>88.60283687943263</v>
      </c>
      <c r="AC137">
        <f t="shared" si="35"/>
        <v>104.92966903073287</v>
      </c>
      <c r="AD137">
        <f t="shared" si="36"/>
        <v>121.25650118203311</v>
      </c>
      <c r="AE137">
        <f t="shared" si="37"/>
        <v>153.91016548463358</v>
      </c>
      <c r="AF137">
        <f t="shared" si="38"/>
        <v>170.23699763593382</v>
      </c>
      <c r="AG137">
        <f t="shared" si="39"/>
        <v>186.56382978723406</v>
      </c>
      <c r="AH137">
        <f t="shared" si="40"/>
        <v>0</v>
      </c>
      <c r="AI137">
        <f t="shared" si="47"/>
        <v>-2</v>
      </c>
      <c r="AJ137">
        <f t="shared" si="41"/>
        <v>0</v>
      </c>
      <c r="AK137">
        <f t="shared" si="42"/>
        <v>0</v>
      </c>
      <c r="AL137" t="e">
        <f t="shared" si="43"/>
        <v>#N/A</v>
      </c>
      <c r="AM137">
        <f t="shared" si="44"/>
        <v>-1</v>
      </c>
      <c r="AN137">
        <f t="shared" si="45"/>
        <v>0</v>
      </c>
      <c r="AO137">
        <f>_xlfn.PERCENTILE.INC(INDEX($W$4:$W$263,MATCH(SPC!$B$13,IF(Setup!$B$11="Weekly",'SPC Backing (Hide)'!$B$4:$B$263,'SPC Backing (Hide)'!$E$4:$E$263),0),1):INDEX($W$4:$W$263,MATCH(SPC!$B$14,IF(Setup!$B$11="Weekly",'SPC Backing (Hide)'!$B$4:$B$263,'SPC Backing (Hide)'!$E$4:$E$263),0),1),'SPC Backing (Hide)'!$AO$3)</f>
        <v>136.10000000000002</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7">
        <f t="shared" si="46"/>
        <v>33.44999999999996</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137.58333333333334</v>
      </c>
      <c r="Y138" cm="1">
        <f t="array" ref="Y138">ABS(INDEX($F$4:$U$263,ROW(A135),MATCH($X$2,$F$3:$U$3,0))-INDEX($F$4:$U$263,ROW(A134),MATCH($X$2,$F$3:$U$3,0)))</f>
        <v>0</v>
      </c>
      <c r="Z138">
        <f>AVERAGE(INDEX($Y$4:$Y$263,MATCH(SPC!$B$13,IF(Setup!$B$11="Weekly",'SPC Backing (Hide)'!$B$4:$B$263,'SPC Backing (Hide)'!$E$4:$E$263),0)):INDEX($Y$4:$Y$263,MATCH(SPC!$B$14,IF(Setup!$B$11="Weekly",'SPC Backing (Hide)'!$B$4:$B$263,'SPC Backing (Hide)'!$E$4:$E$263),0),1))</f>
        <v>18.416666666666668</v>
      </c>
      <c r="AA138">
        <f t="shared" si="33"/>
        <v>16.326832151300238</v>
      </c>
      <c r="AB138">
        <f t="shared" si="34"/>
        <v>88.60283687943263</v>
      </c>
      <c r="AC138">
        <f t="shared" si="35"/>
        <v>104.92966903073287</v>
      </c>
      <c r="AD138">
        <f t="shared" si="36"/>
        <v>121.25650118203311</v>
      </c>
      <c r="AE138">
        <f t="shared" si="37"/>
        <v>153.91016548463358</v>
      </c>
      <c r="AF138">
        <f t="shared" si="38"/>
        <v>170.23699763593382</v>
      </c>
      <c r="AG138">
        <f t="shared" si="39"/>
        <v>186.56382978723406</v>
      </c>
      <c r="AH138">
        <f t="shared" si="40"/>
        <v>0</v>
      </c>
      <c r="AI138">
        <f t="shared" si="47"/>
        <v>-2</v>
      </c>
      <c r="AJ138">
        <f t="shared" si="41"/>
        <v>0</v>
      </c>
      <c r="AK138">
        <f t="shared" si="42"/>
        <v>0</v>
      </c>
      <c r="AL138" t="e">
        <f t="shared" si="43"/>
        <v>#N/A</v>
      </c>
      <c r="AM138">
        <f t="shared" si="44"/>
        <v>-1</v>
      </c>
      <c r="AN138">
        <f t="shared" si="45"/>
        <v>0</v>
      </c>
      <c r="AO138">
        <f>_xlfn.PERCENTILE.INC(INDEX($W$4:$W$263,MATCH(SPC!$B$13,IF(Setup!$B$11="Weekly",'SPC Backing (Hide)'!$B$4:$B$263,'SPC Backing (Hide)'!$E$4:$E$263),0),1):INDEX($W$4:$W$263,MATCH(SPC!$B$14,IF(Setup!$B$11="Weekly",'SPC Backing (Hide)'!$B$4:$B$263,'SPC Backing (Hide)'!$E$4:$E$263),0),1),'SPC Backing (Hide)'!$AO$3)</f>
        <v>136.10000000000002</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8">
        <f t="shared" si="46"/>
        <v>33.44999999999996</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137.58333333333334</v>
      </c>
      <c r="Y139" cm="1">
        <f t="array" ref="Y139">ABS(INDEX($F$4:$U$263,ROW(A136),MATCH($X$2,$F$3:$U$3,0))-INDEX($F$4:$U$263,ROW(A135),MATCH($X$2,$F$3:$U$3,0)))</f>
        <v>0</v>
      </c>
      <c r="Z139">
        <f>AVERAGE(INDEX($Y$4:$Y$263,MATCH(SPC!$B$13,IF(Setup!$B$11="Weekly",'SPC Backing (Hide)'!$B$4:$B$263,'SPC Backing (Hide)'!$E$4:$E$263),0)):INDEX($Y$4:$Y$263,MATCH(SPC!$B$14,IF(Setup!$B$11="Weekly",'SPC Backing (Hide)'!$B$4:$B$263,'SPC Backing (Hide)'!$E$4:$E$263),0),1))</f>
        <v>18.416666666666668</v>
      </c>
      <c r="AA139">
        <f t="shared" si="33"/>
        <v>16.326832151300238</v>
      </c>
      <c r="AB139">
        <f t="shared" si="34"/>
        <v>88.60283687943263</v>
      </c>
      <c r="AC139">
        <f t="shared" si="35"/>
        <v>104.92966903073287</v>
      </c>
      <c r="AD139">
        <f t="shared" si="36"/>
        <v>121.25650118203311</v>
      </c>
      <c r="AE139">
        <f t="shared" si="37"/>
        <v>153.91016548463358</v>
      </c>
      <c r="AF139">
        <f t="shared" si="38"/>
        <v>170.23699763593382</v>
      </c>
      <c r="AG139">
        <f t="shared" si="39"/>
        <v>186.56382978723406</v>
      </c>
      <c r="AH139">
        <f t="shared" si="40"/>
        <v>0</v>
      </c>
      <c r="AI139">
        <f t="shared" si="47"/>
        <v>-2</v>
      </c>
      <c r="AJ139">
        <f t="shared" si="41"/>
        <v>0</v>
      </c>
      <c r="AK139">
        <f t="shared" si="42"/>
        <v>0</v>
      </c>
      <c r="AL139" t="e">
        <f t="shared" si="43"/>
        <v>#N/A</v>
      </c>
      <c r="AM139">
        <f t="shared" si="44"/>
        <v>-1</v>
      </c>
      <c r="AN139">
        <f t="shared" si="45"/>
        <v>0</v>
      </c>
      <c r="AO139">
        <f>_xlfn.PERCENTILE.INC(INDEX($W$4:$W$263,MATCH(SPC!$B$13,IF(Setup!$B$11="Weekly",'SPC Backing (Hide)'!$B$4:$B$263,'SPC Backing (Hide)'!$E$4:$E$263),0),1):INDEX($W$4:$W$263,MATCH(SPC!$B$14,IF(Setup!$B$11="Weekly",'SPC Backing (Hide)'!$B$4:$B$263,'SPC Backing (Hide)'!$E$4:$E$263),0),1),'SPC Backing (Hide)'!$AO$3)</f>
        <v>136.10000000000002</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39">
        <f t="shared" si="46"/>
        <v>33.44999999999996</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137.58333333333334</v>
      </c>
      <c r="Y140" cm="1">
        <f t="array" ref="Y140">ABS(INDEX($F$4:$U$263,ROW(A137),MATCH($X$2,$F$3:$U$3,0))-INDEX($F$4:$U$263,ROW(A136),MATCH($X$2,$F$3:$U$3,0)))</f>
        <v>0</v>
      </c>
      <c r="Z140">
        <f>AVERAGE(INDEX($Y$4:$Y$263,MATCH(SPC!$B$13,IF(Setup!$B$11="Weekly",'SPC Backing (Hide)'!$B$4:$B$263,'SPC Backing (Hide)'!$E$4:$E$263),0)):INDEX($Y$4:$Y$263,MATCH(SPC!$B$14,IF(Setup!$B$11="Weekly",'SPC Backing (Hide)'!$B$4:$B$263,'SPC Backing (Hide)'!$E$4:$E$263),0),1))</f>
        <v>18.416666666666668</v>
      </c>
      <c r="AA140">
        <f t="shared" si="33"/>
        <v>16.326832151300238</v>
      </c>
      <c r="AB140">
        <f t="shared" si="34"/>
        <v>88.60283687943263</v>
      </c>
      <c r="AC140">
        <f t="shared" si="35"/>
        <v>104.92966903073287</v>
      </c>
      <c r="AD140">
        <f t="shared" si="36"/>
        <v>121.25650118203311</v>
      </c>
      <c r="AE140">
        <f t="shared" si="37"/>
        <v>153.91016548463358</v>
      </c>
      <c r="AF140">
        <f t="shared" si="38"/>
        <v>170.23699763593382</v>
      </c>
      <c r="AG140">
        <f t="shared" si="39"/>
        <v>186.56382978723406</v>
      </c>
      <c r="AH140">
        <f t="shared" si="40"/>
        <v>0</v>
      </c>
      <c r="AI140">
        <f t="shared" si="47"/>
        <v>-2</v>
      </c>
      <c r="AJ140">
        <f t="shared" si="41"/>
        <v>0</v>
      </c>
      <c r="AK140">
        <f t="shared" si="42"/>
        <v>0</v>
      </c>
      <c r="AL140" t="e">
        <f t="shared" si="43"/>
        <v>#N/A</v>
      </c>
      <c r="AM140">
        <f t="shared" si="44"/>
        <v>-1</v>
      </c>
      <c r="AN140">
        <f t="shared" si="45"/>
        <v>0</v>
      </c>
      <c r="AO140">
        <f>_xlfn.PERCENTILE.INC(INDEX($W$4:$W$263,MATCH(SPC!$B$13,IF(Setup!$B$11="Weekly",'SPC Backing (Hide)'!$B$4:$B$263,'SPC Backing (Hide)'!$E$4:$E$263),0),1):INDEX($W$4:$W$263,MATCH(SPC!$B$14,IF(Setup!$B$11="Weekly",'SPC Backing (Hide)'!$B$4:$B$263,'SPC Backing (Hide)'!$E$4:$E$263),0),1),'SPC Backing (Hide)'!$AO$3)</f>
        <v>136.10000000000002</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0">
        <f t="shared" si="46"/>
        <v>33.44999999999996</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137.58333333333334</v>
      </c>
      <c r="Y141" cm="1">
        <f t="array" ref="Y141">ABS(INDEX($F$4:$U$263,ROW(A138),MATCH($X$2,$F$3:$U$3,0))-INDEX($F$4:$U$263,ROW(A137),MATCH($X$2,$F$3:$U$3,0)))</f>
        <v>0</v>
      </c>
      <c r="Z141">
        <f>AVERAGE(INDEX($Y$4:$Y$263,MATCH(SPC!$B$13,IF(Setup!$B$11="Weekly",'SPC Backing (Hide)'!$B$4:$B$263,'SPC Backing (Hide)'!$E$4:$E$263),0)):INDEX($Y$4:$Y$263,MATCH(SPC!$B$14,IF(Setup!$B$11="Weekly",'SPC Backing (Hide)'!$B$4:$B$263,'SPC Backing (Hide)'!$E$4:$E$263),0),1))</f>
        <v>18.416666666666668</v>
      </c>
      <c r="AA141">
        <f t="shared" si="33"/>
        <v>16.326832151300238</v>
      </c>
      <c r="AB141">
        <f t="shared" si="34"/>
        <v>88.60283687943263</v>
      </c>
      <c r="AC141">
        <f t="shared" si="35"/>
        <v>104.92966903073287</v>
      </c>
      <c r="AD141">
        <f t="shared" si="36"/>
        <v>121.25650118203311</v>
      </c>
      <c r="AE141">
        <f t="shared" si="37"/>
        <v>153.91016548463358</v>
      </c>
      <c r="AF141">
        <f t="shared" si="38"/>
        <v>170.23699763593382</v>
      </c>
      <c r="AG141">
        <f t="shared" si="39"/>
        <v>186.56382978723406</v>
      </c>
      <c r="AH141">
        <f t="shared" si="40"/>
        <v>0</v>
      </c>
      <c r="AI141">
        <f t="shared" si="47"/>
        <v>-2</v>
      </c>
      <c r="AJ141">
        <f t="shared" si="41"/>
        <v>0</v>
      </c>
      <c r="AK141">
        <f t="shared" si="42"/>
        <v>0</v>
      </c>
      <c r="AL141" t="e">
        <f t="shared" si="43"/>
        <v>#N/A</v>
      </c>
      <c r="AM141">
        <f t="shared" si="44"/>
        <v>-1</v>
      </c>
      <c r="AN141">
        <f t="shared" si="45"/>
        <v>0</v>
      </c>
      <c r="AO141">
        <f>_xlfn.PERCENTILE.INC(INDEX($W$4:$W$263,MATCH(SPC!$B$13,IF(Setup!$B$11="Weekly",'SPC Backing (Hide)'!$B$4:$B$263,'SPC Backing (Hide)'!$E$4:$E$263),0),1):INDEX($W$4:$W$263,MATCH(SPC!$B$14,IF(Setup!$B$11="Weekly",'SPC Backing (Hide)'!$B$4:$B$263,'SPC Backing (Hide)'!$E$4:$E$263),0),1),'SPC Backing (Hide)'!$AO$3)</f>
        <v>136.10000000000002</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1">
        <f t="shared" si="46"/>
        <v>33.44999999999996</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137.58333333333334</v>
      </c>
      <c r="Y142" cm="1">
        <f t="array" ref="Y142">ABS(INDEX($F$4:$U$263,ROW(A139),MATCH($X$2,$F$3:$U$3,0))-INDEX($F$4:$U$263,ROW(A138),MATCH($X$2,$F$3:$U$3,0)))</f>
        <v>0</v>
      </c>
      <c r="Z142">
        <f>AVERAGE(INDEX($Y$4:$Y$263,MATCH(SPC!$B$13,IF(Setup!$B$11="Weekly",'SPC Backing (Hide)'!$B$4:$B$263,'SPC Backing (Hide)'!$E$4:$E$263),0)):INDEX($Y$4:$Y$263,MATCH(SPC!$B$14,IF(Setup!$B$11="Weekly",'SPC Backing (Hide)'!$B$4:$B$263,'SPC Backing (Hide)'!$E$4:$E$263),0),1))</f>
        <v>18.416666666666668</v>
      </c>
      <c r="AA142">
        <f t="shared" si="33"/>
        <v>16.326832151300238</v>
      </c>
      <c r="AB142">
        <f t="shared" si="34"/>
        <v>88.60283687943263</v>
      </c>
      <c r="AC142">
        <f t="shared" si="35"/>
        <v>104.92966903073287</v>
      </c>
      <c r="AD142">
        <f t="shared" si="36"/>
        <v>121.25650118203311</v>
      </c>
      <c r="AE142">
        <f t="shared" si="37"/>
        <v>153.91016548463358</v>
      </c>
      <c r="AF142">
        <f t="shared" si="38"/>
        <v>170.23699763593382</v>
      </c>
      <c r="AG142">
        <f t="shared" si="39"/>
        <v>186.56382978723406</v>
      </c>
      <c r="AH142">
        <f t="shared" si="40"/>
        <v>0</v>
      </c>
      <c r="AI142">
        <f t="shared" si="47"/>
        <v>-2</v>
      </c>
      <c r="AJ142">
        <f t="shared" si="41"/>
        <v>0</v>
      </c>
      <c r="AK142">
        <f t="shared" si="42"/>
        <v>0</v>
      </c>
      <c r="AL142" t="e">
        <f t="shared" si="43"/>
        <v>#N/A</v>
      </c>
      <c r="AM142">
        <f t="shared" si="44"/>
        <v>-1</v>
      </c>
      <c r="AN142">
        <f t="shared" si="45"/>
        <v>0</v>
      </c>
      <c r="AO142">
        <f>_xlfn.PERCENTILE.INC(INDEX($W$4:$W$263,MATCH(SPC!$B$13,IF(Setup!$B$11="Weekly",'SPC Backing (Hide)'!$B$4:$B$263,'SPC Backing (Hide)'!$E$4:$E$263),0),1):INDEX($W$4:$W$263,MATCH(SPC!$B$14,IF(Setup!$B$11="Weekly",'SPC Backing (Hide)'!$B$4:$B$263,'SPC Backing (Hide)'!$E$4:$E$263),0),1),'SPC Backing (Hide)'!$AO$3)</f>
        <v>136.10000000000002</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2">
        <f t="shared" si="46"/>
        <v>33.44999999999996</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137.58333333333334</v>
      </c>
      <c r="Y143" cm="1">
        <f t="array" ref="Y143">ABS(INDEX($F$4:$U$263,ROW(A140),MATCH($X$2,$F$3:$U$3,0))-INDEX($F$4:$U$263,ROW(A139),MATCH($X$2,$F$3:$U$3,0)))</f>
        <v>0</v>
      </c>
      <c r="Z143">
        <f>AVERAGE(INDEX($Y$4:$Y$263,MATCH(SPC!$B$13,IF(Setup!$B$11="Weekly",'SPC Backing (Hide)'!$B$4:$B$263,'SPC Backing (Hide)'!$E$4:$E$263),0)):INDEX($Y$4:$Y$263,MATCH(SPC!$B$14,IF(Setup!$B$11="Weekly",'SPC Backing (Hide)'!$B$4:$B$263,'SPC Backing (Hide)'!$E$4:$E$263),0),1))</f>
        <v>18.416666666666668</v>
      </c>
      <c r="AA143">
        <f t="shared" si="33"/>
        <v>16.326832151300238</v>
      </c>
      <c r="AB143">
        <f t="shared" si="34"/>
        <v>88.60283687943263</v>
      </c>
      <c r="AC143">
        <f t="shared" si="35"/>
        <v>104.92966903073287</v>
      </c>
      <c r="AD143">
        <f t="shared" si="36"/>
        <v>121.25650118203311</v>
      </c>
      <c r="AE143">
        <f t="shared" si="37"/>
        <v>153.91016548463358</v>
      </c>
      <c r="AF143">
        <f t="shared" si="38"/>
        <v>170.23699763593382</v>
      </c>
      <c r="AG143">
        <f t="shared" si="39"/>
        <v>186.56382978723406</v>
      </c>
      <c r="AH143">
        <f t="shared" si="40"/>
        <v>0</v>
      </c>
      <c r="AI143">
        <f t="shared" si="47"/>
        <v>-2</v>
      </c>
      <c r="AJ143">
        <f t="shared" si="41"/>
        <v>0</v>
      </c>
      <c r="AK143">
        <f t="shared" si="42"/>
        <v>0</v>
      </c>
      <c r="AL143" t="e">
        <f t="shared" si="43"/>
        <v>#N/A</v>
      </c>
      <c r="AM143">
        <f t="shared" si="44"/>
        <v>-1</v>
      </c>
      <c r="AN143">
        <f t="shared" si="45"/>
        <v>0</v>
      </c>
      <c r="AO143">
        <f>_xlfn.PERCENTILE.INC(INDEX($W$4:$W$263,MATCH(SPC!$B$13,IF(Setup!$B$11="Weekly",'SPC Backing (Hide)'!$B$4:$B$263,'SPC Backing (Hide)'!$E$4:$E$263),0),1):INDEX($W$4:$W$263,MATCH(SPC!$B$14,IF(Setup!$B$11="Weekly",'SPC Backing (Hide)'!$B$4:$B$263,'SPC Backing (Hide)'!$E$4:$E$263),0),1),'SPC Backing (Hide)'!$AO$3)</f>
        <v>136.10000000000002</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3">
        <f t="shared" si="46"/>
        <v>33.44999999999996</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137.58333333333334</v>
      </c>
      <c r="Y144" cm="1">
        <f t="array" ref="Y144">ABS(INDEX($F$4:$U$263,ROW(A141),MATCH($X$2,$F$3:$U$3,0))-INDEX($F$4:$U$263,ROW(A140),MATCH($X$2,$F$3:$U$3,0)))</f>
        <v>0</v>
      </c>
      <c r="Z144">
        <f>AVERAGE(INDEX($Y$4:$Y$263,MATCH(SPC!$B$13,IF(Setup!$B$11="Weekly",'SPC Backing (Hide)'!$B$4:$B$263,'SPC Backing (Hide)'!$E$4:$E$263),0)):INDEX($Y$4:$Y$263,MATCH(SPC!$B$14,IF(Setup!$B$11="Weekly",'SPC Backing (Hide)'!$B$4:$B$263,'SPC Backing (Hide)'!$E$4:$E$263),0),1))</f>
        <v>18.416666666666668</v>
      </c>
      <c r="AA144">
        <f t="shared" si="33"/>
        <v>16.326832151300238</v>
      </c>
      <c r="AB144">
        <f t="shared" si="34"/>
        <v>88.60283687943263</v>
      </c>
      <c r="AC144">
        <f t="shared" si="35"/>
        <v>104.92966903073287</v>
      </c>
      <c r="AD144">
        <f t="shared" si="36"/>
        <v>121.25650118203311</v>
      </c>
      <c r="AE144">
        <f t="shared" si="37"/>
        <v>153.91016548463358</v>
      </c>
      <c r="AF144">
        <f t="shared" si="38"/>
        <v>170.23699763593382</v>
      </c>
      <c r="AG144">
        <f t="shared" si="39"/>
        <v>186.56382978723406</v>
      </c>
      <c r="AH144">
        <f t="shared" si="40"/>
        <v>0</v>
      </c>
      <c r="AI144">
        <f t="shared" si="47"/>
        <v>-2</v>
      </c>
      <c r="AJ144">
        <f t="shared" si="41"/>
        <v>0</v>
      </c>
      <c r="AK144">
        <f t="shared" si="42"/>
        <v>0</v>
      </c>
      <c r="AL144" t="e">
        <f t="shared" si="43"/>
        <v>#N/A</v>
      </c>
      <c r="AM144">
        <f t="shared" si="44"/>
        <v>-1</v>
      </c>
      <c r="AN144">
        <f t="shared" si="45"/>
        <v>0</v>
      </c>
      <c r="AO144">
        <f>_xlfn.PERCENTILE.INC(INDEX($W$4:$W$263,MATCH(SPC!$B$13,IF(Setup!$B$11="Weekly",'SPC Backing (Hide)'!$B$4:$B$263,'SPC Backing (Hide)'!$E$4:$E$263),0),1):INDEX($W$4:$W$263,MATCH(SPC!$B$14,IF(Setup!$B$11="Weekly",'SPC Backing (Hide)'!$B$4:$B$263,'SPC Backing (Hide)'!$E$4:$E$263),0),1),'SPC Backing (Hide)'!$AO$3)</f>
        <v>136.10000000000002</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4">
        <f t="shared" si="46"/>
        <v>33.44999999999996</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137.58333333333334</v>
      </c>
      <c r="Y145" cm="1">
        <f t="array" ref="Y145">ABS(INDEX($F$4:$U$263,ROW(A142),MATCH($X$2,$F$3:$U$3,0))-INDEX($F$4:$U$263,ROW(A141),MATCH($X$2,$F$3:$U$3,0)))</f>
        <v>0</v>
      </c>
      <c r="Z145">
        <f>AVERAGE(INDEX($Y$4:$Y$263,MATCH(SPC!$B$13,IF(Setup!$B$11="Weekly",'SPC Backing (Hide)'!$B$4:$B$263,'SPC Backing (Hide)'!$E$4:$E$263),0)):INDEX($Y$4:$Y$263,MATCH(SPC!$B$14,IF(Setup!$B$11="Weekly",'SPC Backing (Hide)'!$B$4:$B$263,'SPC Backing (Hide)'!$E$4:$E$263),0),1))</f>
        <v>18.416666666666668</v>
      </c>
      <c r="AA145">
        <f t="shared" si="33"/>
        <v>16.326832151300238</v>
      </c>
      <c r="AB145">
        <f t="shared" si="34"/>
        <v>88.60283687943263</v>
      </c>
      <c r="AC145">
        <f t="shared" si="35"/>
        <v>104.92966903073287</v>
      </c>
      <c r="AD145">
        <f t="shared" si="36"/>
        <v>121.25650118203311</v>
      </c>
      <c r="AE145">
        <f t="shared" si="37"/>
        <v>153.91016548463358</v>
      </c>
      <c r="AF145">
        <f t="shared" si="38"/>
        <v>170.23699763593382</v>
      </c>
      <c r="AG145">
        <f t="shared" si="39"/>
        <v>186.56382978723406</v>
      </c>
      <c r="AH145">
        <f t="shared" si="40"/>
        <v>0</v>
      </c>
      <c r="AI145">
        <f t="shared" si="47"/>
        <v>-2</v>
      </c>
      <c r="AJ145">
        <f t="shared" si="41"/>
        <v>0</v>
      </c>
      <c r="AK145">
        <f t="shared" si="42"/>
        <v>0</v>
      </c>
      <c r="AL145" t="e">
        <f t="shared" si="43"/>
        <v>#N/A</v>
      </c>
      <c r="AM145">
        <f t="shared" si="44"/>
        <v>-1</v>
      </c>
      <c r="AN145">
        <f t="shared" si="45"/>
        <v>0</v>
      </c>
      <c r="AO145">
        <f>_xlfn.PERCENTILE.INC(INDEX($W$4:$W$263,MATCH(SPC!$B$13,IF(Setup!$B$11="Weekly",'SPC Backing (Hide)'!$B$4:$B$263,'SPC Backing (Hide)'!$E$4:$E$263),0),1):INDEX($W$4:$W$263,MATCH(SPC!$B$14,IF(Setup!$B$11="Weekly",'SPC Backing (Hide)'!$B$4:$B$263,'SPC Backing (Hide)'!$E$4:$E$263),0),1),'SPC Backing (Hide)'!$AO$3)</f>
        <v>136.10000000000002</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5">
        <f t="shared" si="46"/>
        <v>33.44999999999996</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137.58333333333334</v>
      </c>
      <c r="Y146" cm="1">
        <f t="array" ref="Y146">ABS(INDEX($F$4:$U$263,ROW(A143),MATCH($X$2,$F$3:$U$3,0))-INDEX($F$4:$U$263,ROW(A142),MATCH($X$2,$F$3:$U$3,0)))</f>
        <v>0</v>
      </c>
      <c r="Z146">
        <f>AVERAGE(INDEX($Y$4:$Y$263,MATCH(SPC!$B$13,IF(Setup!$B$11="Weekly",'SPC Backing (Hide)'!$B$4:$B$263,'SPC Backing (Hide)'!$E$4:$E$263),0)):INDEX($Y$4:$Y$263,MATCH(SPC!$B$14,IF(Setup!$B$11="Weekly",'SPC Backing (Hide)'!$B$4:$B$263,'SPC Backing (Hide)'!$E$4:$E$263),0),1))</f>
        <v>18.416666666666668</v>
      </c>
      <c r="AA146">
        <f t="shared" si="33"/>
        <v>16.326832151300238</v>
      </c>
      <c r="AB146">
        <f t="shared" si="34"/>
        <v>88.60283687943263</v>
      </c>
      <c r="AC146">
        <f t="shared" si="35"/>
        <v>104.92966903073287</v>
      </c>
      <c r="AD146">
        <f t="shared" si="36"/>
        <v>121.25650118203311</v>
      </c>
      <c r="AE146">
        <f t="shared" si="37"/>
        <v>153.91016548463358</v>
      </c>
      <c r="AF146">
        <f t="shared" si="38"/>
        <v>170.23699763593382</v>
      </c>
      <c r="AG146">
        <f t="shared" si="39"/>
        <v>186.56382978723406</v>
      </c>
      <c r="AH146">
        <f t="shared" si="40"/>
        <v>0</v>
      </c>
      <c r="AI146">
        <f t="shared" si="47"/>
        <v>-2</v>
      </c>
      <c r="AJ146">
        <f t="shared" si="41"/>
        <v>0</v>
      </c>
      <c r="AK146">
        <f t="shared" si="42"/>
        <v>0</v>
      </c>
      <c r="AL146" t="e">
        <f t="shared" si="43"/>
        <v>#N/A</v>
      </c>
      <c r="AM146">
        <f t="shared" si="44"/>
        <v>-1</v>
      </c>
      <c r="AN146">
        <f t="shared" si="45"/>
        <v>0</v>
      </c>
      <c r="AO146">
        <f>_xlfn.PERCENTILE.INC(INDEX($W$4:$W$263,MATCH(SPC!$B$13,IF(Setup!$B$11="Weekly",'SPC Backing (Hide)'!$B$4:$B$263,'SPC Backing (Hide)'!$E$4:$E$263),0),1):INDEX($W$4:$W$263,MATCH(SPC!$B$14,IF(Setup!$B$11="Weekly",'SPC Backing (Hide)'!$B$4:$B$263,'SPC Backing (Hide)'!$E$4:$E$263),0),1),'SPC Backing (Hide)'!$AO$3)</f>
        <v>136.10000000000002</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6">
        <f t="shared" si="46"/>
        <v>33.44999999999996</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137.58333333333334</v>
      </c>
      <c r="Y147" cm="1">
        <f t="array" ref="Y147">ABS(INDEX($F$4:$U$263,ROW(A144),MATCH($X$2,$F$3:$U$3,0))-INDEX($F$4:$U$263,ROW(A143),MATCH($X$2,$F$3:$U$3,0)))</f>
        <v>0</v>
      </c>
      <c r="Z147">
        <f>AVERAGE(INDEX($Y$4:$Y$263,MATCH(SPC!$B$13,IF(Setup!$B$11="Weekly",'SPC Backing (Hide)'!$B$4:$B$263,'SPC Backing (Hide)'!$E$4:$E$263),0)):INDEX($Y$4:$Y$263,MATCH(SPC!$B$14,IF(Setup!$B$11="Weekly",'SPC Backing (Hide)'!$B$4:$B$263,'SPC Backing (Hide)'!$E$4:$E$263),0),1))</f>
        <v>18.416666666666668</v>
      </c>
      <c r="AA147">
        <f t="shared" si="33"/>
        <v>16.326832151300238</v>
      </c>
      <c r="AB147">
        <f t="shared" si="34"/>
        <v>88.60283687943263</v>
      </c>
      <c r="AC147">
        <f t="shared" si="35"/>
        <v>104.92966903073287</v>
      </c>
      <c r="AD147">
        <f t="shared" si="36"/>
        <v>121.25650118203311</v>
      </c>
      <c r="AE147">
        <f t="shared" si="37"/>
        <v>153.91016548463358</v>
      </c>
      <c r="AF147">
        <f t="shared" si="38"/>
        <v>170.23699763593382</v>
      </c>
      <c r="AG147">
        <f t="shared" si="39"/>
        <v>186.56382978723406</v>
      </c>
      <c r="AH147">
        <f t="shared" si="40"/>
        <v>0</v>
      </c>
      <c r="AI147">
        <f t="shared" si="47"/>
        <v>-2</v>
      </c>
      <c r="AJ147">
        <f t="shared" si="41"/>
        <v>0</v>
      </c>
      <c r="AK147">
        <f t="shared" si="42"/>
        <v>0</v>
      </c>
      <c r="AL147" t="e">
        <f t="shared" si="43"/>
        <v>#N/A</v>
      </c>
      <c r="AM147">
        <f t="shared" si="44"/>
        <v>-1</v>
      </c>
      <c r="AN147">
        <f t="shared" si="45"/>
        <v>0</v>
      </c>
      <c r="AO147">
        <f>_xlfn.PERCENTILE.INC(INDEX($W$4:$W$263,MATCH(SPC!$B$13,IF(Setup!$B$11="Weekly",'SPC Backing (Hide)'!$B$4:$B$263,'SPC Backing (Hide)'!$E$4:$E$263),0),1):INDEX($W$4:$W$263,MATCH(SPC!$B$14,IF(Setup!$B$11="Weekly",'SPC Backing (Hide)'!$B$4:$B$263,'SPC Backing (Hide)'!$E$4:$E$263),0),1),'SPC Backing (Hide)'!$AO$3)</f>
        <v>136.10000000000002</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7">
        <f t="shared" si="46"/>
        <v>33.44999999999996</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137.58333333333334</v>
      </c>
      <c r="Y148" cm="1">
        <f t="array" ref="Y148">ABS(INDEX($F$4:$U$263,ROW(A145),MATCH($X$2,$F$3:$U$3,0))-INDEX($F$4:$U$263,ROW(A144),MATCH($X$2,$F$3:$U$3,0)))</f>
        <v>0</v>
      </c>
      <c r="Z148">
        <f>AVERAGE(INDEX($Y$4:$Y$263,MATCH(SPC!$B$13,IF(Setup!$B$11="Weekly",'SPC Backing (Hide)'!$B$4:$B$263,'SPC Backing (Hide)'!$E$4:$E$263),0)):INDEX($Y$4:$Y$263,MATCH(SPC!$B$14,IF(Setup!$B$11="Weekly",'SPC Backing (Hide)'!$B$4:$B$263,'SPC Backing (Hide)'!$E$4:$E$263),0),1))</f>
        <v>18.416666666666668</v>
      </c>
      <c r="AA148">
        <f t="shared" si="33"/>
        <v>16.326832151300238</v>
      </c>
      <c r="AB148">
        <f t="shared" si="34"/>
        <v>88.60283687943263</v>
      </c>
      <c r="AC148">
        <f t="shared" si="35"/>
        <v>104.92966903073287</v>
      </c>
      <c r="AD148">
        <f t="shared" si="36"/>
        <v>121.25650118203311</v>
      </c>
      <c r="AE148">
        <f t="shared" si="37"/>
        <v>153.91016548463358</v>
      </c>
      <c r="AF148">
        <f t="shared" si="38"/>
        <v>170.23699763593382</v>
      </c>
      <c r="AG148">
        <f t="shared" si="39"/>
        <v>186.56382978723406</v>
      </c>
      <c r="AH148">
        <f t="shared" si="40"/>
        <v>0</v>
      </c>
      <c r="AI148">
        <f t="shared" si="47"/>
        <v>-2</v>
      </c>
      <c r="AJ148">
        <f t="shared" si="41"/>
        <v>0</v>
      </c>
      <c r="AK148">
        <f t="shared" si="42"/>
        <v>0</v>
      </c>
      <c r="AL148" t="e">
        <f t="shared" si="43"/>
        <v>#N/A</v>
      </c>
      <c r="AM148">
        <f t="shared" si="44"/>
        <v>-1</v>
      </c>
      <c r="AN148">
        <f t="shared" si="45"/>
        <v>0</v>
      </c>
      <c r="AO148">
        <f>_xlfn.PERCENTILE.INC(INDEX($W$4:$W$263,MATCH(SPC!$B$13,IF(Setup!$B$11="Weekly",'SPC Backing (Hide)'!$B$4:$B$263,'SPC Backing (Hide)'!$E$4:$E$263),0),1):INDEX($W$4:$W$263,MATCH(SPC!$B$14,IF(Setup!$B$11="Weekly",'SPC Backing (Hide)'!$B$4:$B$263,'SPC Backing (Hide)'!$E$4:$E$263),0),1),'SPC Backing (Hide)'!$AO$3)</f>
        <v>136.10000000000002</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8">
        <f t="shared" si="46"/>
        <v>33.44999999999996</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137.58333333333334</v>
      </c>
      <c r="Y149" cm="1">
        <f t="array" ref="Y149">ABS(INDEX($F$4:$U$263,ROW(A146),MATCH($X$2,$F$3:$U$3,0))-INDEX($F$4:$U$263,ROW(A145),MATCH($X$2,$F$3:$U$3,0)))</f>
        <v>0</v>
      </c>
      <c r="Z149">
        <f>AVERAGE(INDEX($Y$4:$Y$263,MATCH(SPC!$B$13,IF(Setup!$B$11="Weekly",'SPC Backing (Hide)'!$B$4:$B$263,'SPC Backing (Hide)'!$E$4:$E$263),0)):INDEX($Y$4:$Y$263,MATCH(SPC!$B$14,IF(Setup!$B$11="Weekly",'SPC Backing (Hide)'!$B$4:$B$263,'SPC Backing (Hide)'!$E$4:$E$263),0),1))</f>
        <v>18.416666666666668</v>
      </c>
      <c r="AA149">
        <f t="shared" si="33"/>
        <v>16.326832151300238</v>
      </c>
      <c r="AB149">
        <f t="shared" si="34"/>
        <v>88.60283687943263</v>
      </c>
      <c r="AC149">
        <f t="shared" si="35"/>
        <v>104.92966903073287</v>
      </c>
      <c r="AD149">
        <f t="shared" si="36"/>
        <v>121.25650118203311</v>
      </c>
      <c r="AE149">
        <f t="shared" si="37"/>
        <v>153.91016548463358</v>
      </c>
      <c r="AF149">
        <f t="shared" si="38"/>
        <v>170.23699763593382</v>
      </c>
      <c r="AG149">
        <f t="shared" si="39"/>
        <v>186.56382978723406</v>
      </c>
      <c r="AH149">
        <f t="shared" si="40"/>
        <v>0</v>
      </c>
      <c r="AI149">
        <f t="shared" si="47"/>
        <v>-2</v>
      </c>
      <c r="AJ149">
        <f t="shared" si="41"/>
        <v>0</v>
      </c>
      <c r="AK149">
        <f t="shared" si="42"/>
        <v>0</v>
      </c>
      <c r="AL149" t="e">
        <f t="shared" si="43"/>
        <v>#N/A</v>
      </c>
      <c r="AM149">
        <f t="shared" si="44"/>
        <v>-1</v>
      </c>
      <c r="AN149">
        <f t="shared" si="45"/>
        <v>0</v>
      </c>
      <c r="AO149">
        <f>_xlfn.PERCENTILE.INC(INDEX($W$4:$W$263,MATCH(SPC!$B$13,IF(Setup!$B$11="Weekly",'SPC Backing (Hide)'!$B$4:$B$263,'SPC Backing (Hide)'!$E$4:$E$263),0),1):INDEX($W$4:$W$263,MATCH(SPC!$B$14,IF(Setup!$B$11="Weekly",'SPC Backing (Hide)'!$B$4:$B$263,'SPC Backing (Hide)'!$E$4:$E$263),0),1),'SPC Backing (Hide)'!$AO$3)</f>
        <v>136.10000000000002</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49">
        <f t="shared" si="46"/>
        <v>33.44999999999996</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137.58333333333334</v>
      </c>
      <c r="Y150" cm="1">
        <f t="array" ref="Y150">ABS(INDEX($F$4:$U$263,ROW(A147),MATCH($X$2,$F$3:$U$3,0))-INDEX($F$4:$U$263,ROW(A146),MATCH($X$2,$F$3:$U$3,0)))</f>
        <v>0</v>
      </c>
      <c r="Z150">
        <f>AVERAGE(INDEX($Y$4:$Y$263,MATCH(SPC!$B$13,IF(Setup!$B$11="Weekly",'SPC Backing (Hide)'!$B$4:$B$263,'SPC Backing (Hide)'!$E$4:$E$263),0)):INDEX($Y$4:$Y$263,MATCH(SPC!$B$14,IF(Setup!$B$11="Weekly",'SPC Backing (Hide)'!$B$4:$B$263,'SPC Backing (Hide)'!$E$4:$E$263),0),1))</f>
        <v>18.416666666666668</v>
      </c>
      <c r="AA150">
        <f t="shared" si="33"/>
        <v>16.326832151300238</v>
      </c>
      <c r="AB150">
        <f t="shared" si="34"/>
        <v>88.60283687943263</v>
      </c>
      <c r="AC150">
        <f t="shared" si="35"/>
        <v>104.92966903073287</v>
      </c>
      <c r="AD150">
        <f t="shared" si="36"/>
        <v>121.25650118203311</v>
      </c>
      <c r="AE150">
        <f t="shared" si="37"/>
        <v>153.91016548463358</v>
      </c>
      <c r="AF150">
        <f t="shared" si="38"/>
        <v>170.23699763593382</v>
      </c>
      <c r="AG150">
        <f t="shared" si="39"/>
        <v>186.56382978723406</v>
      </c>
      <c r="AH150">
        <f t="shared" si="40"/>
        <v>0</v>
      </c>
      <c r="AI150">
        <f t="shared" si="47"/>
        <v>-2</v>
      </c>
      <c r="AJ150">
        <f t="shared" si="41"/>
        <v>0</v>
      </c>
      <c r="AK150">
        <f t="shared" si="42"/>
        <v>0</v>
      </c>
      <c r="AL150" t="e">
        <f t="shared" si="43"/>
        <v>#N/A</v>
      </c>
      <c r="AM150">
        <f t="shared" si="44"/>
        <v>-1</v>
      </c>
      <c r="AN150">
        <f t="shared" si="45"/>
        <v>0</v>
      </c>
      <c r="AO150">
        <f>_xlfn.PERCENTILE.INC(INDEX($W$4:$W$263,MATCH(SPC!$B$13,IF(Setup!$B$11="Weekly",'SPC Backing (Hide)'!$B$4:$B$263,'SPC Backing (Hide)'!$E$4:$E$263),0),1):INDEX($W$4:$W$263,MATCH(SPC!$B$14,IF(Setup!$B$11="Weekly",'SPC Backing (Hide)'!$B$4:$B$263,'SPC Backing (Hide)'!$E$4:$E$263),0),1),'SPC Backing (Hide)'!$AO$3)</f>
        <v>136.10000000000002</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0">
        <f t="shared" si="46"/>
        <v>33.44999999999996</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137.58333333333334</v>
      </c>
      <c r="Y151" cm="1">
        <f t="array" ref="Y151">ABS(INDEX($F$4:$U$263,ROW(A148),MATCH($X$2,$F$3:$U$3,0))-INDEX($F$4:$U$263,ROW(A147),MATCH($X$2,$F$3:$U$3,0)))</f>
        <v>0</v>
      </c>
      <c r="Z151">
        <f>AVERAGE(INDEX($Y$4:$Y$263,MATCH(SPC!$B$13,IF(Setup!$B$11="Weekly",'SPC Backing (Hide)'!$B$4:$B$263,'SPC Backing (Hide)'!$E$4:$E$263),0)):INDEX($Y$4:$Y$263,MATCH(SPC!$B$14,IF(Setup!$B$11="Weekly",'SPC Backing (Hide)'!$B$4:$B$263,'SPC Backing (Hide)'!$E$4:$E$263),0),1))</f>
        <v>18.416666666666668</v>
      </c>
      <c r="AA151">
        <f t="shared" si="33"/>
        <v>16.326832151300238</v>
      </c>
      <c r="AB151">
        <f t="shared" si="34"/>
        <v>88.60283687943263</v>
      </c>
      <c r="AC151">
        <f t="shared" si="35"/>
        <v>104.92966903073287</v>
      </c>
      <c r="AD151">
        <f t="shared" si="36"/>
        <v>121.25650118203311</v>
      </c>
      <c r="AE151">
        <f t="shared" si="37"/>
        <v>153.91016548463358</v>
      </c>
      <c r="AF151">
        <f t="shared" si="38"/>
        <v>170.23699763593382</v>
      </c>
      <c r="AG151">
        <f t="shared" si="39"/>
        <v>186.56382978723406</v>
      </c>
      <c r="AH151">
        <f t="shared" si="40"/>
        <v>0</v>
      </c>
      <c r="AI151">
        <f t="shared" si="47"/>
        <v>-2</v>
      </c>
      <c r="AJ151">
        <f t="shared" si="41"/>
        <v>0</v>
      </c>
      <c r="AK151">
        <f t="shared" si="42"/>
        <v>0</v>
      </c>
      <c r="AL151" t="e">
        <f t="shared" si="43"/>
        <v>#N/A</v>
      </c>
      <c r="AM151">
        <f t="shared" si="44"/>
        <v>-1</v>
      </c>
      <c r="AN151">
        <f t="shared" si="45"/>
        <v>0</v>
      </c>
      <c r="AO151">
        <f>_xlfn.PERCENTILE.INC(INDEX($W$4:$W$263,MATCH(SPC!$B$13,IF(Setup!$B$11="Weekly",'SPC Backing (Hide)'!$B$4:$B$263,'SPC Backing (Hide)'!$E$4:$E$263),0),1):INDEX($W$4:$W$263,MATCH(SPC!$B$14,IF(Setup!$B$11="Weekly",'SPC Backing (Hide)'!$B$4:$B$263,'SPC Backing (Hide)'!$E$4:$E$263),0),1),'SPC Backing (Hide)'!$AO$3)</f>
        <v>136.10000000000002</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1">
        <f t="shared" si="46"/>
        <v>33.44999999999996</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137.58333333333334</v>
      </c>
      <c r="Y152" cm="1">
        <f t="array" ref="Y152">ABS(INDEX($F$4:$U$263,ROW(A149),MATCH($X$2,$F$3:$U$3,0))-INDEX($F$4:$U$263,ROW(A148),MATCH($X$2,$F$3:$U$3,0)))</f>
        <v>0</v>
      </c>
      <c r="Z152">
        <f>AVERAGE(INDEX($Y$4:$Y$263,MATCH(SPC!$B$13,IF(Setup!$B$11="Weekly",'SPC Backing (Hide)'!$B$4:$B$263,'SPC Backing (Hide)'!$E$4:$E$263),0)):INDEX($Y$4:$Y$263,MATCH(SPC!$B$14,IF(Setup!$B$11="Weekly",'SPC Backing (Hide)'!$B$4:$B$263,'SPC Backing (Hide)'!$E$4:$E$263),0),1))</f>
        <v>18.416666666666668</v>
      </c>
      <c r="AA152">
        <f t="shared" si="33"/>
        <v>16.326832151300238</v>
      </c>
      <c r="AB152">
        <f t="shared" si="34"/>
        <v>88.60283687943263</v>
      </c>
      <c r="AC152">
        <f t="shared" si="35"/>
        <v>104.92966903073287</v>
      </c>
      <c r="AD152">
        <f t="shared" si="36"/>
        <v>121.25650118203311</v>
      </c>
      <c r="AE152">
        <f t="shared" si="37"/>
        <v>153.91016548463358</v>
      </c>
      <c r="AF152">
        <f t="shared" si="38"/>
        <v>170.23699763593382</v>
      </c>
      <c r="AG152">
        <f t="shared" si="39"/>
        <v>186.56382978723406</v>
      </c>
      <c r="AH152">
        <f t="shared" si="40"/>
        <v>0</v>
      </c>
      <c r="AI152">
        <f t="shared" si="47"/>
        <v>-2</v>
      </c>
      <c r="AJ152">
        <f t="shared" si="41"/>
        <v>0</v>
      </c>
      <c r="AK152">
        <f t="shared" si="42"/>
        <v>0</v>
      </c>
      <c r="AL152" t="e">
        <f t="shared" si="43"/>
        <v>#N/A</v>
      </c>
      <c r="AM152">
        <f t="shared" si="44"/>
        <v>-1</v>
      </c>
      <c r="AN152">
        <f t="shared" si="45"/>
        <v>0</v>
      </c>
      <c r="AO152">
        <f>_xlfn.PERCENTILE.INC(INDEX($W$4:$W$263,MATCH(SPC!$B$13,IF(Setup!$B$11="Weekly",'SPC Backing (Hide)'!$B$4:$B$263,'SPC Backing (Hide)'!$E$4:$E$263),0),1):INDEX($W$4:$W$263,MATCH(SPC!$B$14,IF(Setup!$B$11="Weekly",'SPC Backing (Hide)'!$B$4:$B$263,'SPC Backing (Hide)'!$E$4:$E$263),0),1),'SPC Backing (Hide)'!$AO$3)</f>
        <v>136.10000000000002</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2">
        <f t="shared" si="46"/>
        <v>33.44999999999996</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137.58333333333334</v>
      </c>
      <c r="Y153" cm="1">
        <f t="array" ref="Y153">ABS(INDEX($F$4:$U$263,ROW(A150),MATCH($X$2,$F$3:$U$3,0))-INDEX($F$4:$U$263,ROW(A149),MATCH($X$2,$F$3:$U$3,0)))</f>
        <v>0</v>
      </c>
      <c r="Z153">
        <f>AVERAGE(INDEX($Y$4:$Y$263,MATCH(SPC!$B$13,IF(Setup!$B$11="Weekly",'SPC Backing (Hide)'!$B$4:$B$263,'SPC Backing (Hide)'!$E$4:$E$263),0)):INDEX($Y$4:$Y$263,MATCH(SPC!$B$14,IF(Setup!$B$11="Weekly",'SPC Backing (Hide)'!$B$4:$B$263,'SPC Backing (Hide)'!$E$4:$E$263),0),1))</f>
        <v>18.416666666666668</v>
      </c>
      <c r="AA153">
        <f t="shared" si="33"/>
        <v>16.326832151300238</v>
      </c>
      <c r="AB153">
        <f t="shared" si="34"/>
        <v>88.60283687943263</v>
      </c>
      <c r="AC153">
        <f t="shared" si="35"/>
        <v>104.92966903073287</v>
      </c>
      <c r="AD153">
        <f t="shared" si="36"/>
        <v>121.25650118203311</v>
      </c>
      <c r="AE153">
        <f t="shared" si="37"/>
        <v>153.91016548463358</v>
      </c>
      <c r="AF153">
        <f t="shared" si="38"/>
        <v>170.23699763593382</v>
      </c>
      <c r="AG153">
        <f t="shared" si="39"/>
        <v>186.56382978723406</v>
      </c>
      <c r="AH153">
        <f t="shared" si="40"/>
        <v>0</v>
      </c>
      <c r="AI153">
        <f t="shared" si="47"/>
        <v>-2</v>
      </c>
      <c r="AJ153">
        <f t="shared" si="41"/>
        <v>0</v>
      </c>
      <c r="AK153">
        <f t="shared" si="42"/>
        <v>0</v>
      </c>
      <c r="AL153" t="e">
        <f t="shared" si="43"/>
        <v>#N/A</v>
      </c>
      <c r="AM153">
        <f t="shared" si="44"/>
        <v>-1</v>
      </c>
      <c r="AN153">
        <f t="shared" si="45"/>
        <v>0</v>
      </c>
      <c r="AO153">
        <f>_xlfn.PERCENTILE.INC(INDEX($W$4:$W$263,MATCH(SPC!$B$13,IF(Setup!$B$11="Weekly",'SPC Backing (Hide)'!$B$4:$B$263,'SPC Backing (Hide)'!$E$4:$E$263),0),1):INDEX($W$4:$W$263,MATCH(SPC!$B$14,IF(Setup!$B$11="Weekly",'SPC Backing (Hide)'!$B$4:$B$263,'SPC Backing (Hide)'!$E$4:$E$263),0),1),'SPC Backing (Hide)'!$AO$3)</f>
        <v>136.10000000000002</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3">
        <f t="shared" si="46"/>
        <v>33.44999999999996</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137.58333333333334</v>
      </c>
      <c r="Y154" cm="1">
        <f t="array" ref="Y154">ABS(INDEX($F$4:$U$263,ROW(A151),MATCH($X$2,$F$3:$U$3,0))-INDEX($F$4:$U$263,ROW(A150),MATCH($X$2,$F$3:$U$3,0)))</f>
        <v>0</v>
      </c>
      <c r="Z154">
        <f>AVERAGE(INDEX($Y$4:$Y$263,MATCH(SPC!$B$13,IF(Setup!$B$11="Weekly",'SPC Backing (Hide)'!$B$4:$B$263,'SPC Backing (Hide)'!$E$4:$E$263),0)):INDEX($Y$4:$Y$263,MATCH(SPC!$B$14,IF(Setup!$B$11="Weekly",'SPC Backing (Hide)'!$B$4:$B$263,'SPC Backing (Hide)'!$E$4:$E$263),0),1))</f>
        <v>18.416666666666668</v>
      </c>
      <c r="AA154">
        <f t="shared" si="33"/>
        <v>16.326832151300238</v>
      </c>
      <c r="AB154">
        <f t="shared" si="34"/>
        <v>88.60283687943263</v>
      </c>
      <c r="AC154">
        <f t="shared" si="35"/>
        <v>104.92966903073287</v>
      </c>
      <c r="AD154">
        <f t="shared" si="36"/>
        <v>121.25650118203311</v>
      </c>
      <c r="AE154">
        <f t="shared" si="37"/>
        <v>153.91016548463358</v>
      </c>
      <c r="AF154">
        <f t="shared" si="38"/>
        <v>170.23699763593382</v>
      </c>
      <c r="AG154">
        <f t="shared" si="39"/>
        <v>186.56382978723406</v>
      </c>
      <c r="AH154">
        <f t="shared" si="40"/>
        <v>0</v>
      </c>
      <c r="AI154">
        <f t="shared" si="47"/>
        <v>-2</v>
      </c>
      <c r="AJ154">
        <f t="shared" si="41"/>
        <v>0</v>
      </c>
      <c r="AK154">
        <f t="shared" si="42"/>
        <v>0</v>
      </c>
      <c r="AL154" t="e">
        <f t="shared" si="43"/>
        <v>#N/A</v>
      </c>
      <c r="AM154">
        <f t="shared" si="44"/>
        <v>-1</v>
      </c>
      <c r="AN154">
        <f t="shared" si="45"/>
        <v>0</v>
      </c>
      <c r="AO154">
        <f>_xlfn.PERCENTILE.INC(INDEX($W$4:$W$263,MATCH(SPC!$B$13,IF(Setup!$B$11="Weekly",'SPC Backing (Hide)'!$B$4:$B$263,'SPC Backing (Hide)'!$E$4:$E$263),0),1):INDEX($W$4:$W$263,MATCH(SPC!$B$14,IF(Setup!$B$11="Weekly",'SPC Backing (Hide)'!$B$4:$B$263,'SPC Backing (Hide)'!$E$4:$E$263),0),1),'SPC Backing (Hide)'!$AO$3)</f>
        <v>136.10000000000002</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4">
        <f t="shared" si="46"/>
        <v>33.44999999999996</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137.58333333333334</v>
      </c>
      <c r="Y155" cm="1">
        <f t="array" ref="Y155">ABS(INDEX($F$4:$U$263,ROW(A152),MATCH($X$2,$F$3:$U$3,0))-INDEX($F$4:$U$263,ROW(A151),MATCH($X$2,$F$3:$U$3,0)))</f>
        <v>0</v>
      </c>
      <c r="Z155">
        <f>AVERAGE(INDEX($Y$4:$Y$263,MATCH(SPC!$B$13,IF(Setup!$B$11="Weekly",'SPC Backing (Hide)'!$B$4:$B$263,'SPC Backing (Hide)'!$E$4:$E$263),0)):INDEX($Y$4:$Y$263,MATCH(SPC!$B$14,IF(Setup!$B$11="Weekly",'SPC Backing (Hide)'!$B$4:$B$263,'SPC Backing (Hide)'!$E$4:$E$263),0),1))</f>
        <v>18.416666666666668</v>
      </c>
      <c r="AA155">
        <f t="shared" si="33"/>
        <v>16.326832151300238</v>
      </c>
      <c r="AB155">
        <f t="shared" si="34"/>
        <v>88.60283687943263</v>
      </c>
      <c r="AC155">
        <f t="shared" si="35"/>
        <v>104.92966903073287</v>
      </c>
      <c r="AD155">
        <f t="shared" si="36"/>
        <v>121.25650118203311</v>
      </c>
      <c r="AE155">
        <f t="shared" si="37"/>
        <v>153.91016548463358</v>
      </c>
      <c r="AF155">
        <f t="shared" si="38"/>
        <v>170.23699763593382</v>
      </c>
      <c r="AG155">
        <f t="shared" si="39"/>
        <v>186.56382978723406</v>
      </c>
      <c r="AH155">
        <f t="shared" si="40"/>
        <v>0</v>
      </c>
      <c r="AI155">
        <f t="shared" si="47"/>
        <v>-2</v>
      </c>
      <c r="AJ155">
        <f t="shared" si="41"/>
        <v>0</v>
      </c>
      <c r="AK155">
        <f t="shared" si="42"/>
        <v>0</v>
      </c>
      <c r="AL155" t="e">
        <f t="shared" si="43"/>
        <v>#N/A</v>
      </c>
      <c r="AM155">
        <f t="shared" si="44"/>
        <v>-1</v>
      </c>
      <c r="AN155">
        <f t="shared" si="45"/>
        <v>0</v>
      </c>
      <c r="AO155">
        <f>_xlfn.PERCENTILE.INC(INDEX($W$4:$W$263,MATCH(SPC!$B$13,IF(Setup!$B$11="Weekly",'SPC Backing (Hide)'!$B$4:$B$263,'SPC Backing (Hide)'!$E$4:$E$263),0),1):INDEX($W$4:$W$263,MATCH(SPC!$B$14,IF(Setup!$B$11="Weekly",'SPC Backing (Hide)'!$B$4:$B$263,'SPC Backing (Hide)'!$E$4:$E$263),0),1),'SPC Backing (Hide)'!$AO$3)</f>
        <v>136.10000000000002</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5">
        <f t="shared" si="46"/>
        <v>33.44999999999996</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137.58333333333334</v>
      </c>
      <c r="Y156" cm="1">
        <f t="array" ref="Y156">ABS(INDEX($F$4:$U$263,ROW(A153),MATCH($X$2,$F$3:$U$3,0))-INDEX($F$4:$U$263,ROW(A152),MATCH($X$2,$F$3:$U$3,0)))</f>
        <v>0</v>
      </c>
      <c r="Z156">
        <f>AVERAGE(INDEX($Y$4:$Y$263,MATCH(SPC!$B$13,IF(Setup!$B$11="Weekly",'SPC Backing (Hide)'!$B$4:$B$263,'SPC Backing (Hide)'!$E$4:$E$263),0)):INDEX($Y$4:$Y$263,MATCH(SPC!$B$14,IF(Setup!$B$11="Weekly",'SPC Backing (Hide)'!$B$4:$B$263,'SPC Backing (Hide)'!$E$4:$E$263),0),1))</f>
        <v>18.416666666666668</v>
      </c>
      <c r="AA156">
        <f t="shared" si="33"/>
        <v>16.326832151300238</v>
      </c>
      <c r="AB156">
        <f t="shared" si="34"/>
        <v>88.60283687943263</v>
      </c>
      <c r="AC156">
        <f t="shared" si="35"/>
        <v>104.92966903073287</v>
      </c>
      <c r="AD156">
        <f t="shared" si="36"/>
        <v>121.25650118203311</v>
      </c>
      <c r="AE156">
        <f t="shared" si="37"/>
        <v>153.91016548463358</v>
      </c>
      <c r="AF156">
        <f t="shared" si="38"/>
        <v>170.23699763593382</v>
      </c>
      <c r="AG156">
        <f t="shared" si="39"/>
        <v>186.56382978723406</v>
      </c>
      <c r="AH156">
        <f t="shared" si="40"/>
        <v>0</v>
      </c>
      <c r="AI156">
        <f t="shared" si="47"/>
        <v>-2</v>
      </c>
      <c r="AJ156">
        <f t="shared" si="41"/>
        <v>0</v>
      </c>
      <c r="AK156">
        <f t="shared" si="42"/>
        <v>0</v>
      </c>
      <c r="AL156" t="e">
        <f t="shared" si="43"/>
        <v>#N/A</v>
      </c>
      <c r="AM156">
        <f t="shared" si="44"/>
        <v>-1</v>
      </c>
      <c r="AN156">
        <f t="shared" si="45"/>
        <v>0</v>
      </c>
      <c r="AO156">
        <f>_xlfn.PERCENTILE.INC(INDEX($W$4:$W$263,MATCH(SPC!$B$13,IF(Setup!$B$11="Weekly",'SPC Backing (Hide)'!$B$4:$B$263,'SPC Backing (Hide)'!$E$4:$E$263),0),1):INDEX($W$4:$W$263,MATCH(SPC!$B$14,IF(Setup!$B$11="Weekly",'SPC Backing (Hide)'!$B$4:$B$263,'SPC Backing (Hide)'!$E$4:$E$263),0),1),'SPC Backing (Hide)'!$AO$3)</f>
        <v>136.10000000000002</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6">
        <f t="shared" si="46"/>
        <v>33.44999999999996</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137.58333333333334</v>
      </c>
      <c r="Y157" cm="1">
        <f t="array" ref="Y157">ABS(INDEX($F$4:$U$263,ROW(A154),MATCH($X$2,$F$3:$U$3,0))-INDEX($F$4:$U$263,ROW(A153),MATCH($X$2,$F$3:$U$3,0)))</f>
        <v>0</v>
      </c>
      <c r="Z157">
        <f>AVERAGE(INDEX($Y$4:$Y$263,MATCH(SPC!$B$13,IF(Setup!$B$11="Weekly",'SPC Backing (Hide)'!$B$4:$B$263,'SPC Backing (Hide)'!$E$4:$E$263),0)):INDEX($Y$4:$Y$263,MATCH(SPC!$B$14,IF(Setup!$B$11="Weekly",'SPC Backing (Hide)'!$B$4:$B$263,'SPC Backing (Hide)'!$E$4:$E$263),0),1))</f>
        <v>18.416666666666668</v>
      </c>
      <c r="AA157">
        <f t="shared" si="33"/>
        <v>16.326832151300238</v>
      </c>
      <c r="AB157">
        <f t="shared" si="34"/>
        <v>88.60283687943263</v>
      </c>
      <c r="AC157">
        <f t="shared" si="35"/>
        <v>104.92966903073287</v>
      </c>
      <c r="AD157">
        <f t="shared" si="36"/>
        <v>121.25650118203311</v>
      </c>
      <c r="AE157">
        <f t="shared" si="37"/>
        <v>153.91016548463358</v>
      </c>
      <c r="AF157">
        <f t="shared" si="38"/>
        <v>170.23699763593382</v>
      </c>
      <c r="AG157">
        <f t="shared" si="39"/>
        <v>186.56382978723406</v>
      </c>
      <c r="AH157">
        <f t="shared" si="40"/>
        <v>0</v>
      </c>
      <c r="AI157">
        <f t="shared" si="47"/>
        <v>-2</v>
      </c>
      <c r="AJ157">
        <f t="shared" si="41"/>
        <v>0</v>
      </c>
      <c r="AK157">
        <f t="shared" si="42"/>
        <v>0</v>
      </c>
      <c r="AL157" t="e">
        <f t="shared" si="43"/>
        <v>#N/A</v>
      </c>
      <c r="AM157">
        <f t="shared" si="44"/>
        <v>-1</v>
      </c>
      <c r="AN157">
        <f t="shared" si="45"/>
        <v>0</v>
      </c>
      <c r="AO157">
        <f>_xlfn.PERCENTILE.INC(INDEX($W$4:$W$263,MATCH(SPC!$B$13,IF(Setup!$B$11="Weekly",'SPC Backing (Hide)'!$B$4:$B$263,'SPC Backing (Hide)'!$E$4:$E$263),0),1):INDEX($W$4:$W$263,MATCH(SPC!$B$14,IF(Setup!$B$11="Weekly",'SPC Backing (Hide)'!$B$4:$B$263,'SPC Backing (Hide)'!$E$4:$E$263),0),1),'SPC Backing (Hide)'!$AO$3)</f>
        <v>136.10000000000002</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7">
        <f t="shared" si="46"/>
        <v>33.44999999999996</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137.58333333333334</v>
      </c>
      <c r="Y158" cm="1">
        <f t="array" ref="Y158">ABS(INDEX($F$4:$U$263,ROW(A155),MATCH($X$2,$F$3:$U$3,0))-INDEX($F$4:$U$263,ROW(A154),MATCH($X$2,$F$3:$U$3,0)))</f>
        <v>0</v>
      </c>
      <c r="Z158">
        <f>AVERAGE(INDEX($Y$4:$Y$263,MATCH(SPC!$B$13,IF(Setup!$B$11="Weekly",'SPC Backing (Hide)'!$B$4:$B$263,'SPC Backing (Hide)'!$E$4:$E$263),0)):INDEX($Y$4:$Y$263,MATCH(SPC!$B$14,IF(Setup!$B$11="Weekly",'SPC Backing (Hide)'!$B$4:$B$263,'SPC Backing (Hide)'!$E$4:$E$263),0),1))</f>
        <v>18.416666666666668</v>
      </c>
      <c r="AA158">
        <f t="shared" si="33"/>
        <v>16.326832151300238</v>
      </c>
      <c r="AB158">
        <f t="shared" si="34"/>
        <v>88.60283687943263</v>
      </c>
      <c r="AC158">
        <f t="shared" si="35"/>
        <v>104.92966903073287</v>
      </c>
      <c r="AD158">
        <f t="shared" si="36"/>
        <v>121.25650118203311</v>
      </c>
      <c r="AE158">
        <f t="shared" si="37"/>
        <v>153.91016548463358</v>
      </c>
      <c r="AF158">
        <f t="shared" si="38"/>
        <v>170.23699763593382</v>
      </c>
      <c r="AG158">
        <f t="shared" si="39"/>
        <v>186.56382978723406</v>
      </c>
      <c r="AH158">
        <f t="shared" si="40"/>
        <v>0</v>
      </c>
      <c r="AI158">
        <f t="shared" si="47"/>
        <v>-2</v>
      </c>
      <c r="AJ158">
        <f t="shared" si="41"/>
        <v>0</v>
      </c>
      <c r="AK158">
        <f t="shared" si="42"/>
        <v>0</v>
      </c>
      <c r="AL158" t="e">
        <f t="shared" si="43"/>
        <v>#N/A</v>
      </c>
      <c r="AM158">
        <f t="shared" si="44"/>
        <v>-1</v>
      </c>
      <c r="AN158">
        <f t="shared" si="45"/>
        <v>0</v>
      </c>
      <c r="AO158">
        <f>_xlfn.PERCENTILE.INC(INDEX($W$4:$W$263,MATCH(SPC!$B$13,IF(Setup!$B$11="Weekly",'SPC Backing (Hide)'!$B$4:$B$263,'SPC Backing (Hide)'!$E$4:$E$263),0),1):INDEX($W$4:$W$263,MATCH(SPC!$B$14,IF(Setup!$B$11="Weekly",'SPC Backing (Hide)'!$B$4:$B$263,'SPC Backing (Hide)'!$E$4:$E$263),0),1),'SPC Backing (Hide)'!$AO$3)</f>
        <v>136.10000000000002</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8">
        <f t="shared" si="46"/>
        <v>33.44999999999996</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137.58333333333334</v>
      </c>
      <c r="Y159" cm="1">
        <f t="array" ref="Y159">ABS(INDEX($F$4:$U$263,ROW(A156),MATCH($X$2,$F$3:$U$3,0))-INDEX($F$4:$U$263,ROW(A155),MATCH($X$2,$F$3:$U$3,0)))</f>
        <v>0</v>
      </c>
      <c r="Z159">
        <f>AVERAGE(INDEX($Y$4:$Y$263,MATCH(SPC!$B$13,IF(Setup!$B$11="Weekly",'SPC Backing (Hide)'!$B$4:$B$263,'SPC Backing (Hide)'!$E$4:$E$263),0)):INDEX($Y$4:$Y$263,MATCH(SPC!$B$14,IF(Setup!$B$11="Weekly",'SPC Backing (Hide)'!$B$4:$B$263,'SPC Backing (Hide)'!$E$4:$E$263),0),1))</f>
        <v>18.416666666666668</v>
      </c>
      <c r="AA159">
        <f t="shared" si="33"/>
        <v>16.326832151300238</v>
      </c>
      <c r="AB159">
        <f t="shared" si="34"/>
        <v>88.60283687943263</v>
      </c>
      <c r="AC159">
        <f t="shared" si="35"/>
        <v>104.92966903073287</v>
      </c>
      <c r="AD159">
        <f t="shared" si="36"/>
        <v>121.25650118203311</v>
      </c>
      <c r="AE159">
        <f t="shared" si="37"/>
        <v>153.91016548463358</v>
      </c>
      <c r="AF159">
        <f t="shared" si="38"/>
        <v>170.23699763593382</v>
      </c>
      <c r="AG159">
        <f t="shared" si="39"/>
        <v>186.56382978723406</v>
      </c>
      <c r="AH159">
        <f t="shared" si="40"/>
        <v>0</v>
      </c>
      <c r="AI159">
        <f t="shared" si="47"/>
        <v>-2</v>
      </c>
      <c r="AJ159">
        <f t="shared" si="41"/>
        <v>0</v>
      </c>
      <c r="AK159">
        <f t="shared" si="42"/>
        <v>0</v>
      </c>
      <c r="AL159" t="e">
        <f t="shared" si="43"/>
        <v>#N/A</v>
      </c>
      <c r="AM159">
        <f t="shared" si="44"/>
        <v>-1</v>
      </c>
      <c r="AN159">
        <f t="shared" si="45"/>
        <v>0</v>
      </c>
      <c r="AO159">
        <f>_xlfn.PERCENTILE.INC(INDEX($W$4:$W$263,MATCH(SPC!$B$13,IF(Setup!$B$11="Weekly",'SPC Backing (Hide)'!$B$4:$B$263,'SPC Backing (Hide)'!$E$4:$E$263),0),1):INDEX($W$4:$W$263,MATCH(SPC!$B$14,IF(Setup!$B$11="Weekly",'SPC Backing (Hide)'!$B$4:$B$263,'SPC Backing (Hide)'!$E$4:$E$263),0),1),'SPC Backing (Hide)'!$AO$3)</f>
        <v>136.10000000000002</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59">
        <f t="shared" si="46"/>
        <v>33.44999999999996</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137.58333333333334</v>
      </c>
      <c r="Y160" cm="1">
        <f t="array" ref="Y160">ABS(INDEX($F$4:$U$263,ROW(A157),MATCH($X$2,$F$3:$U$3,0))-INDEX($F$4:$U$263,ROW(A156),MATCH($X$2,$F$3:$U$3,0)))</f>
        <v>0</v>
      </c>
      <c r="Z160">
        <f>AVERAGE(INDEX($Y$4:$Y$263,MATCH(SPC!$B$13,IF(Setup!$B$11="Weekly",'SPC Backing (Hide)'!$B$4:$B$263,'SPC Backing (Hide)'!$E$4:$E$263),0)):INDEX($Y$4:$Y$263,MATCH(SPC!$B$14,IF(Setup!$B$11="Weekly",'SPC Backing (Hide)'!$B$4:$B$263,'SPC Backing (Hide)'!$E$4:$E$263),0),1))</f>
        <v>18.416666666666668</v>
      </c>
      <c r="AA160">
        <f t="shared" si="33"/>
        <v>16.326832151300238</v>
      </c>
      <c r="AB160">
        <f t="shared" si="34"/>
        <v>88.60283687943263</v>
      </c>
      <c r="AC160">
        <f t="shared" si="35"/>
        <v>104.92966903073287</v>
      </c>
      <c r="AD160">
        <f t="shared" si="36"/>
        <v>121.25650118203311</v>
      </c>
      <c r="AE160">
        <f t="shared" si="37"/>
        <v>153.91016548463358</v>
      </c>
      <c r="AF160">
        <f t="shared" si="38"/>
        <v>170.23699763593382</v>
      </c>
      <c r="AG160">
        <f t="shared" si="39"/>
        <v>186.56382978723406</v>
      </c>
      <c r="AH160">
        <f t="shared" si="40"/>
        <v>0</v>
      </c>
      <c r="AI160">
        <f t="shared" si="47"/>
        <v>-2</v>
      </c>
      <c r="AJ160">
        <f t="shared" si="41"/>
        <v>0</v>
      </c>
      <c r="AK160">
        <f t="shared" si="42"/>
        <v>0</v>
      </c>
      <c r="AL160" t="e">
        <f t="shared" si="43"/>
        <v>#N/A</v>
      </c>
      <c r="AM160">
        <f t="shared" si="44"/>
        <v>-1</v>
      </c>
      <c r="AN160">
        <f t="shared" si="45"/>
        <v>0</v>
      </c>
      <c r="AO160">
        <f>_xlfn.PERCENTILE.INC(INDEX($W$4:$W$263,MATCH(SPC!$B$13,IF(Setup!$B$11="Weekly",'SPC Backing (Hide)'!$B$4:$B$263,'SPC Backing (Hide)'!$E$4:$E$263),0),1):INDEX($W$4:$W$263,MATCH(SPC!$B$14,IF(Setup!$B$11="Weekly",'SPC Backing (Hide)'!$B$4:$B$263,'SPC Backing (Hide)'!$E$4:$E$263),0),1),'SPC Backing (Hide)'!$AO$3)</f>
        <v>136.10000000000002</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0">
        <f t="shared" si="46"/>
        <v>33.44999999999996</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137.58333333333334</v>
      </c>
      <c r="Y161" cm="1">
        <f t="array" ref="Y161">ABS(INDEX($F$4:$U$263,ROW(A158),MATCH($X$2,$F$3:$U$3,0))-INDEX($F$4:$U$263,ROW(A157),MATCH($X$2,$F$3:$U$3,0)))</f>
        <v>0</v>
      </c>
      <c r="Z161">
        <f>AVERAGE(INDEX($Y$4:$Y$263,MATCH(SPC!$B$13,IF(Setup!$B$11="Weekly",'SPC Backing (Hide)'!$B$4:$B$263,'SPC Backing (Hide)'!$E$4:$E$263),0)):INDEX($Y$4:$Y$263,MATCH(SPC!$B$14,IF(Setup!$B$11="Weekly",'SPC Backing (Hide)'!$B$4:$B$263,'SPC Backing (Hide)'!$E$4:$E$263),0),1))</f>
        <v>18.416666666666668</v>
      </c>
      <c r="AA161">
        <f t="shared" si="33"/>
        <v>16.326832151300238</v>
      </c>
      <c r="AB161">
        <f t="shared" si="34"/>
        <v>88.60283687943263</v>
      </c>
      <c r="AC161">
        <f t="shared" si="35"/>
        <v>104.92966903073287</v>
      </c>
      <c r="AD161">
        <f t="shared" si="36"/>
        <v>121.25650118203311</v>
      </c>
      <c r="AE161">
        <f t="shared" si="37"/>
        <v>153.91016548463358</v>
      </c>
      <c r="AF161">
        <f t="shared" si="38"/>
        <v>170.23699763593382</v>
      </c>
      <c r="AG161">
        <f t="shared" si="39"/>
        <v>186.56382978723406</v>
      </c>
      <c r="AH161">
        <f t="shared" si="40"/>
        <v>0</v>
      </c>
      <c r="AI161">
        <f t="shared" si="47"/>
        <v>-2</v>
      </c>
      <c r="AJ161">
        <f t="shared" si="41"/>
        <v>0</v>
      </c>
      <c r="AK161">
        <f t="shared" si="42"/>
        <v>0</v>
      </c>
      <c r="AL161" t="e">
        <f t="shared" si="43"/>
        <v>#N/A</v>
      </c>
      <c r="AM161">
        <f t="shared" si="44"/>
        <v>-1</v>
      </c>
      <c r="AN161">
        <f t="shared" si="45"/>
        <v>0</v>
      </c>
      <c r="AO161">
        <f>_xlfn.PERCENTILE.INC(INDEX($W$4:$W$263,MATCH(SPC!$B$13,IF(Setup!$B$11="Weekly",'SPC Backing (Hide)'!$B$4:$B$263,'SPC Backing (Hide)'!$E$4:$E$263),0),1):INDEX($W$4:$W$263,MATCH(SPC!$B$14,IF(Setup!$B$11="Weekly",'SPC Backing (Hide)'!$B$4:$B$263,'SPC Backing (Hide)'!$E$4:$E$263),0),1),'SPC Backing (Hide)'!$AO$3)</f>
        <v>136.10000000000002</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1">
        <f t="shared" si="46"/>
        <v>33.44999999999996</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137.58333333333334</v>
      </c>
      <c r="Y162" cm="1">
        <f t="array" ref="Y162">ABS(INDEX($F$4:$U$263,ROW(A159),MATCH($X$2,$F$3:$U$3,0))-INDEX($F$4:$U$263,ROW(A158),MATCH($X$2,$F$3:$U$3,0)))</f>
        <v>0</v>
      </c>
      <c r="Z162">
        <f>AVERAGE(INDEX($Y$4:$Y$263,MATCH(SPC!$B$13,IF(Setup!$B$11="Weekly",'SPC Backing (Hide)'!$B$4:$B$263,'SPC Backing (Hide)'!$E$4:$E$263),0)):INDEX($Y$4:$Y$263,MATCH(SPC!$B$14,IF(Setup!$B$11="Weekly",'SPC Backing (Hide)'!$B$4:$B$263,'SPC Backing (Hide)'!$E$4:$E$263),0),1))</f>
        <v>18.416666666666668</v>
      </c>
      <c r="AA162">
        <f t="shared" si="33"/>
        <v>16.326832151300238</v>
      </c>
      <c r="AB162">
        <f t="shared" si="34"/>
        <v>88.60283687943263</v>
      </c>
      <c r="AC162">
        <f t="shared" si="35"/>
        <v>104.92966903073287</v>
      </c>
      <c r="AD162">
        <f t="shared" si="36"/>
        <v>121.25650118203311</v>
      </c>
      <c r="AE162">
        <f t="shared" si="37"/>
        <v>153.91016548463358</v>
      </c>
      <c r="AF162">
        <f t="shared" si="38"/>
        <v>170.23699763593382</v>
      </c>
      <c r="AG162">
        <f t="shared" si="39"/>
        <v>186.56382978723406</v>
      </c>
      <c r="AH162">
        <f t="shared" si="40"/>
        <v>0</v>
      </c>
      <c r="AI162">
        <f t="shared" si="47"/>
        <v>-2</v>
      </c>
      <c r="AJ162">
        <f t="shared" si="41"/>
        <v>0</v>
      </c>
      <c r="AK162">
        <f t="shared" si="42"/>
        <v>0</v>
      </c>
      <c r="AL162" t="e">
        <f t="shared" si="43"/>
        <v>#N/A</v>
      </c>
      <c r="AM162">
        <f t="shared" si="44"/>
        <v>-1</v>
      </c>
      <c r="AN162">
        <f t="shared" si="45"/>
        <v>0</v>
      </c>
      <c r="AO162">
        <f>_xlfn.PERCENTILE.INC(INDEX($W$4:$W$263,MATCH(SPC!$B$13,IF(Setup!$B$11="Weekly",'SPC Backing (Hide)'!$B$4:$B$263,'SPC Backing (Hide)'!$E$4:$E$263),0),1):INDEX($W$4:$W$263,MATCH(SPC!$B$14,IF(Setup!$B$11="Weekly",'SPC Backing (Hide)'!$B$4:$B$263,'SPC Backing (Hide)'!$E$4:$E$263),0),1),'SPC Backing (Hide)'!$AO$3)</f>
        <v>136.10000000000002</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2">
        <f t="shared" si="46"/>
        <v>33.44999999999996</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137.58333333333334</v>
      </c>
      <c r="Y163" cm="1">
        <f t="array" ref="Y163">ABS(INDEX($F$4:$U$263,ROW(A160),MATCH($X$2,$F$3:$U$3,0))-INDEX($F$4:$U$263,ROW(A159),MATCH($X$2,$F$3:$U$3,0)))</f>
        <v>0</v>
      </c>
      <c r="Z163">
        <f>AVERAGE(INDEX($Y$4:$Y$263,MATCH(SPC!$B$13,IF(Setup!$B$11="Weekly",'SPC Backing (Hide)'!$B$4:$B$263,'SPC Backing (Hide)'!$E$4:$E$263),0)):INDEX($Y$4:$Y$263,MATCH(SPC!$B$14,IF(Setup!$B$11="Weekly",'SPC Backing (Hide)'!$B$4:$B$263,'SPC Backing (Hide)'!$E$4:$E$263),0),1))</f>
        <v>18.416666666666668</v>
      </c>
      <c r="AA163">
        <f t="shared" si="33"/>
        <v>16.326832151300238</v>
      </c>
      <c r="AB163">
        <f t="shared" si="34"/>
        <v>88.60283687943263</v>
      </c>
      <c r="AC163">
        <f t="shared" si="35"/>
        <v>104.92966903073287</v>
      </c>
      <c r="AD163">
        <f t="shared" si="36"/>
        <v>121.25650118203311</v>
      </c>
      <c r="AE163">
        <f t="shared" si="37"/>
        <v>153.91016548463358</v>
      </c>
      <c r="AF163">
        <f t="shared" si="38"/>
        <v>170.23699763593382</v>
      </c>
      <c r="AG163">
        <f t="shared" si="39"/>
        <v>186.56382978723406</v>
      </c>
      <c r="AH163">
        <f t="shared" si="40"/>
        <v>0</v>
      </c>
      <c r="AI163">
        <f t="shared" si="47"/>
        <v>-2</v>
      </c>
      <c r="AJ163">
        <f t="shared" si="41"/>
        <v>0</v>
      </c>
      <c r="AK163">
        <f t="shared" si="42"/>
        <v>0</v>
      </c>
      <c r="AL163" t="e">
        <f t="shared" si="43"/>
        <v>#N/A</v>
      </c>
      <c r="AM163">
        <f t="shared" si="44"/>
        <v>-1</v>
      </c>
      <c r="AN163">
        <f t="shared" si="45"/>
        <v>0</v>
      </c>
      <c r="AO163">
        <f>_xlfn.PERCENTILE.INC(INDEX($W$4:$W$263,MATCH(SPC!$B$13,IF(Setup!$B$11="Weekly",'SPC Backing (Hide)'!$B$4:$B$263,'SPC Backing (Hide)'!$E$4:$E$263),0),1):INDEX($W$4:$W$263,MATCH(SPC!$B$14,IF(Setup!$B$11="Weekly",'SPC Backing (Hide)'!$B$4:$B$263,'SPC Backing (Hide)'!$E$4:$E$263),0),1),'SPC Backing (Hide)'!$AO$3)</f>
        <v>136.10000000000002</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3">
        <f t="shared" si="46"/>
        <v>33.44999999999996</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137.58333333333334</v>
      </c>
      <c r="Y164" cm="1">
        <f t="array" ref="Y164">ABS(INDEX($F$4:$U$263,ROW(A161),MATCH($X$2,$F$3:$U$3,0))-INDEX($F$4:$U$263,ROW(A160),MATCH($X$2,$F$3:$U$3,0)))</f>
        <v>0</v>
      </c>
      <c r="Z164">
        <f>AVERAGE(INDEX($Y$4:$Y$263,MATCH(SPC!$B$13,IF(Setup!$B$11="Weekly",'SPC Backing (Hide)'!$B$4:$B$263,'SPC Backing (Hide)'!$E$4:$E$263),0)):INDEX($Y$4:$Y$263,MATCH(SPC!$B$14,IF(Setup!$B$11="Weekly",'SPC Backing (Hide)'!$B$4:$B$263,'SPC Backing (Hide)'!$E$4:$E$263),0),1))</f>
        <v>18.416666666666668</v>
      </c>
      <c r="AA164">
        <f t="shared" si="33"/>
        <v>16.326832151300238</v>
      </c>
      <c r="AB164">
        <f t="shared" si="34"/>
        <v>88.60283687943263</v>
      </c>
      <c r="AC164">
        <f t="shared" si="35"/>
        <v>104.92966903073287</v>
      </c>
      <c r="AD164">
        <f t="shared" si="36"/>
        <v>121.25650118203311</v>
      </c>
      <c r="AE164">
        <f t="shared" si="37"/>
        <v>153.91016548463358</v>
      </c>
      <c r="AF164">
        <f t="shared" si="38"/>
        <v>170.23699763593382</v>
      </c>
      <c r="AG164">
        <f t="shared" si="39"/>
        <v>186.56382978723406</v>
      </c>
      <c r="AH164">
        <f t="shared" si="40"/>
        <v>0</v>
      </c>
      <c r="AI164">
        <f t="shared" si="47"/>
        <v>-2</v>
      </c>
      <c r="AJ164">
        <f t="shared" si="41"/>
        <v>0</v>
      </c>
      <c r="AK164">
        <f t="shared" si="42"/>
        <v>0</v>
      </c>
      <c r="AL164" t="e">
        <f t="shared" si="43"/>
        <v>#N/A</v>
      </c>
      <c r="AM164">
        <f t="shared" si="44"/>
        <v>-1</v>
      </c>
      <c r="AN164">
        <f t="shared" si="45"/>
        <v>0</v>
      </c>
      <c r="AO164">
        <f>_xlfn.PERCENTILE.INC(INDEX($W$4:$W$263,MATCH(SPC!$B$13,IF(Setup!$B$11="Weekly",'SPC Backing (Hide)'!$B$4:$B$263,'SPC Backing (Hide)'!$E$4:$E$263),0),1):INDEX($W$4:$W$263,MATCH(SPC!$B$14,IF(Setup!$B$11="Weekly",'SPC Backing (Hide)'!$B$4:$B$263,'SPC Backing (Hide)'!$E$4:$E$263),0),1),'SPC Backing (Hide)'!$AO$3)</f>
        <v>136.10000000000002</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4">
        <f t="shared" si="46"/>
        <v>33.44999999999996</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137.58333333333334</v>
      </c>
      <c r="Y165" cm="1">
        <f t="array" ref="Y165">ABS(INDEX($F$4:$U$263,ROW(A162),MATCH($X$2,$F$3:$U$3,0))-INDEX($F$4:$U$263,ROW(A161),MATCH($X$2,$F$3:$U$3,0)))</f>
        <v>0</v>
      </c>
      <c r="Z165">
        <f>AVERAGE(INDEX($Y$4:$Y$263,MATCH(SPC!$B$13,IF(Setup!$B$11="Weekly",'SPC Backing (Hide)'!$B$4:$B$263,'SPC Backing (Hide)'!$E$4:$E$263),0)):INDEX($Y$4:$Y$263,MATCH(SPC!$B$14,IF(Setup!$B$11="Weekly",'SPC Backing (Hide)'!$B$4:$B$263,'SPC Backing (Hide)'!$E$4:$E$263),0),1))</f>
        <v>18.416666666666668</v>
      </c>
      <c r="AA165">
        <f t="shared" si="33"/>
        <v>16.326832151300238</v>
      </c>
      <c r="AB165">
        <f t="shared" si="34"/>
        <v>88.60283687943263</v>
      </c>
      <c r="AC165">
        <f t="shared" si="35"/>
        <v>104.92966903073287</v>
      </c>
      <c r="AD165">
        <f t="shared" si="36"/>
        <v>121.25650118203311</v>
      </c>
      <c r="AE165">
        <f t="shared" si="37"/>
        <v>153.91016548463358</v>
      </c>
      <c r="AF165">
        <f t="shared" si="38"/>
        <v>170.23699763593382</v>
      </c>
      <c r="AG165">
        <f t="shared" si="39"/>
        <v>186.56382978723406</v>
      </c>
      <c r="AH165">
        <f t="shared" si="40"/>
        <v>0</v>
      </c>
      <c r="AI165">
        <f t="shared" si="47"/>
        <v>-2</v>
      </c>
      <c r="AJ165">
        <f t="shared" si="41"/>
        <v>0</v>
      </c>
      <c r="AK165">
        <f t="shared" si="42"/>
        <v>0</v>
      </c>
      <c r="AL165" t="e">
        <f t="shared" si="43"/>
        <v>#N/A</v>
      </c>
      <c r="AM165">
        <f t="shared" si="44"/>
        <v>-1</v>
      </c>
      <c r="AN165">
        <f t="shared" si="45"/>
        <v>0</v>
      </c>
      <c r="AO165">
        <f>_xlfn.PERCENTILE.INC(INDEX($W$4:$W$263,MATCH(SPC!$B$13,IF(Setup!$B$11="Weekly",'SPC Backing (Hide)'!$B$4:$B$263,'SPC Backing (Hide)'!$E$4:$E$263),0),1):INDEX($W$4:$W$263,MATCH(SPC!$B$14,IF(Setup!$B$11="Weekly",'SPC Backing (Hide)'!$B$4:$B$263,'SPC Backing (Hide)'!$E$4:$E$263),0),1),'SPC Backing (Hide)'!$AO$3)</f>
        <v>136.10000000000002</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5">
        <f t="shared" si="46"/>
        <v>33.44999999999996</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137.58333333333334</v>
      </c>
      <c r="Y166" cm="1">
        <f t="array" ref="Y166">ABS(INDEX($F$4:$U$263,ROW(A163),MATCH($X$2,$F$3:$U$3,0))-INDEX($F$4:$U$263,ROW(A162),MATCH($X$2,$F$3:$U$3,0)))</f>
        <v>0</v>
      </c>
      <c r="Z166">
        <f>AVERAGE(INDEX($Y$4:$Y$263,MATCH(SPC!$B$13,IF(Setup!$B$11="Weekly",'SPC Backing (Hide)'!$B$4:$B$263,'SPC Backing (Hide)'!$E$4:$E$263),0)):INDEX($Y$4:$Y$263,MATCH(SPC!$B$14,IF(Setup!$B$11="Weekly",'SPC Backing (Hide)'!$B$4:$B$263,'SPC Backing (Hide)'!$E$4:$E$263),0),1))</f>
        <v>18.416666666666668</v>
      </c>
      <c r="AA166">
        <f t="shared" si="33"/>
        <v>16.326832151300238</v>
      </c>
      <c r="AB166">
        <f t="shared" si="34"/>
        <v>88.60283687943263</v>
      </c>
      <c r="AC166">
        <f t="shared" si="35"/>
        <v>104.92966903073287</v>
      </c>
      <c r="AD166">
        <f t="shared" si="36"/>
        <v>121.25650118203311</v>
      </c>
      <c r="AE166">
        <f t="shared" si="37"/>
        <v>153.91016548463358</v>
      </c>
      <c r="AF166">
        <f t="shared" si="38"/>
        <v>170.23699763593382</v>
      </c>
      <c r="AG166">
        <f t="shared" si="39"/>
        <v>186.56382978723406</v>
      </c>
      <c r="AH166">
        <f t="shared" si="40"/>
        <v>0</v>
      </c>
      <c r="AI166">
        <f t="shared" si="47"/>
        <v>-2</v>
      </c>
      <c r="AJ166">
        <f t="shared" si="41"/>
        <v>0</v>
      </c>
      <c r="AK166">
        <f t="shared" si="42"/>
        <v>0</v>
      </c>
      <c r="AL166" t="e">
        <f t="shared" si="43"/>
        <v>#N/A</v>
      </c>
      <c r="AM166">
        <f t="shared" si="44"/>
        <v>-1</v>
      </c>
      <c r="AN166">
        <f t="shared" si="45"/>
        <v>0</v>
      </c>
      <c r="AO166">
        <f>_xlfn.PERCENTILE.INC(INDEX($W$4:$W$263,MATCH(SPC!$B$13,IF(Setup!$B$11="Weekly",'SPC Backing (Hide)'!$B$4:$B$263,'SPC Backing (Hide)'!$E$4:$E$263),0),1):INDEX($W$4:$W$263,MATCH(SPC!$B$14,IF(Setup!$B$11="Weekly",'SPC Backing (Hide)'!$B$4:$B$263,'SPC Backing (Hide)'!$E$4:$E$263),0),1),'SPC Backing (Hide)'!$AO$3)</f>
        <v>136.10000000000002</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6">
        <f t="shared" si="46"/>
        <v>33.44999999999996</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137.58333333333334</v>
      </c>
      <c r="Y167" cm="1">
        <f t="array" ref="Y167">ABS(INDEX($F$4:$U$263,ROW(A164),MATCH($X$2,$F$3:$U$3,0))-INDEX($F$4:$U$263,ROW(A163),MATCH($X$2,$F$3:$U$3,0)))</f>
        <v>0</v>
      </c>
      <c r="Z167">
        <f>AVERAGE(INDEX($Y$4:$Y$263,MATCH(SPC!$B$13,IF(Setup!$B$11="Weekly",'SPC Backing (Hide)'!$B$4:$B$263,'SPC Backing (Hide)'!$E$4:$E$263),0)):INDEX($Y$4:$Y$263,MATCH(SPC!$B$14,IF(Setup!$B$11="Weekly",'SPC Backing (Hide)'!$B$4:$B$263,'SPC Backing (Hide)'!$E$4:$E$263),0),1))</f>
        <v>18.416666666666668</v>
      </c>
      <c r="AA167">
        <f t="shared" si="33"/>
        <v>16.326832151300238</v>
      </c>
      <c r="AB167">
        <f t="shared" si="34"/>
        <v>88.60283687943263</v>
      </c>
      <c r="AC167">
        <f t="shared" si="35"/>
        <v>104.92966903073287</v>
      </c>
      <c r="AD167">
        <f t="shared" si="36"/>
        <v>121.25650118203311</v>
      </c>
      <c r="AE167">
        <f t="shared" si="37"/>
        <v>153.91016548463358</v>
      </c>
      <c r="AF167">
        <f t="shared" si="38"/>
        <v>170.23699763593382</v>
      </c>
      <c r="AG167">
        <f t="shared" si="39"/>
        <v>186.56382978723406</v>
      </c>
      <c r="AH167">
        <f t="shared" si="40"/>
        <v>0</v>
      </c>
      <c r="AI167">
        <f t="shared" si="47"/>
        <v>-2</v>
      </c>
      <c r="AJ167">
        <f t="shared" si="41"/>
        <v>0</v>
      </c>
      <c r="AK167">
        <f t="shared" si="42"/>
        <v>0</v>
      </c>
      <c r="AL167" t="e">
        <f t="shared" si="43"/>
        <v>#N/A</v>
      </c>
      <c r="AM167">
        <f t="shared" si="44"/>
        <v>-1</v>
      </c>
      <c r="AN167">
        <f t="shared" si="45"/>
        <v>0</v>
      </c>
      <c r="AO167">
        <f>_xlfn.PERCENTILE.INC(INDEX($W$4:$W$263,MATCH(SPC!$B$13,IF(Setup!$B$11="Weekly",'SPC Backing (Hide)'!$B$4:$B$263,'SPC Backing (Hide)'!$E$4:$E$263),0),1):INDEX($W$4:$W$263,MATCH(SPC!$B$14,IF(Setup!$B$11="Weekly",'SPC Backing (Hide)'!$B$4:$B$263,'SPC Backing (Hide)'!$E$4:$E$263),0),1),'SPC Backing (Hide)'!$AO$3)</f>
        <v>136.10000000000002</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7">
        <f t="shared" si="46"/>
        <v>33.44999999999996</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137.58333333333334</v>
      </c>
      <c r="Y168" cm="1">
        <f t="array" ref="Y168">ABS(INDEX($F$4:$U$263,ROW(A165),MATCH($X$2,$F$3:$U$3,0))-INDEX($F$4:$U$263,ROW(A164),MATCH($X$2,$F$3:$U$3,0)))</f>
        <v>0</v>
      </c>
      <c r="Z168">
        <f>AVERAGE(INDEX($Y$4:$Y$263,MATCH(SPC!$B$13,IF(Setup!$B$11="Weekly",'SPC Backing (Hide)'!$B$4:$B$263,'SPC Backing (Hide)'!$E$4:$E$263),0)):INDEX($Y$4:$Y$263,MATCH(SPC!$B$14,IF(Setup!$B$11="Weekly",'SPC Backing (Hide)'!$B$4:$B$263,'SPC Backing (Hide)'!$E$4:$E$263),0),1))</f>
        <v>18.416666666666668</v>
      </c>
      <c r="AA168">
        <f t="shared" si="33"/>
        <v>16.326832151300238</v>
      </c>
      <c r="AB168">
        <f t="shared" si="34"/>
        <v>88.60283687943263</v>
      </c>
      <c r="AC168">
        <f t="shared" si="35"/>
        <v>104.92966903073287</v>
      </c>
      <c r="AD168">
        <f t="shared" si="36"/>
        <v>121.25650118203311</v>
      </c>
      <c r="AE168">
        <f t="shared" si="37"/>
        <v>153.91016548463358</v>
      </c>
      <c r="AF168">
        <f t="shared" si="38"/>
        <v>170.23699763593382</v>
      </c>
      <c r="AG168">
        <f t="shared" si="39"/>
        <v>186.56382978723406</v>
      </c>
      <c r="AH168">
        <f t="shared" si="40"/>
        <v>0</v>
      </c>
      <c r="AI168">
        <f t="shared" si="47"/>
        <v>-2</v>
      </c>
      <c r="AJ168">
        <f t="shared" si="41"/>
        <v>0</v>
      </c>
      <c r="AK168">
        <f t="shared" si="42"/>
        <v>0</v>
      </c>
      <c r="AL168" t="e">
        <f t="shared" si="43"/>
        <v>#N/A</v>
      </c>
      <c r="AM168">
        <f t="shared" si="44"/>
        <v>-1</v>
      </c>
      <c r="AN168">
        <f t="shared" si="45"/>
        <v>0</v>
      </c>
      <c r="AO168">
        <f>_xlfn.PERCENTILE.INC(INDEX($W$4:$W$263,MATCH(SPC!$B$13,IF(Setup!$B$11="Weekly",'SPC Backing (Hide)'!$B$4:$B$263,'SPC Backing (Hide)'!$E$4:$E$263),0),1):INDEX($W$4:$W$263,MATCH(SPC!$B$14,IF(Setup!$B$11="Weekly",'SPC Backing (Hide)'!$B$4:$B$263,'SPC Backing (Hide)'!$E$4:$E$263),0),1),'SPC Backing (Hide)'!$AO$3)</f>
        <v>136.10000000000002</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8">
        <f t="shared" si="46"/>
        <v>33.44999999999996</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137.58333333333334</v>
      </c>
      <c r="Y169" cm="1">
        <f t="array" ref="Y169">ABS(INDEX($F$4:$U$263,ROW(A166),MATCH($X$2,$F$3:$U$3,0))-INDEX($F$4:$U$263,ROW(A165),MATCH($X$2,$F$3:$U$3,0)))</f>
        <v>0</v>
      </c>
      <c r="Z169">
        <f>AVERAGE(INDEX($Y$4:$Y$263,MATCH(SPC!$B$13,IF(Setup!$B$11="Weekly",'SPC Backing (Hide)'!$B$4:$B$263,'SPC Backing (Hide)'!$E$4:$E$263),0)):INDEX($Y$4:$Y$263,MATCH(SPC!$B$14,IF(Setup!$B$11="Weekly",'SPC Backing (Hide)'!$B$4:$B$263,'SPC Backing (Hide)'!$E$4:$E$263),0),1))</f>
        <v>18.416666666666668</v>
      </c>
      <c r="AA169">
        <f t="shared" si="33"/>
        <v>16.326832151300238</v>
      </c>
      <c r="AB169">
        <f t="shared" si="34"/>
        <v>88.60283687943263</v>
      </c>
      <c r="AC169">
        <f t="shared" si="35"/>
        <v>104.92966903073287</v>
      </c>
      <c r="AD169">
        <f t="shared" si="36"/>
        <v>121.25650118203311</v>
      </c>
      <c r="AE169">
        <f t="shared" si="37"/>
        <v>153.91016548463358</v>
      </c>
      <c r="AF169">
        <f t="shared" si="38"/>
        <v>170.23699763593382</v>
      </c>
      <c r="AG169">
        <f t="shared" si="39"/>
        <v>186.56382978723406</v>
      </c>
      <c r="AH169">
        <f t="shared" si="40"/>
        <v>0</v>
      </c>
      <c r="AI169">
        <f t="shared" si="47"/>
        <v>-2</v>
      </c>
      <c r="AJ169">
        <f t="shared" si="41"/>
        <v>0</v>
      </c>
      <c r="AK169">
        <f t="shared" si="42"/>
        <v>0</v>
      </c>
      <c r="AL169" t="e">
        <f t="shared" si="43"/>
        <v>#N/A</v>
      </c>
      <c r="AM169">
        <f t="shared" si="44"/>
        <v>-1</v>
      </c>
      <c r="AN169">
        <f t="shared" si="45"/>
        <v>0</v>
      </c>
      <c r="AO169">
        <f>_xlfn.PERCENTILE.INC(INDEX($W$4:$W$263,MATCH(SPC!$B$13,IF(Setup!$B$11="Weekly",'SPC Backing (Hide)'!$B$4:$B$263,'SPC Backing (Hide)'!$E$4:$E$263),0),1):INDEX($W$4:$W$263,MATCH(SPC!$B$14,IF(Setup!$B$11="Weekly",'SPC Backing (Hide)'!$B$4:$B$263,'SPC Backing (Hide)'!$E$4:$E$263),0),1),'SPC Backing (Hide)'!$AO$3)</f>
        <v>136.10000000000002</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69">
        <f t="shared" si="46"/>
        <v>33.44999999999996</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137.58333333333334</v>
      </c>
      <c r="Y170" cm="1">
        <f t="array" ref="Y170">ABS(INDEX($F$4:$U$263,ROW(A167),MATCH($X$2,$F$3:$U$3,0))-INDEX($F$4:$U$263,ROW(A166),MATCH($X$2,$F$3:$U$3,0)))</f>
        <v>0</v>
      </c>
      <c r="Z170">
        <f>AVERAGE(INDEX($Y$4:$Y$263,MATCH(SPC!$B$13,IF(Setup!$B$11="Weekly",'SPC Backing (Hide)'!$B$4:$B$263,'SPC Backing (Hide)'!$E$4:$E$263),0)):INDEX($Y$4:$Y$263,MATCH(SPC!$B$14,IF(Setup!$B$11="Weekly",'SPC Backing (Hide)'!$B$4:$B$263,'SPC Backing (Hide)'!$E$4:$E$263),0),1))</f>
        <v>18.416666666666668</v>
      </c>
      <c r="AA170">
        <f t="shared" si="33"/>
        <v>16.326832151300238</v>
      </c>
      <c r="AB170">
        <f t="shared" si="34"/>
        <v>88.60283687943263</v>
      </c>
      <c r="AC170">
        <f t="shared" si="35"/>
        <v>104.92966903073287</v>
      </c>
      <c r="AD170">
        <f t="shared" si="36"/>
        <v>121.25650118203311</v>
      </c>
      <c r="AE170">
        <f t="shared" si="37"/>
        <v>153.91016548463358</v>
      </c>
      <c r="AF170">
        <f t="shared" si="38"/>
        <v>170.23699763593382</v>
      </c>
      <c r="AG170">
        <f t="shared" si="39"/>
        <v>186.56382978723406</v>
      </c>
      <c r="AH170">
        <f t="shared" si="40"/>
        <v>0</v>
      </c>
      <c r="AI170">
        <f t="shared" si="47"/>
        <v>-2</v>
      </c>
      <c r="AJ170">
        <f t="shared" si="41"/>
        <v>0</v>
      </c>
      <c r="AK170">
        <f t="shared" si="42"/>
        <v>0</v>
      </c>
      <c r="AL170" t="e">
        <f t="shared" si="43"/>
        <v>#N/A</v>
      </c>
      <c r="AM170">
        <f t="shared" si="44"/>
        <v>-1</v>
      </c>
      <c r="AN170">
        <f t="shared" si="45"/>
        <v>0</v>
      </c>
      <c r="AO170">
        <f>_xlfn.PERCENTILE.INC(INDEX($W$4:$W$263,MATCH(SPC!$B$13,IF(Setup!$B$11="Weekly",'SPC Backing (Hide)'!$B$4:$B$263,'SPC Backing (Hide)'!$E$4:$E$263),0),1):INDEX($W$4:$W$263,MATCH(SPC!$B$14,IF(Setup!$B$11="Weekly",'SPC Backing (Hide)'!$B$4:$B$263,'SPC Backing (Hide)'!$E$4:$E$263),0),1),'SPC Backing (Hide)'!$AO$3)</f>
        <v>136.10000000000002</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0">
        <f t="shared" si="46"/>
        <v>33.44999999999996</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137.58333333333334</v>
      </c>
      <c r="Y171" cm="1">
        <f t="array" ref="Y171">ABS(INDEX($F$4:$U$263,ROW(A168),MATCH($X$2,$F$3:$U$3,0))-INDEX($F$4:$U$263,ROW(A167),MATCH($X$2,$F$3:$U$3,0)))</f>
        <v>0</v>
      </c>
      <c r="Z171">
        <f>AVERAGE(INDEX($Y$4:$Y$263,MATCH(SPC!$B$13,IF(Setup!$B$11="Weekly",'SPC Backing (Hide)'!$B$4:$B$263,'SPC Backing (Hide)'!$E$4:$E$263),0)):INDEX($Y$4:$Y$263,MATCH(SPC!$B$14,IF(Setup!$B$11="Weekly",'SPC Backing (Hide)'!$B$4:$B$263,'SPC Backing (Hide)'!$E$4:$E$263),0),1))</f>
        <v>18.416666666666668</v>
      </c>
      <c r="AA171">
        <f t="shared" si="33"/>
        <v>16.326832151300238</v>
      </c>
      <c r="AB171">
        <f t="shared" si="34"/>
        <v>88.60283687943263</v>
      </c>
      <c r="AC171">
        <f t="shared" si="35"/>
        <v>104.92966903073287</v>
      </c>
      <c r="AD171">
        <f t="shared" si="36"/>
        <v>121.25650118203311</v>
      </c>
      <c r="AE171">
        <f t="shared" si="37"/>
        <v>153.91016548463358</v>
      </c>
      <c r="AF171">
        <f t="shared" si="38"/>
        <v>170.23699763593382</v>
      </c>
      <c r="AG171">
        <f t="shared" si="39"/>
        <v>186.56382978723406</v>
      </c>
      <c r="AH171">
        <f t="shared" si="40"/>
        <v>0</v>
      </c>
      <c r="AI171">
        <f t="shared" si="47"/>
        <v>-2</v>
      </c>
      <c r="AJ171">
        <f t="shared" si="41"/>
        <v>0</v>
      </c>
      <c r="AK171">
        <f t="shared" si="42"/>
        <v>0</v>
      </c>
      <c r="AL171" t="e">
        <f t="shared" si="43"/>
        <v>#N/A</v>
      </c>
      <c r="AM171">
        <f t="shared" si="44"/>
        <v>-1</v>
      </c>
      <c r="AN171">
        <f t="shared" si="45"/>
        <v>0</v>
      </c>
      <c r="AO171">
        <f>_xlfn.PERCENTILE.INC(INDEX($W$4:$W$263,MATCH(SPC!$B$13,IF(Setup!$B$11="Weekly",'SPC Backing (Hide)'!$B$4:$B$263,'SPC Backing (Hide)'!$E$4:$E$263),0),1):INDEX($W$4:$W$263,MATCH(SPC!$B$14,IF(Setup!$B$11="Weekly",'SPC Backing (Hide)'!$B$4:$B$263,'SPC Backing (Hide)'!$E$4:$E$263),0),1),'SPC Backing (Hide)'!$AO$3)</f>
        <v>136.10000000000002</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1">
        <f t="shared" si="46"/>
        <v>33.44999999999996</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137.58333333333334</v>
      </c>
      <c r="Y172" cm="1">
        <f t="array" ref="Y172">ABS(INDEX($F$4:$U$263,ROW(A169),MATCH($X$2,$F$3:$U$3,0))-INDEX($F$4:$U$263,ROW(A168),MATCH($X$2,$F$3:$U$3,0)))</f>
        <v>0</v>
      </c>
      <c r="Z172">
        <f>AVERAGE(INDEX($Y$4:$Y$263,MATCH(SPC!$B$13,IF(Setup!$B$11="Weekly",'SPC Backing (Hide)'!$B$4:$B$263,'SPC Backing (Hide)'!$E$4:$E$263),0)):INDEX($Y$4:$Y$263,MATCH(SPC!$B$14,IF(Setup!$B$11="Weekly",'SPC Backing (Hide)'!$B$4:$B$263,'SPC Backing (Hide)'!$E$4:$E$263),0),1))</f>
        <v>18.416666666666668</v>
      </c>
      <c r="AA172">
        <f t="shared" si="33"/>
        <v>16.326832151300238</v>
      </c>
      <c r="AB172">
        <f t="shared" si="34"/>
        <v>88.60283687943263</v>
      </c>
      <c r="AC172">
        <f t="shared" si="35"/>
        <v>104.92966903073287</v>
      </c>
      <c r="AD172">
        <f t="shared" si="36"/>
        <v>121.25650118203311</v>
      </c>
      <c r="AE172">
        <f t="shared" si="37"/>
        <v>153.91016548463358</v>
      </c>
      <c r="AF172">
        <f t="shared" si="38"/>
        <v>170.23699763593382</v>
      </c>
      <c r="AG172">
        <f t="shared" si="39"/>
        <v>186.56382978723406</v>
      </c>
      <c r="AH172">
        <f t="shared" si="40"/>
        <v>0</v>
      </c>
      <c r="AI172">
        <f t="shared" si="47"/>
        <v>-2</v>
      </c>
      <c r="AJ172">
        <f t="shared" si="41"/>
        <v>0</v>
      </c>
      <c r="AK172">
        <f t="shared" si="42"/>
        <v>0</v>
      </c>
      <c r="AL172" t="e">
        <f t="shared" si="43"/>
        <v>#N/A</v>
      </c>
      <c r="AM172">
        <f t="shared" si="44"/>
        <v>-1</v>
      </c>
      <c r="AN172">
        <f t="shared" si="45"/>
        <v>0</v>
      </c>
      <c r="AO172">
        <f>_xlfn.PERCENTILE.INC(INDEX($W$4:$W$263,MATCH(SPC!$B$13,IF(Setup!$B$11="Weekly",'SPC Backing (Hide)'!$B$4:$B$263,'SPC Backing (Hide)'!$E$4:$E$263),0),1):INDEX($W$4:$W$263,MATCH(SPC!$B$14,IF(Setup!$B$11="Weekly",'SPC Backing (Hide)'!$B$4:$B$263,'SPC Backing (Hide)'!$E$4:$E$263),0),1),'SPC Backing (Hide)'!$AO$3)</f>
        <v>136.10000000000002</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2">
        <f t="shared" si="46"/>
        <v>33.44999999999996</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137.58333333333334</v>
      </c>
      <c r="Y173" cm="1">
        <f t="array" ref="Y173">ABS(INDEX($F$4:$U$263,ROW(A170),MATCH($X$2,$F$3:$U$3,0))-INDEX($F$4:$U$263,ROW(A169),MATCH($X$2,$F$3:$U$3,0)))</f>
        <v>0</v>
      </c>
      <c r="Z173">
        <f>AVERAGE(INDEX($Y$4:$Y$263,MATCH(SPC!$B$13,IF(Setup!$B$11="Weekly",'SPC Backing (Hide)'!$B$4:$B$263,'SPC Backing (Hide)'!$E$4:$E$263),0)):INDEX($Y$4:$Y$263,MATCH(SPC!$B$14,IF(Setup!$B$11="Weekly",'SPC Backing (Hide)'!$B$4:$B$263,'SPC Backing (Hide)'!$E$4:$E$263),0),1))</f>
        <v>18.416666666666668</v>
      </c>
      <c r="AA173">
        <f t="shared" si="33"/>
        <v>16.326832151300238</v>
      </c>
      <c r="AB173">
        <f t="shared" si="34"/>
        <v>88.60283687943263</v>
      </c>
      <c r="AC173">
        <f t="shared" si="35"/>
        <v>104.92966903073287</v>
      </c>
      <c r="AD173">
        <f t="shared" si="36"/>
        <v>121.25650118203311</v>
      </c>
      <c r="AE173">
        <f t="shared" si="37"/>
        <v>153.91016548463358</v>
      </c>
      <c r="AF173">
        <f t="shared" si="38"/>
        <v>170.23699763593382</v>
      </c>
      <c r="AG173">
        <f t="shared" si="39"/>
        <v>186.56382978723406</v>
      </c>
      <c r="AH173">
        <f t="shared" si="40"/>
        <v>0</v>
      </c>
      <c r="AI173">
        <f t="shared" si="47"/>
        <v>-2</v>
      </c>
      <c r="AJ173">
        <f t="shared" si="41"/>
        <v>0</v>
      </c>
      <c r="AK173">
        <f t="shared" si="42"/>
        <v>0</v>
      </c>
      <c r="AL173" t="e">
        <f t="shared" si="43"/>
        <v>#N/A</v>
      </c>
      <c r="AM173">
        <f t="shared" si="44"/>
        <v>-1</v>
      </c>
      <c r="AN173">
        <f t="shared" si="45"/>
        <v>0</v>
      </c>
      <c r="AO173">
        <f>_xlfn.PERCENTILE.INC(INDEX($W$4:$W$263,MATCH(SPC!$B$13,IF(Setup!$B$11="Weekly",'SPC Backing (Hide)'!$B$4:$B$263,'SPC Backing (Hide)'!$E$4:$E$263),0),1):INDEX($W$4:$W$263,MATCH(SPC!$B$14,IF(Setup!$B$11="Weekly",'SPC Backing (Hide)'!$B$4:$B$263,'SPC Backing (Hide)'!$E$4:$E$263),0),1),'SPC Backing (Hide)'!$AO$3)</f>
        <v>136.10000000000002</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3">
        <f t="shared" si="46"/>
        <v>33.44999999999996</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137.58333333333334</v>
      </c>
      <c r="Y174" cm="1">
        <f t="array" ref="Y174">ABS(INDEX($F$4:$U$263,ROW(A171),MATCH($X$2,$F$3:$U$3,0))-INDEX($F$4:$U$263,ROW(A170),MATCH($X$2,$F$3:$U$3,0)))</f>
        <v>0</v>
      </c>
      <c r="Z174">
        <f>AVERAGE(INDEX($Y$4:$Y$263,MATCH(SPC!$B$13,IF(Setup!$B$11="Weekly",'SPC Backing (Hide)'!$B$4:$B$263,'SPC Backing (Hide)'!$E$4:$E$263),0)):INDEX($Y$4:$Y$263,MATCH(SPC!$B$14,IF(Setup!$B$11="Weekly",'SPC Backing (Hide)'!$B$4:$B$263,'SPC Backing (Hide)'!$E$4:$E$263),0),1))</f>
        <v>18.416666666666668</v>
      </c>
      <c r="AA174">
        <f t="shared" si="33"/>
        <v>16.326832151300238</v>
      </c>
      <c r="AB174">
        <f t="shared" si="34"/>
        <v>88.60283687943263</v>
      </c>
      <c r="AC174">
        <f t="shared" si="35"/>
        <v>104.92966903073287</v>
      </c>
      <c r="AD174">
        <f t="shared" si="36"/>
        <v>121.25650118203311</v>
      </c>
      <c r="AE174">
        <f t="shared" si="37"/>
        <v>153.91016548463358</v>
      </c>
      <c r="AF174">
        <f t="shared" si="38"/>
        <v>170.23699763593382</v>
      </c>
      <c r="AG174">
        <f t="shared" si="39"/>
        <v>186.56382978723406</v>
      </c>
      <c r="AH174">
        <f t="shared" si="40"/>
        <v>0</v>
      </c>
      <c r="AI174">
        <f t="shared" si="47"/>
        <v>-2</v>
      </c>
      <c r="AJ174">
        <f t="shared" si="41"/>
        <v>0</v>
      </c>
      <c r="AK174">
        <f t="shared" si="42"/>
        <v>0</v>
      </c>
      <c r="AL174" t="e">
        <f t="shared" si="43"/>
        <v>#N/A</v>
      </c>
      <c r="AM174">
        <f t="shared" si="44"/>
        <v>-1</v>
      </c>
      <c r="AN174">
        <f t="shared" si="45"/>
        <v>0</v>
      </c>
      <c r="AO174">
        <f>_xlfn.PERCENTILE.INC(INDEX($W$4:$W$263,MATCH(SPC!$B$13,IF(Setup!$B$11="Weekly",'SPC Backing (Hide)'!$B$4:$B$263,'SPC Backing (Hide)'!$E$4:$E$263),0),1):INDEX($W$4:$W$263,MATCH(SPC!$B$14,IF(Setup!$B$11="Weekly",'SPC Backing (Hide)'!$B$4:$B$263,'SPC Backing (Hide)'!$E$4:$E$263),0),1),'SPC Backing (Hide)'!$AO$3)</f>
        <v>136.10000000000002</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4">
        <f t="shared" si="46"/>
        <v>33.44999999999996</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137.58333333333334</v>
      </c>
      <c r="Y175" cm="1">
        <f t="array" ref="Y175">ABS(INDEX($F$4:$U$263,ROW(A172),MATCH($X$2,$F$3:$U$3,0))-INDEX($F$4:$U$263,ROW(A171),MATCH($X$2,$F$3:$U$3,0)))</f>
        <v>0</v>
      </c>
      <c r="Z175">
        <f>AVERAGE(INDEX($Y$4:$Y$263,MATCH(SPC!$B$13,IF(Setup!$B$11="Weekly",'SPC Backing (Hide)'!$B$4:$B$263,'SPC Backing (Hide)'!$E$4:$E$263),0)):INDEX($Y$4:$Y$263,MATCH(SPC!$B$14,IF(Setup!$B$11="Weekly",'SPC Backing (Hide)'!$B$4:$B$263,'SPC Backing (Hide)'!$E$4:$E$263),0),1))</f>
        <v>18.416666666666668</v>
      </c>
      <c r="AA175">
        <f t="shared" si="33"/>
        <v>16.326832151300238</v>
      </c>
      <c r="AB175">
        <f t="shared" si="34"/>
        <v>88.60283687943263</v>
      </c>
      <c r="AC175">
        <f t="shared" si="35"/>
        <v>104.92966903073287</v>
      </c>
      <c r="AD175">
        <f t="shared" si="36"/>
        <v>121.25650118203311</v>
      </c>
      <c r="AE175">
        <f t="shared" si="37"/>
        <v>153.91016548463358</v>
      </c>
      <c r="AF175">
        <f t="shared" si="38"/>
        <v>170.23699763593382</v>
      </c>
      <c r="AG175">
        <f t="shared" si="39"/>
        <v>186.56382978723406</v>
      </c>
      <c r="AH175">
        <f t="shared" si="40"/>
        <v>0</v>
      </c>
      <c r="AI175">
        <f t="shared" si="47"/>
        <v>-2</v>
      </c>
      <c r="AJ175">
        <f t="shared" si="41"/>
        <v>0</v>
      </c>
      <c r="AK175">
        <f t="shared" si="42"/>
        <v>0</v>
      </c>
      <c r="AL175" t="e">
        <f t="shared" si="43"/>
        <v>#N/A</v>
      </c>
      <c r="AM175">
        <f t="shared" si="44"/>
        <v>-1</v>
      </c>
      <c r="AN175">
        <f t="shared" si="45"/>
        <v>0</v>
      </c>
      <c r="AO175">
        <f>_xlfn.PERCENTILE.INC(INDEX($W$4:$W$263,MATCH(SPC!$B$13,IF(Setup!$B$11="Weekly",'SPC Backing (Hide)'!$B$4:$B$263,'SPC Backing (Hide)'!$E$4:$E$263),0),1):INDEX($W$4:$W$263,MATCH(SPC!$B$14,IF(Setup!$B$11="Weekly",'SPC Backing (Hide)'!$B$4:$B$263,'SPC Backing (Hide)'!$E$4:$E$263),0),1),'SPC Backing (Hide)'!$AO$3)</f>
        <v>136.10000000000002</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5">
        <f t="shared" si="46"/>
        <v>33.44999999999996</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137.58333333333334</v>
      </c>
      <c r="Y176" cm="1">
        <f t="array" ref="Y176">ABS(INDEX($F$4:$U$263,ROW(A173),MATCH($X$2,$F$3:$U$3,0))-INDEX($F$4:$U$263,ROW(A172),MATCH($X$2,$F$3:$U$3,0)))</f>
        <v>0</v>
      </c>
      <c r="Z176">
        <f>AVERAGE(INDEX($Y$4:$Y$263,MATCH(SPC!$B$13,IF(Setup!$B$11="Weekly",'SPC Backing (Hide)'!$B$4:$B$263,'SPC Backing (Hide)'!$E$4:$E$263),0)):INDEX($Y$4:$Y$263,MATCH(SPC!$B$14,IF(Setup!$B$11="Weekly",'SPC Backing (Hide)'!$B$4:$B$263,'SPC Backing (Hide)'!$E$4:$E$263),0),1))</f>
        <v>18.416666666666668</v>
      </c>
      <c r="AA176">
        <f t="shared" si="33"/>
        <v>16.326832151300238</v>
      </c>
      <c r="AB176">
        <f t="shared" si="34"/>
        <v>88.60283687943263</v>
      </c>
      <c r="AC176">
        <f t="shared" si="35"/>
        <v>104.92966903073287</v>
      </c>
      <c r="AD176">
        <f t="shared" si="36"/>
        <v>121.25650118203311</v>
      </c>
      <c r="AE176">
        <f t="shared" si="37"/>
        <v>153.91016548463358</v>
      </c>
      <c r="AF176">
        <f t="shared" si="38"/>
        <v>170.23699763593382</v>
      </c>
      <c r="AG176">
        <f t="shared" si="39"/>
        <v>186.56382978723406</v>
      </c>
      <c r="AH176">
        <f t="shared" si="40"/>
        <v>0</v>
      </c>
      <c r="AI176">
        <f t="shared" si="47"/>
        <v>-2</v>
      </c>
      <c r="AJ176">
        <f t="shared" si="41"/>
        <v>0</v>
      </c>
      <c r="AK176">
        <f t="shared" si="42"/>
        <v>0</v>
      </c>
      <c r="AL176" t="e">
        <f t="shared" si="43"/>
        <v>#N/A</v>
      </c>
      <c r="AM176">
        <f t="shared" si="44"/>
        <v>-1</v>
      </c>
      <c r="AN176">
        <f t="shared" si="45"/>
        <v>0</v>
      </c>
      <c r="AO176">
        <f>_xlfn.PERCENTILE.INC(INDEX($W$4:$W$263,MATCH(SPC!$B$13,IF(Setup!$B$11="Weekly",'SPC Backing (Hide)'!$B$4:$B$263,'SPC Backing (Hide)'!$E$4:$E$263),0),1):INDEX($W$4:$W$263,MATCH(SPC!$B$14,IF(Setup!$B$11="Weekly",'SPC Backing (Hide)'!$B$4:$B$263,'SPC Backing (Hide)'!$E$4:$E$263),0),1),'SPC Backing (Hide)'!$AO$3)</f>
        <v>136.10000000000002</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6">
        <f t="shared" si="46"/>
        <v>33.44999999999996</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137.58333333333334</v>
      </c>
      <c r="Y177" cm="1">
        <f t="array" ref="Y177">ABS(INDEX($F$4:$U$263,ROW(A174),MATCH($X$2,$F$3:$U$3,0))-INDEX($F$4:$U$263,ROW(A173),MATCH($X$2,$F$3:$U$3,0)))</f>
        <v>0</v>
      </c>
      <c r="Z177">
        <f>AVERAGE(INDEX($Y$4:$Y$263,MATCH(SPC!$B$13,IF(Setup!$B$11="Weekly",'SPC Backing (Hide)'!$B$4:$B$263,'SPC Backing (Hide)'!$E$4:$E$263),0)):INDEX($Y$4:$Y$263,MATCH(SPC!$B$14,IF(Setup!$B$11="Weekly",'SPC Backing (Hide)'!$B$4:$B$263,'SPC Backing (Hide)'!$E$4:$E$263),0),1))</f>
        <v>18.416666666666668</v>
      </c>
      <c r="AA177">
        <f t="shared" si="33"/>
        <v>16.326832151300238</v>
      </c>
      <c r="AB177">
        <f t="shared" si="34"/>
        <v>88.60283687943263</v>
      </c>
      <c r="AC177">
        <f t="shared" si="35"/>
        <v>104.92966903073287</v>
      </c>
      <c r="AD177">
        <f t="shared" si="36"/>
        <v>121.25650118203311</v>
      </c>
      <c r="AE177">
        <f t="shared" si="37"/>
        <v>153.91016548463358</v>
      </c>
      <c r="AF177">
        <f t="shared" si="38"/>
        <v>170.23699763593382</v>
      </c>
      <c r="AG177">
        <f t="shared" si="39"/>
        <v>186.56382978723406</v>
      </c>
      <c r="AH177">
        <f t="shared" si="40"/>
        <v>0</v>
      </c>
      <c r="AI177">
        <f t="shared" si="47"/>
        <v>-2</v>
      </c>
      <c r="AJ177">
        <f t="shared" si="41"/>
        <v>0</v>
      </c>
      <c r="AK177">
        <f t="shared" si="42"/>
        <v>0</v>
      </c>
      <c r="AL177" t="e">
        <f t="shared" si="43"/>
        <v>#N/A</v>
      </c>
      <c r="AM177">
        <f t="shared" si="44"/>
        <v>-1</v>
      </c>
      <c r="AN177">
        <f t="shared" si="45"/>
        <v>0</v>
      </c>
      <c r="AO177">
        <f>_xlfn.PERCENTILE.INC(INDEX($W$4:$W$263,MATCH(SPC!$B$13,IF(Setup!$B$11="Weekly",'SPC Backing (Hide)'!$B$4:$B$263,'SPC Backing (Hide)'!$E$4:$E$263),0),1):INDEX($W$4:$W$263,MATCH(SPC!$B$14,IF(Setup!$B$11="Weekly",'SPC Backing (Hide)'!$B$4:$B$263,'SPC Backing (Hide)'!$E$4:$E$263),0),1),'SPC Backing (Hide)'!$AO$3)</f>
        <v>136.10000000000002</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7">
        <f t="shared" si="46"/>
        <v>33.44999999999996</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137.58333333333334</v>
      </c>
      <c r="Y178" cm="1">
        <f t="array" ref="Y178">ABS(INDEX($F$4:$U$263,ROW(A175),MATCH($X$2,$F$3:$U$3,0))-INDEX($F$4:$U$263,ROW(A174),MATCH($X$2,$F$3:$U$3,0)))</f>
        <v>0</v>
      </c>
      <c r="Z178">
        <f>AVERAGE(INDEX($Y$4:$Y$263,MATCH(SPC!$B$13,IF(Setup!$B$11="Weekly",'SPC Backing (Hide)'!$B$4:$B$263,'SPC Backing (Hide)'!$E$4:$E$263),0)):INDEX($Y$4:$Y$263,MATCH(SPC!$B$14,IF(Setup!$B$11="Weekly",'SPC Backing (Hide)'!$B$4:$B$263,'SPC Backing (Hide)'!$E$4:$E$263),0),1))</f>
        <v>18.416666666666668</v>
      </c>
      <c r="AA178">
        <f t="shared" si="33"/>
        <v>16.326832151300238</v>
      </c>
      <c r="AB178">
        <f t="shared" si="34"/>
        <v>88.60283687943263</v>
      </c>
      <c r="AC178">
        <f t="shared" si="35"/>
        <v>104.92966903073287</v>
      </c>
      <c r="AD178">
        <f t="shared" si="36"/>
        <v>121.25650118203311</v>
      </c>
      <c r="AE178">
        <f t="shared" si="37"/>
        <v>153.91016548463358</v>
      </c>
      <c r="AF178">
        <f t="shared" si="38"/>
        <v>170.23699763593382</v>
      </c>
      <c r="AG178">
        <f t="shared" si="39"/>
        <v>186.56382978723406</v>
      </c>
      <c r="AH178">
        <f t="shared" si="40"/>
        <v>0</v>
      </c>
      <c r="AI178">
        <f t="shared" si="47"/>
        <v>-2</v>
      </c>
      <c r="AJ178">
        <f t="shared" si="41"/>
        <v>0</v>
      </c>
      <c r="AK178">
        <f t="shared" si="42"/>
        <v>0</v>
      </c>
      <c r="AL178" t="e">
        <f t="shared" si="43"/>
        <v>#N/A</v>
      </c>
      <c r="AM178">
        <f t="shared" si="44"/>
        <v>-1</v>
      </c>
      <c r="AN178">
        <f t="shared" si="45"/>
        <v>0</v>
      </c>
      <c r="AO178">
        <f>_xlfn.PERCENTILE.INC(INDEX($W$4:$W$263,MATCH(SPC!$B$13,IF(Setup!$B$11="Weekly",'SPC Backing (Hide)'!$B$4:$B$263,'SPC Backing (Hide)'!$E$4:$E$263),0),1):INDEX($W$4:$W$263,MATCH(SPC!$B$14,IF(Setup!$B$11="Weekly",'SPC Backing (Hide)'!$B$4:$B$263,'SPC Backing (Hide)'!$E$4:$E$263),0),1),'SPC Backing (Hide)'!$AO$3)</f>
        <v>136.10000000000002</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8">
        <f t="shared" si="46"/>
        <v>33.44999999999996</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137.58333333333334</v>
      </c>
      <c r="Y179" cm="1">
        <f t="array" ref="Y179">ABS(INDEX($F$4:$U$263,ROW(A176),MATCH($X$2,$F$3:$U$3,0))-INDEX($F$4:$U$263,ROW(A175),MATCH($X$2,$F$3:$U$3,0)))</f>
        <v>0</v>
      </c>
      <c r="Z179">
        <f>AVERAGE(INDEX($Y$4:$Y$263,MATCH(SPC!$B$13,IF(Setup!$B$11="Weekly",'SPC Backing (Hide)'!$B$4:$B$263,'SPC Backing (Hide)'!$E$4:$E$263),0)):INDEX($Y$4:$Y$263,MATCH(SPC!$B$14,IF(Setup!$B$11="Weekly",'SPC Backing (Hide)'!$B$4:$B$263,'SPC Backing (Hide)'!$E$4:$E$263),0),1))</f>
        <v>18.416666666666668</v>
      </c>
      <c r="AA179">
        <f t="shared" si="33"/>
        <v>16.326832151300238</v>
      </c>
      <c r="AB179">
        <f t="shared" si="34"/>
        <v>88.60283687943263</v>
      </c>
      <c r="AC179">
        <f t="shared" si="35"/>
        <v>104.92966903073287</v>
      </c>
      <c r="AD179">
        <f t="shared" si="36"/>
        <v>121.25650118203311</v>
      </c>
      <c r="AE179">
        <f t="shared" si="37"/>
        <v>153.91016548463358</v>
      </c>
      <c r="AF179">
        <f t="shared" si="38"/>
        <v>170.23699763593382</v>
      </c>
      <c r="AG179">
        <f t="shared" si="39"/>
        <v>186.56382978723406</v>
      </c>
      <c r="AH179">
        <f t="shared" si="40"/>
        <v>0</v>
      </c>
      <c r="AI179">
        <f t="shared" si="47"/>
        <v>-2</v>
      </c>
      <c r="AJ179">
        <f t="shared" si="41"/>
        <v>0</v>
      </c>
      <c r="AK179">
        <f t="shared" si="42"/>
        <v>0</v>
      </c>
      <c r="AL179" t="e">
        <f t="shared" si="43"/>
        <v>#N/A</v>
      </c>
      <c r="AM179">
        <f t="shared" si="44"/>
        <v>-1</v>
      </c>
      <c r="AN179">
        <f t="shared" si="45"/>
        <v>0</v>
      </c>
      <c r="AO179">
        <f>_xlfn.PERCENTILE.INC(INDEX($W$4:$W$263,MATCH(SPC!$B$13,IF(Setup!$B$11="Weekly",'SPC Backing (Hide)'!$B$4:$B$263,'SPC Backing (Hide)'!$E$4:$E$263),0),1):INDEX($W$4:$W$263,MATCH(SPC!$B$14,IF(Setup!$B$11="Weekly",'SPC Backing (Hide)'!$B$4:$B$263,'SPC Backing (Hide)'!$E$4:$E$263),0),1),'SPC Backing (Hide)'!$AO$3)</f>
        <v>136.10000000000002</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79">
        <f t="shared" si="46"/>
        <v>33.44999999999996</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137.58333333333334</v>
      </c>
      <c r="Y180" cm="1">
        <f t="array" ref="Y180">ABS(INDEX($F$4:$U$263,ROW(A177),MATCH($X$2,$F$3:$U$3,0))-INDEX($F$4:$U$263,ROW(A176),MATCH($X$2,$F$3:$U$3,0)))</f>
        <v>0</v>
      </c>
      <c r="Z180">
        <f>AVERAGE(INDEX($Y$4:$Y$263,MATCH(SPC!$B$13,IF(Setup!$B$11="Weekly",'SPC Backing (Hide)'!$B$4:$B$263,'SPC Backing (Hide)'!$E$4:$E$263),0)):INDEX($Y$4:$Y$263,MATCH(SPC!$B$14,IF(Setup!$B$11="Weekly",'SPC Backing (Hide)'!$B$4:$B$263,'SPC Backing (Hide)'!$E$4:$E$263),0),1))</f>
        <v>18.416666666666668</v>
      </c>
      <c r="AA180">
        <f t="shared" si="33"/>
        <v>16.326832151300238</v>
      </c>
      <c r="AB180">
        <f t="shared" si="34"/>
        <v>88.60283687943263</v>
      </c>
      <c r="AC180">
        <f t="shared" si="35"/>
        <v>104.92966903073287</v>
      </c>
      <c r="AD180">
        <f t="shared" si="36"/>
        <v>121.25650118203311</v>
      </c>
      <c r="AE180">
        <f t="shared" si="37"/>
        <v>153.91016548463358</v>
      </c>
      <c r="AF180">
        <f t="shared" si="38"/>
        <v>170.23699763593382</v>
      </c>
      <c r="AG180">
        <f t="shared" si="39"/>
        <v>186.56382978723406</v>
      </c>
      <c r="AH180">
        <f t="shared" si="40"/>
        <v>0</v>
      </c>
      <c r="AI180">
        <f t="shared" si="47"/>
        <v>-2</v>
      </c>
      <c r="AJ180">
        <f t="shared" si="41"/>
        <v>0</v>
      </c>
      <c r="AK180">
        <f t="shared" si="42"/>
        <v>0</v>
      </c>
      <c r="AL180" t="e">
        <f t="shared" si="43"/>
        <v>#N/A</v>
      </c>
      <c r="AM180">
        <f t="shared" si="44"/>
        <v>-1</v>
      </c>
      <c r="AN180">
        <f t="shared" si="45"/>
        <v>0</v>
      </c>
      <c r="AO180">
        <f>_xlfn.PERCENTILE.INC(INDEX($W$4:$W$263,MATCH(SPC!$B$13,IF(Setup!$B$11="Weekly",'SPC Backing (Hide)'!$B$4:$B$263,'SPC Backing (Hide)'!$E$4:$E$263),0),1):INDEX($W$4:$W$263,MATCH(SPC!$B$14,IF(Setup!$B$11="Weekly",'SPC Backing (Hide)'!$B$4:$B$263,'SPC Backing (Hide)'!$E$4:$E$263),0),1),'SPC Backing (Hide)'!$AO$3)</f>
        <v>136.10000000000002</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0">
        <f t="shared" si="46"/>
        <v>33.44999999999996</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137.58333333333334</v>
      </c>
      <c r="Y181" cm="1">
        <f t="array" ref="Y181">ABS(INDEX($F$4:$U$263,ROW(A178),MATCH($X$2,$F$3:$U$3,0))-INDEX($F$4:$U$263,ROW(A177),MATCH($X$2,$F$3:$U$3,0)))</f>
        <v>0</v>
      </c>
      <c r="Z181">
        <f>AVERAGE(INDEX($Y$4:$Y$263,MATCH(SPC!$B$13,IF(Setup!$B$11="Weekly",'SPC Backing (Hide)'!$B$4:$B$263,'SPC Backing (Hide)'!$E$4:$E$263),0)):INDEX($Y$4:$Y$263,MATCH(SPC!$B$14,IF(Setup!$B$11="Weekly",'SPC Backing (Hide)'!$B$4:$B$263,'SPC Backing (Hide)'!$E$4:$E$263),0),1))</f>
        <v>18.416666666666668</v>
      </c>
      <c r="AA181">
        <f t="shared" si="33"/>
        <v>16.326832151300238</v>
      </c>
      <c r="AB181">
        <f t="shared" si="34"/>
        <v>88.60283687943263</v>
      </c>
      <c r="AC181">
        <f t="shared" si="35"/>
        <v>104.92966903073287</v>
      </c>
      <c r="AD181">
        <f t="shared" si="36"/>
        <v>121.25650118203311</v>
      </c>
      <c r="AE181">
        <f t="shared" si="37"/>
        <v>153.91016548463358</v>
      </c>
      <c r="AF181">
        <f t="shared" si="38"/>
        <v>170.23699763593382</v>
      </c>
      <c r="AG181">
        <f t="shared" si="39"/>
        <v>186.56382978723406</v>
      </c>
      <c r="AH181">
        <f t="shared" si="40"/>
        <v>0</v>
      </c>
      <c r="AI181">
        <f t="shared" si="47"/>
        <v>-2</v>
      </c>
      <c r="AJ181">
        <f t="shared" si="41"/>
        <v>0</v>
      </c>
      <c r="AK181">
        <f t="shared" si="42"/>
        <v>0</v>
      </c>
      <c r="AL181" t="e">
        <f t="shared" si="43"/>
        <v>#N/A</v>
      </c>
      <c r="AM181">
        <f t="shared" si="44"/>
        <v>-1</v>
      </c>
      <c r="AN181">
        <f t="shared" si="45"/>
        <v>0</v>
      </c>
      <c r="AO181">
        <f>_xlfn.PERCENTILE.INC(INDEX($W$4:$W$263,MATCH(SPC!$B$13,IF(Setup!$B$11="Weekly",'SPC Backing (Hide)'!$B$4:$B$263,'SPC Backing (Hide)'!$E$4:$E$263),0),1):INDEX($W$4:$W$263,MATCH(SPC!$B$14,IF(Setup!$B$11="Weekly",'SPC Backing (Hide)'!$B$4:$B$263,'SPC Backing (Hide)'!$E$4:$E$263),0),1),'SPC Backing (Hide)'!$AO$3)</f>
        <v>136.10000000000002</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1">
        <f t="shared" si="46"/>
        <v>33.44999999999996</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137.58333333333334</v>
      </c>
      <c r="Y182" cm="1">
        <f t="array" ref="Y182">ABS(INDEX($F$4:$U$263,ROW(A179),MATCH($X$2,$F$3:$U$3,0))-INDEX($F$4:$U$263,ROW(A178),MATCH($X$2,$F$3:$U$3,0)))</f>
        <v>0</v>
      </c>
      <c r="Z182">
        <f>AVERAGE(INDEX($Y$4:$Y$263,MATCH(SPC!$B$13,IF(Setup!$B$11="Weekly",'SPC Backing (Hide)'!$B$4:$B$263,'SPC Backing (Hide)'!$E$4:$E$263),0)):INDEX($Y$4:$Y$263,MATCH(SPC!$B$14,IF(Setup!$B$11="Weekly",'SPC Backing (Hide)'!$B$4:$B$263,'SPC Backing (Hide)'!$E$4:$E$263),0),1))</f>
        <v>18.416666666666668</v>
      </c>
      <c r="AA182">
        <f t="shared" si="33"/>
        <v>16.326832151300238</v>
      </c>
      <c r="AB182">
        <f t="shared" si="34"/>
        <v>88.60283687943263</v>
      </c>
      <c r="AC182">
        <f t="shared" si="35"/>
        <v>104.92966903073287</v>
      </c>
      <c r="AD182">
        <f t="shared" si="36"/>
        <v>121.25650118203311</v>
      </c>
      <c r="AE182">
        <f t="shared" si="37"/>
        <v>153.91016548463358</v>
      </c>
      <c r="AF182">
        <f t="shared" si="38"/>
        <v>170.23699763593382</v>
      </c>
      <c r="AG182">
        <f t="shared" si="39"/>
        <v>186.56382978723406</v>
      </c>
      <c r="AH182">
        <f t="shared" si="40"/>
        <v>0</v>
      </c>
      <c r="AI182">
        <f t="shared" si="47"/>
        <v>-2</v>
      </c>
      <c r="AJ182">
        <f t="shared" si="41"/>
        <v>0</v>
      </c>
      <c r="AK182">
        <f t="shared" si="42"/>
        <v>0</v>
      </c>
      <c r="AL182" t="e">
        <f t="shared" si="43"/>
        <v>#N/A</v>
      </c>
      <c r="AM182">
        <f t="shared" si="44"/>
        <v>-1</v>
      </c>
      <c r="AN182">
        <f t="shared" si="45"/>
        <v>0</v>
      </c>
      <c r="AO182">
        <f>_xlfn.PERCENTILE.INC(INDEX($W$4:$W$263,MATCH(SPC!$B$13,IF(Setup!$B$11="Weekly",'SPC Backing (Hide)'!$B$4:$B$263,'SPC Backing (Hide)'!$E$4:$E$263),0),1):INDEX($W$4:$W$263,MATCH(SPC!$B$14,IF(Setup!$B$11="Weekly",'SPC Backing (Hide)'!$B$4:$B$263,'SPC Backing (Hide)'!$E$4:$E$263),0),1),'SPC Backing (Hide)'!$AO$3)</f>
        <v>136.10000000000002</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2">
        <f t="shared" si="46"/>
        <v>33.44999999999996</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137.58333333333334</v>
      </c>
      <c r="Y183" cm="1">
        <f t="array" ref="Y183">ABS(INDEX($F$4:$U$263,ROW(A180),MATCH($X$2,$F$3:$U$3,0))-INDEX($F$4:$U$263,ROW(A179),MATCH($X$2,$F$3:$U$3,0)))</f>
        <v>0</v>
      </c>
      <c r="Z183">
        <f>AVERAGE(INDEX($Y$4:$Y$263,MATCH(SPC!$B$13,IF(Setup!$B$11="Weekly",'SPC Backing (Hide)'!$B$4:$B$263,'SPC Backing (Hide)'!$E$4:$E$263),0)):INDEX($Y$4:$Y$263,MATCH(SPC!$B$14,IF(Setup!$B$11="Weekly",'SPC Backing (Hide)'!$B$4:$B$263,'SPC Backing (Hide)'!$E$4:$E$263),0),1))</f>
        <v>18.416666666666668</v>
      </c>
      <c r="AA183">
        <f t="shared" si="33"/>
        <v>16.326832151300238</v>
      </c>
      <c r="AB183">
        <f t="shared" si="34"/>
        <v>88.60283687943263</v>
      </c>
      <c r="AC183">
        <f t="shared" si="35"/>
        <v>104.92966903073287</v>
      </c>
      <c r="AD183">
        <f t="shared" si="36"/>
        <v>121.25650118203311</v>
      </c>
      <c r="AE183">
        <f t="shared" si="37"/>
        <v>153.91016548463358</v>
      </c>
      <c r="AF183">
        <f t="shared" si="38"/>
        <v>170.23699763593382</v>
      </c>
      <c r="AG183">
        <f t="shared" si="39"/>
        <v>186.56382978723406</v>
      </c>
      <c r="AH183">
        <f t="shared" si="40"/>
        <v>0</v>
      </c>
      <c r="AI183">
        <f t="shared" si="47"/>
        <v>-2</v>
      </c>
      <c r="AJ183">
        <f t="shared" si="41"/>
        <v>0</v>
      </c>
      <c r="AK183">
        <f t="shared" si="42"/>
        <v>0</v>
      </c>
      <c r="AL183" t="e">
        <f t="shared" si="43"/>
        <v>#N/A</v>
      </c>
      <c r="AM183">
        <f t="shared" si="44"/>
        <v>-1</v>
      </c>
      <c r="AN183">
        <f t="shared" si="45"/>
        <v>0</v>
      </c>
      <c r="AO183">
        <f>_xlfn.PERCENTILE.INC(INDEX($W$4:$W$263,MATCH(SPC!$B$13,IF(Setup!$B$11="Weekly",'SPC Backing (Hide)'!$B$4:$B$263,'SPC Backing (Hide)'!$E$4:$E$263),0),1):INDEX($W$4:$W$263,MATCH(SPC!$B$14,IF(Setup!$B$11="Weekly",'SPC Backing (Hide)'!$B$4:$B$263,'SPC Backing (Hide)'!$E$4:$E$263),0),1),'SPC Backing (Hide)'!$AO$3)</f>
        <v>136.10000000000002</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3">
        <f t="shared" si="46"/>
        <v>33.44999999999996</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137.58333333333334</v>
      </c>
      <c r="Y184" cm="1">
        <f t="array" ref="Y184">ABS(INDEX($F$4:$U$263,ROW(A181),MATCH($X$2,$F$3:$U$3,0))-INDEX($F$4:$U$263,ROW(A180),MATCH($X$2,$F$3:$U$3,0)))</f>
        <v>0</v>
      </c>
      <c r="Z184">
        <f>AVERAGE(INDEX($Y$4:$Y$263,MATCH(SPC!$B$13,IF(Setup!$B$11="Weekly",'SPC Backing (Hide)'!$B$4:$B$263,'SPC Backing (Hide)'!$E$4:$E$263),0)):INDEX($Y$4:$Y$263,MATCH(SPC!$B$14,IF(Setup!$B$11="Weekly",'SPC Backing (Hide)'!$B$4:$B$263,'SPC Backing (Hide)'!$E$4:$E$263),0),1))</f>
        <v>18.416666666666668</v>
      </c>
      <c r="AA184">
        <f t="shared" si="33"/>
        <v>16.326832151300238</v>
      </c>
      <c r="AB184">
        <f t="shared" si="34"/>
        <v>88.60283687943263</v>
      </c>
      <c r="AC184">
        <f t="shared" si="35"/>
        <v>104.92966903073287</v>
      </c>
      <c r="AD184">
        <f t="shared" si="36"/>
        <v>121.25650118203311</v>
      </c>
      <c r="AE184">
        <f t="shared" si="37"/>
        <v>153.91016548463358</v>
      </c>
      <c r="AF184">
        <f t="shared" si="38"/>
        <v>170.23699763593382</v>
      </c>
      <c r="AG184">
        <f t="shared" si="39"/>
        <v>186.56382978723406</v>
      </c>
      <c r="AH184">
        <f t="shared" si="40"/>
        <v>0</v>
      </c>
      <c r="AI184">
        <f t="shared" si="47"/>
        <v>-2</v>
      </c>
      <c r="AJ184">
        <f t="shared" si="41"/>
        <v>0</v>
      </c>
      <c r="AK184">
        <f t="shared" si="42"/>
        <v>0</v>
      </c>
      <c r="AL184" t="e">
        <f t="shared" si="43"/>
        <v>#N/A</v>
      </c>
      <c r="AM184">
        <f t="shared" si="44"/>
        <v>-1</v>
      </c>
      <c r="AN184">
        <f t="shared" si="45"/>
        <v>0</v>
      </c>
      <c r="AO184">
        <f>_xlfn.PERCENTILE.INC(INDEX($W$4:$W$263,MATCH(SPC!$B$13,IF(Setup!$B$11="Weekly",'SPC Backing (Hide)'!$B$4:$B$263,'SPC Backing (Hide)'!$E$4:$E$263),0),1):INDEX($W$4:$W$263,MATCH(SPC!$B$14,IF(Setup!$B$11="Weekly",'SPC Backing (Hide)'!$B$4:$B$263,'SPC Backing (Hide)'!$E$4:$E$263),0),1),'SPC Backing (Hide)'!$AO$3)</f>
        <v>136.10000000000002</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4">
        <f t="shared" si="46"/>
        <v>33.44999999999996</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137.58333333333334</v>
      </c>
      <c r="Y185" cm="1">
        <f t="array" ref="Y185">ABS(INDEX($F$4:$U$263,ROW(A182),MATCH($X$2,$F$3:$U$3,0))-INDEX($F$4:$U$263,ROW(A181),MATCH($X$2,$F$3:$U$3,0)))</f>
        <v>0</v>
      </c>
      <c r="Z185">
        <f>AVERAGE(INDEX($Y$4:$Y$263,MATCH(SPC!$B$13,IF(Setup!$B$11="Weekly",'SPC Backing (Hide)'!$B$4:$B$263,'SPC Backing (Hide)'!$E$4:$E$263),0)):INDEX($Y$4:$Y$263,MATCH(SPC!$B$14,IF(Setup!$B$11="Weekly",'SPC Backing (Hide)'!$B$4:$B$263,'SPC Backing (Hide)'!$E$4:$E$263),0),1))</f>
        <v>18.416666666666668</v>
      </c>
      <c r="AA185">
        <f t="shared" si="33"/>
        <v>16.326832151300238</v>
      </c>
      <c r="AB185">
        <f t="shared" si="34"/>
        <v>88.60283687943263</v>
      </c>
      <c r="AC185">
        <f t="shared" si="35"/>
        <v>104.92966903073287</v>
      </c>
      <c r="AD185">
        <f t="shared" si="36"/>
        <v>121.25650118203311</v>
      </c>
      <c r="AE185">
        <f t="shared" si="37"/>
        <v>153.91016548463358</v>
      </c>
      <c r="AF185">
        <f t="shared" si="38"/>
        <v>170.23699763593382</v>
      </c>
      <c r="AG185">
        <f t="shared" si="39"/>
        <v>186.56382978723406</v>
      </c>
      <c r="AH185">
        <f t="shared" si="40"/>
        <v>0</v>
      </c>
      <c r="AI185">
        <f t="shared" si="47"/>
        <v>-2</v>
      </c>
      <c r="AJ185">
        <f t="shared" si="41"/>
        <v>0</v>
      </c>
      <c r="AK185">
        <f t="shared" si="42"/>
        <v>0</v>
      </c>
      <c r="AL185" t="e">
        <f t="shared" si="43"/>
        <v>#N/A</v>
      </c>
      <c r="AM185">
        <f t="shared" si="44"/>
        <v>-1</v>
      </c>
      <c r="AN185">
        <f t="shared" si="45"/>
        <v>0</v>
      </c>
      <c r="AO185">
        <f>_xlfn.PERCENTILE.INC(INDEX($W$4:$W$263,MATCH(SPC!$B$13,IF(Setup!$B$11="Weekly",'SPC Backing (Hide)'!$B$4:$B$263,'SPC Backing (Hide)'!$E$4:$E$263),0),1):INDEX($W$4:$W$263,MATCH(SPC!$B$14,IF(Setup!$B$11="Weekly",'SPC Backing (Hide)'!$B$4:$B$263,'SPC Backing (Hide)'!$E$4:$E$263),0),1),'SPC Backing (Hide)'!$AO$3)</f>
        <v>136.10000000000002</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5">
        <f t="shared" si="46"/>
        <v>33.44999999999996</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137.58333333333334</v>
      </c>
      <c r="Y186" cm="1">
        <f t="array" ref="Y186">ABS(INDEX($F$4:$U$263,ROW(A183),MATCH($X$2,$F$3:$U$3,0))-INDEX($F$4:$U$263,ROW(A182),MATCH($X$2,$F$3:$U$3,0)))</f>
        <v>0</v>
      </c>
      <c r="Z186">
        <f>AVERAGE(INDEX($Y$4:$Y$263,MATCH(SPC!$B$13,IF(Setup!$B$11="Weekly",'SPC Backing (Hide)'!$B$4:$B$263,'SPC Backing (Hide)'!$E$4:$E$263),0)):INDEX($Y$4:$Y$263,MATCH(SPC!$B$14,IF(Setup!$B$11="Weekly",'SPC Backing (Hide)'!$B$4:$B$263,'SPC Backing (Hide)'!$E$4:$E$263),0),1))</f>
        <v>18.416666666666668</v>
      </c>
      <c r="AA186">
        <f t="shared" si="33"/>
        <v>16.326832151300238</v>
      </c>
      <c r="AB186">
        <f t="shared" si="34"/>
        <v>88.60283687943263</v>
      </c>
      <c r="AC186">
        <f t="shared" si="35"/>
        <v>104.92966903073287</v>
      </c>
      <c r="AD186">
        <f t="shared" si="36"/>
        <v>121.25650118203311</v>
      </c>
      <c r="AE186">
        <f t="shared" si="37"/>
        <v>153.91016548463358</v>
      </c>
      <c r="AF186">
        <f t="shared" si="38"/>
        <v>170.23699763593382</v>
      </c>
      <c r="AG186">
        <f t="shared" si="39"/>
        <v>186.56382978723406</v>
      </c>
      <c r="AH186">
        <f t="shared" si="40"/>
        <v>0</v>
      </c>
      <c r="AI186">
        <f t="shared" si="47"/>
        <v>-2</v>
      </c>
      <c r="AJ186">
        <f t="shared" si="41"/>
        <v>0</v>
      </c>
      <c r="AK186">
        <f t="shared" si="42"/>
        <v>0</v>
      </c>
      <c r="AL186" t="e">
        <f t="shared" si="43"/>
        <v>#N/A</v>
      </c>
      <c r="AM186">
        <f t="shared" si="44"/>
        <v>-1</v>
      </c>
      <c r="AN186">
        <f t="shared" si="45"/>
        <v>0</v>
      </c>
      <c r="AO186">
        <f>_xlfn.PERCENTILE.INC(INDEX($W$4:$W$263,MATCH(SPC!$B$13,IF(Setup!$B$11="Weekly",'SPC Backing (Hide)'!$B$4:$B$263,'SPC Backing (Hide)'!$E$4:$E$263),0),1):INDEX($W$4:$W$263,MATCH(SPC!$B$14,IF(Setup!$B$11="Weekly",'SPC Backing (Hide)'!$B$4:$B$263,'SPC Backing (Hide)'!$E$4:$E$263),0),1),'SPC Backing (Hide)'!$AO$3)</f>
        <v>136.10000000000002</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6">
        <f t="shared" si="46"/>
        <v>33.44999999999996</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137.58333333333334</v>
      </c>
      <c r="Y187" cm="1">
        <f t="array" ref="Y187">ABS(INDEX($F$4:$U$263,ROW(A184),MATCH($X$2,$F$3:$U$3,0))-INDEX($F$4:$U$263,ROW(A183),MATCH($X$2,$F$3:$U$3,0)))</f>
        <v>0</v>
      </c>
      <c r="Z187">
        <f>AVERAGE(INDEX($Y$4:$Y$263,MATCH(SPC!$B$13,IF(Setup!$B$11="Weekly",'SPC Backing (Hide)'!$B$4:$B$263,'SPC Backing (Hide)'!$E$4:$E$263),0)):INDEX($Y$4:$Y$263,MATCH(SPC!$B$14,IF(Setup!$B$11="Weekly",'SPC Backing (Hide)'!$B$4:$B$263,'SPC Backing (Hide)'!$E$4:$E$263),0),1))</f>
        <v>18.416666666666668</v>
      </c>
      <c r="AA187">
        <f t="shared" si="33"/>
        <v>16.326832151300238</v>
      </c>
      <c r="AB187">
        <f t="shared" si="34"/>
        <v>88.60283687943263</v>
      </c>
      <c r="AC187">
        <f t="shared" si="35"/>
        <v>104.92966903073287</v>
      </c>
      <c r="AD187">
        <f t="shared" si="36"/>
        <v>121.25650118203311</v>
      </c>
      <c r="AE187">
        <f t="shared" si="37"/>
        <v>153.91016548463358</v>
      </c>
      <c r="AF187">
        <f t="shared" si="38"/>
        <v>170.23699763593382</v>
      </c>
      <c r="AG187">
        <f t="shared" si="39"/>
        <v>186.56382978723406</v>
      </c>
      <c r="AH187">
        <f t="shared" si="40"/>
        <v>0</v>
      </c>
      <c r="AI187">
        <f t="shared" si="47"/>
        <v>-2</v>
      </c>
      <c r="AJ187">
        <f t="shared" si="41"/>
        <v>0</v>
      </c>
      <c r="AK187">
        <f t="shared" si="42"/>
        <v>0</v>
      </c>
      <c r="AL187" t="e">
        <f t="shared" si="43"/>
        <v>#N/A</v>
      </c>
      <c r="AM187">
        <f t="shared" si="44"/>
        <v>-1</v>
      </c>
      <c r="AN187">
        <f t="shared" si="45"/>
        <v>0</v>
      </c>
      <c r="AO187">
        <f>_xlfn.PERCENTILE.INC(INDEX($W$4:$W$263,MATCH(SPC!$B$13,IF(Setup!$B$11="Weekly",'SPC Backing (Hide)'!$B$4:$B$263,'SPC Backing (Hide)'!$E$4:$E$263),0),1):INDEX($W$4:$W$263,MATCH(SPC!$B$14,IF(Setup!$B$11="Weekly",'SPC Backing (Hide)'!$B$4:$B$263,'SPC Backing (Hide)'!$E$4:$E$263),0),1),'SPC Backing (Hide)'!$AO$3)</f>
        <v>136.10000000000002</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7">
        <f t="shared" si="46"/>
        <v>33.44999999999996</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137.58333333333334</v>
      </c>
      <c r="Y188" cm="1">
        <f t="array" ref="Y188">ABS(INDEX($F$4:$U$263,ROW(A185),MATCH($X$2,$F$3:$U$3,0))-INDEX($F$4:$U$263,ROW(A184),MATCH($X$2,$F$3:$U$3,0)))</f>
        <v>0</v>
      </c>
      <c r="Z188">
        <f>AVERAGE(INDEX($Y$4:$Y$263,MATCH(SPC!$B$13,IF(Setup!$B$11="Weekly",'SPC Backing (Hide)'!$B$4:$B$263,'SPC Backing (Hide)'!$E$4:$E$263),0)):INDEX($Y$4:$Y$263,MATCH(SPC!$B$14,IF(Setup!$B$11="Weekly",'SPC Backing (Hide)'!$B$4:$B$263,'SPC Backing (Hide)'!$E$4:$E$263),0),1))</f>
        <v>18.416666666666668</v>
      </c>
      <c r="AA188">
        <f t="shared" si="33"/>
        <v>16.326832151300238</v>
      </c>
      <c r="AB188">
        <f t="shared" si="34"/>
        <v>88.60283687943263</v>
      </c>
      <c r="AC188">
        <f t="shared" si="35"/>
        <v>104.92966903073287</v>
      </c>
      <c r="AD188">
        <f t="shared" si="36"/>
        <v>121.25650118203311</v>
      </c>
      <c r="AE188">
        <f t="shared" si="37"/>
        <v>153.91016548463358</v>
      </c>
      <c r="AF188">
        <f t="shared" si="38"/>
        <v>170.23699763593382</v>
      </c>
      <c r="AG188">
        <f t="shared" si="39"/>
        <v>186.56382978723406</v>
      </c>
      <c r="AH188">
        <f t="shared" si="40"/>
        <v>0</v>
      </c>
      <c r="AI188">
        <f t="shared" si="47"/>
        <v>-2</v>
      </c>
      <c r="AJ188">
        <f t="shared" si="41"/>
        <v>0</v>
      </c>
      <c r="AK188">
        <f t="shared" si="42"/>
        <v>0</v>
      </c>
      <c r="AL188" t="e">
        <f t="shared" si="43"/>
        <v>#N/A</v>
      </c>
      <c r="AM188">
        <f t="shared" si="44"/>
        <v>-1</v>
      </c>
      <c r="AN188">
        <f t="shared" si="45"/>
        <v>0</v>
      </c>
      <c r="AO188">
        <f>_xlfn.PERCENTILE.INC(INDEX($W$4:$W$263,MATCH(SPC!$B$13,IF(Setup!$B$11="Weekly",'SPC Backing (Hide)'!$B$4:$B$263,'SPC Backing (Hide)'!$E$4:$E$263),0),1):INDEX($W$4:$W$263,MATCH(SPC!$B$14,IF(Setup!$B$11="Weekly",'SPC Backing (Hide)'!$B$4:$B$263,'SPC Backing (Hide)'!$E$4:$E$263),0),1),'SPC Backing (Hide)'!$AO$3)</f>
        <v>136.10000000000002</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8">
        <f t="shared" si="46"/>
        <v>33.44999999999996</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137.58333333333334</v>
      </c>
      <c r="Y189" cm="1">
        <f t="array" ref="Y189">ABS(INDEX($F$4:$U$263,ROW(A186),MATCH($X$2,$F$3:$U$3,0))-INDEX($F$4:$U$263,ROW(A185),MATCH($X$2,$F$3:$U$3,0)))</f>
        <v>0</v>
      </c>
      <c r="Z189">
        <f>AVERAGE(INDEX($Y$4:$Y$263,MATCH(SPC!$B$13,IF(Setup!$B$11="Weekly",'SPC Backing (Hide)'!$B$4:$B$263,'SPC Backing (Hide)'!$E$4:$E$263),0)):INDEX($Y$4:$Y$263,MATCH(SPC!$B$14,IF(Setup!$B$11="Weekly",'SPC Backing (Hide)'!$B$4:$B$263,'SPC Backing (Hide)'!$E$4:$E$263),0),1))</f>
        <v>18.416666666666668</v>
      </c>
      <c r="AA189">
        <f t="shared" si="33"/>
        <v>16.326832151300238</v>
      </c>
      <c r="AB189">
        <f t="shared" si="34"/>
        <v>88.60283687943263</v>
      </c>
      <c r="AC189">
        <f t="shared" si="35"/>
        <v>104.92966903073287</v>
      </c>
      <c r="AD189">
        <f t="shared" si="36"/>
        <v>121.25650118203311</v>
      </c>
      <c r="AE189">
        <f t="shared" si="37"/>
        <v>153.91016548463358</v>
      </c>
      <c r="AF189">
        <f t="shared" si="38"/>
        <v>170.23699763593382</v>
      </c>
      <c r="AG189">
        <f t="shared" si="39"/>
        <v>186.56382978723406</v>
      </c>
      <c r="AH189">
        <f t="shared" si="40"/>
        <v>0</v>
      </c>
      <c r="AI189">
        <f t="shared" si="47"/>
        <v>-2</v>
      </c>
      <c r="AJ189">
        <f t="shared" si="41"/>
        <v>0</v>
      </c>
      <c r="AK189">
        <f t="shared" si="42"/>
        <v>0</v>
      </c>
      <c r="AL189" t="e">
        <f t="shared" si="43"/>
        <v>#N/A</v>
      </c>
      <c r="AM189">
        <f t="shared" si="44"/>
        <v>-1</v>
      </c>
      <c r="AN189">
        <f t="shared" si="45"/>
        <v>0</v>
      </c>
      <c r="AO189">
        <f>_xlfn.PERCENTILE.INC(INDEX($W$4:$W$263,MATCH(SPC!$B$13,IF(Setup!$B$11="Weekly",'SPC Backing (Hide)'!$B$4:$B$263,'SPC Backing (Hide)'!$E$4:$E$263),0),1):INDEX($W$4:$W$263,MATCH(SPC!$B$14,IF(Setup!$B$11="Weekly",'SPC Backing (Hide)'!$B$4:$B$263,'SPC Backing (Hide)'!$E$4:$E$263),0),1),'SPC Backing (Hide)'!$AO$3)</f>
        <v>136.10000000000002</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89">
        <f t="shared" si="46"/>
        <v>33.44999999999996</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137.58333333333334</v>
      </c>
      <c r="Y190" cm="1">
        <f t="array" ref="Y190">ABS(INDEX($F$4:$U$263,ROW(A187),MATCH($X$2,$F$3:$U$3,0))-INDEX($F$4:$U$263,ROW(A186),MATCH($X$2,$F$3:$U$3,0)))</f>
        <v>0</v>
      </c>
      <c r="Z190">
        <f>AVERAGE(INDEX($Y$4:$Y$263,MATCH(SPC!$B$13,IF(Setup!$B$11="Weekly",'SPC Backing (Hide)'!$B$4:$B$263,'SPC Backing (Hide)'!$E$4:$E$263),0)):INDEX($Y$4:$Y$263,MATCH(SPC!$B$14,IF(Setup!$B$11="Weekly",'SPC Backing (Hide)'!$B$4:$B$263,'SPC Backing (Hide)'!$E$4:$E$263),0),1))</f>
        <v>18.416666666666668</v>
      </c>
      <c r="AA190">
        <f t="shared" si="33"/>
        <v>16.326832151300238</v>
      </c>
      <c r="AB190">
        <f t="shared" si="34"/>
        <v>88.60283687943263</v>
      </c>
      <c r="AC190">
        <f t="shared" si="35"/>
        <v>104.92966903073287</v>
      </c>
      <c r="AD190">
        <f t="shared" si="36"/>
        <v>121.25650118203311</v>
      </c>
      <c r="AE190">
        <f t="shared" si="37"/>
        <v>153.91016548463358</v>
      </c>
      <c r="AF190">
        <f t="shared" si="38"/>
        <v>170.23699763593382</v>
      </c>
      <c r="AG190">
        <f t="shared" si="39"/>
        <v>186.56382978723406</v>
      </c>
      <c r="AH190">
        <f t="shared" si="40"/>
        <v>0</v>
      </c>
      <c r="AI190">
        <f t="shared" si="47"/>
        <v>-2</v>
      </c>
      <c r="AJ190">
        <f t="shared" si="41"/>
        <v>0</v>
      </c>
      <c r="AK190">
        <f t="shared" si="42"/>
        <v>0</v>
      </c>
      <c r="AL190" t="e">
        <f t="shared" si="43"/>
        <v>#N/A</v>
      </c>
      <c r="AM190">
        <f t="shared" si="44"/>
        <v>-1</v>
      </c>
      <c r="AN190">
        <f t="shared" si="45"/>
        <v>0</v>
      </c>
      <c r="AO190">
        <f>_xlfn.PERCENTILE.INC(INDEX($W$4:$W$263,MATCH(SPC!$B$13,IF(Setup!$B$11="Weekly",'SPC Backing (Hide)'!$B$4:$B$263,'SPC Backing (Hide)'!$E$4:$E$263),0),1):INDEX($W$4:$W$263,MATCH(SPC!$B$14,IF(Setup!$B$11="Weekly",'SPC Backing (Hide)'!$B$4:$B$263,'SPC Backing (Hide)'!$E$4:$E$263),0),1),'SPC Backing (Hide)'!$AO$3)</f>
        <v>136.10000000000002</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0">
        <f t="shared" si="46"/>
        <v>33.44999999999996</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137.58333333333334</v>
      </c>
      <c r="Y191" cm="1">
        <f t="array" ref="Y191">ABS(INDEX($F$4:$U$263,ROW(A188),MATCH($X$2,$F$3:$U$3,0))-INDEX($F$4:$U$263,ROW(A187),MATCH($X$2,$F$3:$U$3,0)))</f>
        <v>0</v>
      </c>
      <c r="Z191">
        <f>AVERAGE(INDEX($Y$4:$Y$263,MATCH(SPC!$B$13,IF(Setup!$B$11="Weekly",'SPC Backing (Hide)'!$B$4:$B$263,'SPC Backing (Hide)'!$E$4:$E$263),0)):INDEX($Y$4:$Y$263,MATCH(SPC!$B$14,IF(Setup!$B$11="Weekly",'SPC Backing (Hide)'!$B$4:$B$263,'SPC Backing (Hide)'!$E$4:$E$263),0),1))</f>
        <v>18.416666666666668</v>
      </c>
      <c r="AA191">
        <f t="shared" si="33"/>
        <v>16.326832151300238</v>
      </c>
      <c r="AB191">
        <f t="shared" si="34"/>
        <v>88.60283687943263</v>
      </c>
      <c r="AC191">
        <f t="shared" si="35"/>
        <v>104.92966903073287</v>
      </c>
      <c r="AD191">
        <f t="shared" si="36"/>
        <v>121.25650118203311</v>
      </c>
      <c r="AE191">
        <f t="shared" si="37"/>
        <v>153.91016548463358</v>
      </c>
      <c r="AF191">
        <f t="shared" si="38"/>
        <v>170.23699763593382</v>
      </c>
      <c r="AG191">
        <f t="shared" si="39"/>
        <v>186.56382978723406</v>
      </c>
      <c r="AH191">
        <f t="shared" si="40"/>
        <v>0</v>
      </c>
      <c r="AI191">
        <f t="shared" si="47"/>
        <v>-2</v>
      </c>
      <c r="AJ191">
        <f t="shared" si="41"/>
        <v>0</v>
      </c>
      <c r="AK191">
        <f t="shared" si="42"/>
        <v>0</v>
      </c>
      <c r="AL191" t="e">
        <f t="shared" si="43"/>
        <v>#N/A</v>
      </c>
      <c r="AM191">
        <f t="shared" si="44"/>
        <v>-1</v>
      </c>
      <c r="AN191">
        <f t="shared" si="45"/>
        <v>0</v>
      </c>
      <c r="AO191">
        <f>_xlfn.PERCENTILE.INC(INDEX($W$4:$W$263,MATCH(SPC!$B$13,IF(Setup!$B$11="Weekly",'SPC Backing (Hide)'!$B$4:$B$263,'SPC Backing (Hide)'!$E$4:$E$263),0),1):INDEX($W$4:$W$263,MATCH(SPC!$B$14,IF(Setup!$B$11="Weekly",'SPC Backing (Hide)'!$B$4:$B$263,'SPC Backing (Hide)'!$E$4:$E$263),0),1),'SPC Backing (Hide)'!$AO$3)</f>
        <v>136.10000000000002</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1">
        <f t="shared" si="46"/>
        <v>33.44999999999996</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137.58333333333334</v>
      </c>
      <c r="Y192" cm="1">
        <f t="array" ref="Y192">ABS(INDEX($F$4:$U$263,ROW(A189),MATCH($X$2,$F$3:$U$3,0))-INDEX($F$4:$U$263,ROW(A188),MATCH($X$2,$F$3:$U$3,0)))</f>
        <v>0</v>
      </c>
      <c r="Z192">
        <f>AVERAGE(INDEX($Y$4:$Y$263,MATCH(SPC!$B$13,IF(Setup!$B$11="Weekly",'SPC Backing (Hide)'!$B$4:$B$263,'SPC Backing (Hide)'!$E$4:$E$263),0)):INDEX($Y$4:$Y$263,MATCH(SPC!$B$14,IF(Setup!$B$11="Weekly",'SPC Backing (Hide)'!$B$4:$B$263,'SPC Backing (Hide)'!$E$4:$E$263),0),1))</f>
        <v>18.416666666666668</v>
      </c>
      <c r="AA192">
        <f t="shared" si="33"/>
        <v>16.326832151300238</v>
      </c>
      <c r="AB192">
        <f t="shared" si="34"/>
        <v>88.60283687943263</v>
      </c>
      <c r="AC192">
        <f t="shared" si="35"/>
        <v>104.92966903073287</v>
      </c>
      <c r="AD192">
        <f t="shared" si="36"/>
        <v>121.25650118203311</v>
      </c>
      <c r="AE192">
        <f t="shared" si="37"/>
        <v>153.91016548463358</v>
      </c>
      <c r="AF192">
        <f t="shared" si="38"/>
        <v>170.23699763593382</v>
      </c>
      <c r="AG192">
        <f t="shared" si="39"/>
        <v>186.56382978723406</v>
      </c>
      <c r="AH192">
        <f t="shared" si="40"/>
        <v>0</v>
      </c>
      <c r="AI192">
        <f t="shared" si="47"/>
        <v>-2</v>
      </c>
      <c r="AJ192">
        <f t="shared" si="41"/>
        <v>0</v>
      </c>
      <c r="AK192">
        <f t="shared" si="42"/>
        <v>0</v>
      </c>
      <c r="AL192" t="e">
        <f t="shared" si="43"/>
        <v>#N/A</v>
      </c>
      <c r="AM192">
        <f t="shared" si="44"/>
        <v>-1</v>
      </c>
      <c r="AN192">
        <f t="shared" si="45"/>
        <v>0</v>
      </c>
      <c r="AO192">
        <f>_xlfn.PERCENTILE.INC(INDEX($W$4:$W$263,MATCH(SPC!$B$13,IF(Setup!$B$11="Weekly",'SPC Backing (Hide)'!$B$4:$B$263,'SPC Backing (Hide)'!$E$4:$E$263),0),1):INDEX($W$4:$W$263,MATCH(SPC!$B$14,IF(Setup!$B$11="Weekly",'SPC Backing (Hide)'!$B$4:$B$263,'SPC Backing (Hide)'!$E$4:$E$263),0),1),'SPC Backing (Hide)'!$AO$3)</f>
        <v>136.10000000000002</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2">
        <f t="shared" si="46"/>
        <v>33.44999999999996</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137.58333333333334</v>
      </c>
      <c r="Y193" cm="1">
        <f t="array" ref="Y193">ABS(INDEX($F$4:$U$263,ROW(A190),MATCH($X$2,$F$3:$U$3,0))-INDEX($F$4:$U$263,ROW(A189),MATCH($X$2,$F$3:$U$3,0)))</f>
        <v>0</v>
      </c>
      <c r="Z193">
        <f>AVERAGE(INDEX($Y$4:$Y$263,MATCH(SPC!$B$13,IF(Setup!$B$11="Weekly",'SPC Backing (Hide)'!$B$4:$B$263,'SPC Backing (Hide)'!$E$4:$E$263),0)):INDEX($Y$4:$Y$263,MATCH(SPC!$B$14,IF(Setup!$B$11="Weekly",'SPC Backing (Hide)'!$B$4:$B$263,'SPC Backing (Hide)'!$E$4:$E$263),0),1))</f>
        <v>18.416666666666668</v>
      </c>
      <c r="AA193">
        <f t="shared" si="33"/>
        <v>16.326832151300238</v>
      </c>
      <c r="AB193">
        <f t="shared" si="34"/>
        <v>88.60283687943263</v>
      </c>
      <c r="AC193">
        <f t="shared" si="35"/>
        <v>104.92966903073287</v>
      </c>
      <c r="AD193">
        <f t="shared" si="36"/>
        <v>121.25650118203311</v>
      </c>
      <c r="AE193">
        <f t="shared" si="37"/>
        <v>153.91016548463358</v>
      </c>
      <c r="AF193">
        <f t="shared" si="38"/>
        <v>170.23699763593382</v>
      </c>
      <c r="AG193">
        <f t="shared" si="39"/>
        <v>186.56382978723406</v>
      </c>
      <c r="AH193">
        <f t="shared" si="40"/>
        <v>0</v>
      </c>
      <c r="AI193">
        <f t="shared" si="47"/>
        <v>-2</v>
      </c>
      <c r="AJ193">
        <f t="shared" si="41"/>
        <v>0</v>
      </c>
      <c r="AK193">
        <f t="shared" si="42"/>
        <v>0</v>
      </c>
      <c r="AL193" t="e">
        <f t="shared" si="43"/>
        <v>#N/A</v>
      </c>
      <c r="AM193">
        <f t="shared" si="44"/>
        <v>-1</v>
      </c>
      <c r="AN193">
        <f t="shared" si="45"/>
        <v>0</v>
      </c>
      <c r="AO193">
        <f>_xlfn.PERCENTILE.INC(INDEX($W$4:$W$263,MATCH(SPC!$B$13,IF(Setup!$B$11="Weekly",'SPC Backing (Hide)'!$B$4:$B$263,'SPC Backing (Hide)'!$E$4:$E$263),0),1):INDEX($W$4:$W$263,MATCH(SPC!$B$14,IF(Setup!$B$11="Weekly",'SPC Backing (Hide)'!$B$4:$B$263,'SPC Backing (Hide)'!$E$4:$E$263),0),1),'SPC Backing (Hide)'!$AO$3)</f>
        <v>136.10000000000002</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3">
        <f t="shared" si="46"/>
        <v>33.44999999999996</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137.58333333333334</v>
      </c>
      <c r="Y194" cm="1">
        <f t="array" ref="Y194">ABS(INDEX($F$4:$U$263,ROW(A191),MATCH($X$2,$F$3:$U$3,0))-INDEX($F$4:$U$263,ROW(A190),MATCH($X$2,$F$3:$U$3,0)))</f>
        <v>0</v>
      </c>
      <c r="Z194">
        <f>AVERAGE(INDEX($Y$4:$Y$263,MATCH(SPC!$B$13,IF(Setup!$B$11="Weekly",'SPC Backing (Hide)'!$B$4:$B$263,'SPC Backing (Hide)'!$E$4:$E$263),0)):INDEX($Y$4:$Y$263,MATCH(SPC!$B$14,IF(Setup!$B$11="Weekly",'SPC Backing (Hide)'!$B$4:$B$263,'SPC Backing (Hide)'!$E$4:$E$263),0),1))</f>
        <v>18.416666666666668</v>
      </c>
      <c r="AA194">
        <f t="shared" si="33"/>
        <v>16.326832151300238</v>
      </c>
      <c r="AB194">
        <f t="shared" si="34"/>
        <v>88.60283687943263</v>
      </c>
      <c r="AC194">
        <f t="shared" si="35"/>
        <v>104.92966903073287</v>
      </c>
      <c r="AD194">
        <f t="shared" si="36"/>
        <v>121.25650118203311</v>
      </c>
      <c r="AE194">
        <f t="shared" si="37"/>
        <v>153.91016548463358</v>
      </c>
      <c r="AF194">
        <f t="shared" si="38"/>
        <v>170.23699763593382</v>
      </c>
      <c r="AG194">
        <f t="shared" si="39"/>
        <v>186.56382978723406</v>
      </c>
      <c r="AH194">
        <f t="shared" si="40"/>
        <v>0</v>
      </c>
      <c r="AI194">
        <f t="shared" si="47"/>
        <v>-2</v>
      </c>
      <c r="AJ194">
        <f t="shared" si="41"/>
        <v>0</v>
      </c>
      <c r="AK194">
        <f t="shared" si="42"/>
        <v>0</v>
      </c>
      <c r="AL194" t="e">
        <f t="shared" si="43"/>
        <v>#N/A</v>
      </c>
      <c r="AM194">
        <f t="shared" si="44"/>
        <v>-1</v>
      </c>
      <c r="AN194">
        <f t="shared" si="45"/>
        <v>0</v>
      </c>
      <c r="AO194">
        <f>_xlfn.PERCENTILE.INC(INDEX($W$4:$W$263,MATCH(SPC!$B$13,IF(Setup!$B$11="Weekly",'SPC Backing (Hide)'!$B$4:$B$263,'SPC Backing (Hide)'!$E$4:$E$263),0),1):INDEX($W$4:$W$263,MATCH(SPC!$B$14,IF(Setup!$B$11="Weekly",'SPC Backing (Hide)'!$B$4:$B$263,'SPC Backing (Hide)'!$E$4:$E$263),0),1),'SPC Backing (Hide)'!$AO$3)</f>
        <v>136.10000000000002</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4">
        <f t="shared" si="46"/>
        <v>33.44999999999996</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137.58333333333334</v>
      </c>
      <c r="Y195" cm="1">
        <f t="array" ref="Y195">ABS(INDEX($F$4:$U$263,ROW(A192),MATCH($X$2,$F$3:$U$3,0))-INDEX($F$4:$U$263,ROW(A191),MATCH($X$2,$F$3:$U$3,0)))</f>
        <v>0</v>
      </c>
      <c r="Z195">
        <f>AVERAGE(INDEX($Y$4:$Y$263,MATCH(SPC!$B$13,IF(Setup!$B$11="Weekly",'SPC Backing (Hide)'!$B$4:$B$263,'SPC Backing (Hide)'!$E$4:$E$263),0)):INDEX($Y$4:$Y$263,MATCH(SPC!$B$14,IF(Setup!$B$11="Weekly",'SPC Backing (Hide)'!$B$4:$B$263,'SPC Backing (Hide)'!$E$4:$E$263),0),1))</f>
        <v>18.416666666666668</v>
      </c>
      <c r="AA195">
        <f t="shared" si="33"/>
        <v>16.326832151300238</v>
      </c>
      <c r="AB195">
        <f t="shared" si="34"/>
        <v>88.60283687943263</v>
      </c>
      <c r="AC195">
        <f t="shared" si="35"/>
        <v>104.92966903073287</v>
      </c>
      <c r="AD195">
        <f t="shared" si="36"/>
        <v>121.25650118203311</v>
      </c>
      <c r="AE195">
        <f t="shared" si="37"/>
        <v>153.91016548463358</v>
      </c>
      <c r="AF195">
        <f t="shared" si="38"/>
        <v>170.23699763593382</v>
      </c>
      <c r="AG195">
        <f t="shared" si="39"/>
        <v>186.56382978723406</v>
      </c>
      <c r="AH195">
        <f t="shared" si="40"/>
        <v>0</v>
      </c>
      <c r="AI195">
        <f t="shared" si="47"/>
        <v>-2</v>
      </c>
      <c r="AJ195">
        <f t="shared" si="41"/>
        <v>0</v>
      </c>
      <c r="AK195">
        <f t="shared" si="42"/>
        <v>0</v>
      </c>
      <c r="AL195" t="e">
        <f t="shared" si="43"/>
        <v>#N/A</v>
      </c>
      <c r="AM195">
        <f t="shared" si="44"/>
        <v>-1</v>
      </c>
      <c r="AN195">
        <f t="shared" si="45"/>
        <v>0</v>
      </c>
      <c r="AO195">
        <f>_xlfn.PERCENTILE.INC(INDEX($W$4:$W$263,MATCH(SPC!$B$13,IF(Setup!$B$11="Weekly",'SPC Backing (Hide)'!$B$4:$B$263,'SPC Backing (Hide)'!$E$4:$E$263),0),1):INDEX($W$4:$W$263,MATCH(SPC!$B$14,IF(Setup!$B$11="Weekly",'SPC Backing (Hide)'!$B$4:$B$263,'SPC Backing (Hide)'!$E$4:$E$263),0),1),'SPC Backing (Hide)'!$AO$3)</f>
        <v>136.10000000000002</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5">
        <f t="shared" si="46"/>
        <v>33.44999999999996</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137.58333333333334</v>
      </c>
      <c r="Y196" cm="1">
        <f t="array" ref="Y196">ABS(INDEX($F$4:$U$263,ROW(A193),MATCH($X$2,$F$3:$U$3,0))-INDEX($F$4:$U$263,ROW(A192),MATCH($X$2,$F$3:$U$3,0)))</f>
        <v>0</v>
      </c>
      <c r="Z196">
        <f>AVERAGE(INDEX($Y$4:$Y$263,MATCH(SPC!$B$13,IF(Setup!$B$11="Weekly",'SPC Backing (Hide)'!$B$4:$B$263,'SPC Backing (Hide)'!$E$4:$E$263),0)):INDEX($Y$4:$Y$263,MATCH(SPC!$B$14,IF(Setup!$B$11="Weekly",'SPC Backing (Hide)'!$B$4:$B$263,'SPC Backing (Hide)'!$E$4:$E$263),0),1))</f>
        <v>18.416666666666668</v>
      </c>
      <c r="AA196">
        <f t="shared" si="33"/>
        <v>16.326832151300238</v>
      </c>
      <c r="AB196">
        <f t="shared" si="34"/>
        <v>88.60283687943263</v>
      </c>
      <c r="AC196">
        <f t="shared" si="35"/>
        <v>104.92966903073287</v>
      </c>
      <c r="AD196">
        <f t="shared" si="36"/>
        <v>121.25650118203311</v>
      </c>
      <c r="AE196">
        <f t="shared" si="37"/>
        <v>153.91016548463358</v>
      </c>
      <c r="AF196">
        <f t="shared" si="38"/>
        <v>170.23699763593382</v>
      </c>
      <c r="AG196">
        <f t="shared" si="39"/>
        <v>186.56382978723406</v>
      </c>
      <c r="AH196">
        <f t="shared" si="40"/>
        <v>0</v>
      </c>
      <c r="AI196">
        <f t="shared" si="47"/>
        <v>-2</v>
      </c>
      <c r="AJ196">
        <f t="shared" si="41"/>
        <v>0</v>
      </c>
      <c r="AK196">
        <f t="shared" si="42"/>
        <v>0</v>
      </c>
      <c r="AL196" t="e">
        <f t="shared" si="43"/>
        <v>#N/A</v>
      </c>
      <c r="AM196">
        <f t="shared" si="44"/>
        <v>-1</v>
      </c>
      <c r="AN196">
        <f t="shared" si="45"/>
        <v>0</v>
      </c>
      <c r="AO196">
        <f>_xlfn.PERCENTILE.INC(INDEX($W$4:$W$263,MATCH(SPC!$B$13,IF(Setup!$B$11="Weekly",'SPC Backing (Hide)'!$B$4:$B$263,'SPC Backing (Hide)'!$E$4:$E$263),0),1):INDEX($W$4:$W$263,MATCH(SPC!$B$14,IF(Setup!$B$11="Weekly",'SPC Backing (Hide)'!$B$4:$B$263,'SPC Backing (Hide)'!$E$4:$E$263),0),1),'SPC Backing (Hide)'!$AO$3)</f>
        <v>136.10000000000002</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6">
        <f t="shared" si="46"/>
        <v>33.44999999999996</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137.58333333333334</v>
      </c>
      <c r="Y197" cm="1">
        <f t="array" ref="Y197">ABS(INDEX($F$4:$U$263,ROW(A194),MATCH($X$2,$F$3:$U$3,0))-INDEX($F$4:$U$263,ROW(A193),MATCH($X$2,$F$3:$U$3,0)))</f>
        <v>0</v>
      </c>
      <c r="Z197">
        <f>AVERAGE(INDEX($Y$4:$Y$263,MATCH(SPC!$B$13,IF(Setup!$B$11="Weekly",'SPC Backing (Hide)'!$B$4:$B$263,'SPC Backing (Hide)'!$E$4:$E$263),0)):INDEX($Y$4:$Y$263,MATCH(SPC!$B$14,IF(Setup!$B$11="Weekly",'SPC Backing (Hide)'!$B$4:$B$263,'SPC Backing (Hide)'!$E$4:$E$263),0),1))</f>
        <v>18.416666666666668</v>
      </c>
      <c r="AA197">
        <f t="shared" ref="AA197:AA260" si="49">Z197/1.128</f>
        <v>16.326832151300238</v>
      </c>
      <c r="AB197">
        <f t="shared" ref="AB197:AB260" si="50">MAX(0,X197-(3*AA197))</f>
        <v>88.60283687943263</v>
      </c>
      <c r="AC197">
        <f t="shared" ref="AC197:AC260" si="51">MAX(0,X197-(2*AA197))</f>
        <v>104.92966903073287</v>
      </c>
      <c r="AD197">
        <f t="shared" ref="AD197:AD260" si="52">MAX(0,X197-AA197)</f>
        <v>121.25650118203311</v>
      </c>
      <c r="AE197">
        <f t="shared" ref="AE197:AE260" si="53">X197+AA197</f>
        <v>153.91016548463358</v>
      </c>
      <c r="AF197">
        <f t="shared" ref="AF197:AF260" si="54">X197+(2*AA197)</f>
        <v>170.23699763593382</v>
      </c>
      <c r="AG197">
        <f t="shared" ref="AG197:AG260" si="55">X197+(3*AA197)</f>
        <v>186.56382978723406</v>
      </c>
      <c r="AH197">
        <f t="shared" ref="AH197:AH260" si="56">IF(OR(W197&gt;AG197,W197&lt;AB197),W197,NA())</f>
        <v>0</v>
      </c>
      <c r="AI197">
        <f t="shared" si="47"/>
        <v>-2</v>
      </c>
      <c r="AJ197">
        <f t="shared" ref="AJ197:AJ260" si="57">IF(ABS(SUM(AI197:AI199))&gt;=5,W197,NA())</f>
        <v>0</v>
      </c>
      <c r="AK197">
        <f t="shared" ref="AK197:AK260" si="58">IF(W198&gt;W197,1,IF(W198&lt;W197,-1,0))</f>
        <v>0</v>
      </c>
      <c r="AL197" t="e">
        <f t="shared" ref="AL197:AL260" si="59">IF(ABS(SUM(AK197:AK202))=6,W197,NA())</f>
        <v>#N/A</v>
      </c>
      <c r="AM197">
        <f t="shared" ref="AM197:AM260" si="60">IF(W197&lt;X197,-1,IF(W197&gt;X197,1,0))</f>
        <v>-1</v>
      </c>
      <c r="AN197">
        <f t="shared" ref="AN197:AN260" si="61">IF(ABS(SUM(AM197:AM205))=9,W197,NA())</f>
        <v>0</v>
      </c>
      <c r="AO197">
        <f>_xlfn.PERCENTILE.INC(INDEX($W$4:$W$263,MATCH(SPC!$B$13,IF(Setup!$B$11="Weekly",'SPC Backing (Hide)'!$B$4:$B$263,'SPC Backing (Hide)'!$E$4:$E$263),0),1):INDEX($W$4:$W$263,MATCH(SPC!$B$14,IF(Setup!$B$11="Weekly",'SPC Backing (Hide)'!$B$4:$B$263,'SPC Backing (Hide)'!$E$4:$E$263),0),1),'SPC Backing (Hide)'!$AO$3)</f>
        <v>136.10000000000002</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7">
        <f t="shared" ref="AQ197:AQ260" si="62">AP197-AO197</f>
        <v>33.44999999999996</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137.58333333333334</v>
      </c>
      <c r="Y198" cm="1">
        <f t="array" ref="Y198">ABS(INDEX($F$4:$U$263,ROW(A195),MATCH($X$2,$F$3:$U$3,0))-INDEX($F$4:$U$263,ROW(A194),MATCH($X$2,$F$3:$U$3,0)))</f>
        <v>0</v>
      </c>
      <c r="Z198">
        <f>AVERAGE(INDEX($Y$4:$Y$263,MATCH(SPC!$B$13,IF(Setup!$B$11="Weekly",'SPC Backing (Hide)'!$B$4:$B$263,'SPC Backing (Hide)'!$E$4:$E$263),0)):INDEX($Y$4:$Y$263,MATCH(SPC!$B$14,IF(Setup!$B$11="Weekly",'SPC Backing (Hide)'!$B$4:$B$263,'SPC Backing (Hide)'!$E$4:$E$263),0),1))</f>
        <v>18.416666666666668</v>
      </c>
      <c r="AA198">
        <f t="shared" si="49"/>
        <v>16.326832151300238</v>
      </c>
      <c r="AB198">
        <f t="shared" si="50"/>
        <v>88.60283687943263</v>
      </c>
      <c r="AC198">
        <f t="shared" si="51"/>
        <v>104.92966903073287</v>
      </c>
      <c r="AD198">
        <f t="shared" si="52"/>
        <v>121.25650118203311</v>
      </c>
      <c r="AE198">
        <f t="shared" si="53"/>
        <v>153.91016548463358</v>
      </c>
      <c r="AF198">
        <f t="shared" si="54"/>
        <v>170.23699763593382</v>
      </c>
      <c r="AG198">
        <f t="shared" si="55"/>
        <v>186.56382978723406</v>
      </c>
      <c r="AH198">
        <f t="shared" si="56"/>
        <v>0</v>
      </c>
      <c r="AI198">
        <f t="shared" ref="AI198:AI261" si="63">IF(W198&gt;AF198,2,IF(W198&lt;AC198,-2,IF(W198&gt;X198,1,IF(W198&lt;X198,-1,0))))</f>
        <v>-2</v>
      </c>
      <c r="AJ198">
        <f t="shared" si="57"/>
        <v>0</v>
      </c>
      <c r="AK198">
        <f t="shared" si="58"/>
        <v>0</v>
      </c>
      <c r="AL198" t="e">
        <f t="shared" si="59"/>
        <v>#N/A</v>
      </c>
      <c r="AM198">
        <f t="shared" si="60"/>
        <v>-1</v>
      </c>
      <c r="AN198">
        <f t="shared" si="61"/>
        <v>0</v>
      </c>
      <c r="AO198">
        <f>_xlfn.PERCENTILE.INC(INDEX($W$4:$W$263,MATCH(SPC!$B$13,IF(Setup!$B$11="Weekly",'SPC Backing (Hide)'!$B$4:$B$263,'SPC Backing (Hide)'!$E$4:$E$263),0),1):INDEX($W$4:$W$263,MATCH(SPC!$B$14,IF(Setup!$B$11="Weekly",'SPC Backing (Hide)'!$B$4:$B$263,'SPC Backing (Hide)'!$E$4:$E$263),0),1),'SPC Backing (Hide)'!$AO$3)</f>
        <v>136.10000000000002</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8">
        <f t="shared" si="62"/>
        <v>33.44999999999996</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137.58333333333334</v>
      </c>
      <c r="Y199" cm="1">
        <f t="array" ref="Y199">ABS(INDEX($F$4:$U$263,ROW(A196),MATCH($X$2,$F$3:$U$3,0))-INDEX($F$4:$U$263,ROW(A195),MATCH($X$2,$F$3:$U$3,0)))</f>
        <v>0</v>
      </c>
      <c r="Z199">
        <f>AVERAGE(INDEX($Y$4:$Y$263,MATCH(SPC!$B$13,IF(Setup!$B$11="Weekly",'SPC Backing (Hide)'!$B$4:$B$263,'SPC Backing (Hide)'!$E$4:$E$263),0)):INDEX($Y$4:$Y$263,MATCH(SPC!$B$14,IF(Setup!$B$11="Weekly",'SPC Backing (Hide)'!$B$4:$B$263,'SPC Backing (Hide)'!$E$4:$E$263),0),1))</f>
        <v>18.416666666666668</v>
      </c>
      <c r="AA199">
        <f t="shared" si="49"/>
        <v>16.326832151300238</v>
      </c>
      <c r="AB199">
        <f t="shared" si="50"/>
        <v>88.60283687943263</v>
      </c>
      <c r="AC199">
        <f t="shared" si="51"/>
        <v>104.92966903073287</v>
      </c>
      <c r="AD199">
        <f t="shared" si="52"/>
        <v>121.25650118203311</v>
      </c>
      <c r="AE199">
        <f t="shared" si="53"/>
        <v>153.91016548463358</v>
      </c>
      <c r="AF199">
        <f t="shared" si="54"/>
        <v>170.23699763593382</v>
      </c>
      <c r="AG199">
        <f t="shared" si="55"/>
        <v>186.56382978723406</v>
      </c>
      <c r="AH199">
        <f t="shared" si="56"/>
        <v>0</v>
      </c>
      <c r="AI199">
        <f t="shared" si="63"/>
        <v>-2</v>
      </c>
      <c r="AJ199">
        <f t="shared" si="57"/>
        <v>0</v>
      </c>
      <c r="AK199">
        <f t="shared" si="58"/>
        <v>0</v>
      </c>
      <c r="AL199" t="e">
        <f t="shared" si="59"/>
        <v>#N/A</v>
      </c>
      <c r="AM199">
        <f t="shared" si="60"/>
        <v>-1</v>
      </c>
      <c r="AN199">
        <f t="shared" si="61"/>
        <v>0</v>
      </c>
      <c r="AO199">
        <f>_xlfn.PERCENTILE.INC(INDEX($W$4:$W$263,MATCH(SPC!$B$13,IF(Setup!$B$11="Weekly",'SPC Backing (Hide)'!$B$4:$B$263,'SPC Backing (Hide)'!$E$4:$E$263),0),1):INDEX($W$4:$W$263,MATCH(SPC!$B$14,IF(Setup!$B$11="Weekly",'SPC Backing (Hide)'!$B$4:$B$263,'SPC Backing (Hide)'!$E$4:$E$263),0),1),'SPC Backing (Hide)'!$AO$3)</f>
        <v>136.10000000000002</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199">
        <f t="shared" si="62"/>
        <v>33.44999999999996</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137.58333333333334</v>
      </c>
      <c r="Y200" cm="1">
        <f t="array" ref="Y200">ABS(INDEX($F$4:$U$263,ROW(A197),MATCH($X$2,$F$3:$U$3,0))-INDEX($F$4:$U$263,ROW(A196),MATCH($X$2,$F$3:$U$3,0)))</f>
        <v>0</v>
      </c>
      <c r="Z200">
        <f>AVERAGE(INDEX($Y$4:$Y$263,MATCH(SPC!$B$13,IF(Setup!$B$11="Weekly",'SPC Backing (Hide)'!$B$4:$B$263,'SPC Backing (Hide)'!$E$4:$E$263),0)):INDEX($Y$4:$Y$263,MATCH(SPC!$B$14,IF(Setup!$B$11="Weekly",'SPC Backing (Hide)'!$B$4:$B$263,'SPC Backing (Hide)'!$E$4:$E$263),0),1))</f>
        <v>18.416666666666668</v>
      </c>
      <c r="AA200">
        <f t="shared" si="49"/>
        <v>16.326832151300238</v>
      </c>
      <c r="AB200">
        <f t="shared" si="50"/>
        <v>88.60283687943263</v>
      </c>
      <c r="AC200">
        <f t="shared" si="51"/>
        <v>104.92966903073287</v>
      </c>
      <c r="AD200">
        <f t="shared" si="52"/>
        <v>121.25650118203311</v>
      </c>
      <c r="AE200">
        <f t="shared" si="53"/>
        <v>153.91016548463358</v>
      </c>
      <c r="AF200">
        <f t="shared" si="54"/>
        <v>170.23699763593382</v>
      </c>
      <c r="AG200">
        <f t="shared" si="55"/>
        <v>186.56382978723406</v>
      </c>
      <c r="AH200">
        <f t="shared" si="56"/>
        <v>0</v>
      </c>
      <c r="AI200">
        <f t="shared" si="63"/>
        <v>-2</v>
      </c>
      <c r="AJ200">
        <f t="shared" si="57"/>
        <v>0</v>
      </c>
      <c r="AK200">
        <f t="shared" si="58"/>
        <v>0</v>
      </c>
      <c r="AL200" t="e">
        <f t="shared" si="59"/>
        <v>#N/A</v>
      </c>
      <c r="AM200">
        <f t="shared" si="60"/>
        <v>-1</v>
      </c>
      <c r="AN200">
        <f t="shared" si="61"/>
        <v>0</v>
      </c>
      <c r="AO200">
        <f>_xlfn.PERCENTILE.INC(INDEX($W$4:$W$263,MATCH(SPC!$B$13,IF(Setup!$B$11="Weekly",'SPC Backing (Hide)'!$B$4:$B$263,'SPC Backing (Hide)'!$E$4:$E$263),0),1):INDEX($W$4:$W$263,MATCH(SPC!$B$14,IF(Setup!$B$11="Weekly",'SPC Backing (Hide)'!$B$4:$B$263,'SPC Backing (Hide)'!$E$4:$E$263),0),1),'SPC Backing (Hide)'!$AO$3)</f>
        <v>136.10000000000002</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0">
        <f t="shared" si="62"/>
        <v>33.44999999999996</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137.58333333333334</v>
      </c>
      <c r="Y201" cm="1">
        <f t="array" ref="Y201">ABS(INDEX($F$4:$U$263,ROW(A198),MATCH($X$2,$F$3:$U$3,0))-INDEX($F$4:$U$263,ROW(A197),MATCH($X$2,$F$3:$U$3,0)))</f>
        <v>0</v>
      </c>
      <c r="Z201">
        <f>AVERAGE(INDEX($Y$4:$Y$263,MATCH(SPC!$B$13,IF(Setup!$B$11="Weekly",'SPC Backing (Hide)'!$B$4:$B$263,'SPC Backing (Hide)'!$E$4:$E$263),0)):INDEX($Y$4:$Y$263,MATCH(SPC!$B$14,IF(Setup!$B$11="Weekly",'SPC Backing (Hide)'!$B$4:$B$263,'SPC Backing (Hide)'!$E$4:$E$263),0),1))</f>
        <v>18.416666666666668</v>
      </c>
      <c r="AA201">
        <f t="shared" si="49"/>
        <v>16.326832151300238</v>
      </c>
      <c r="AB201">
        <f t="shared" si="50"/>
        <v>88.60283687943263</v>
      </c>
      <c r="AC201">
        <f t="shared" si="51"/>
        <v>104.92966903073287</v>
      </c>
      <c r="AD201">
        <f t="shared" si="52"/>
        <v>121.25650118203311</v>
      </c>
      <c r="AE201">
        <f t="shared" si="53"/>
        <v>153.91016548463358</v>
      </c>
      <c r="AF201">
        <f t="shared" si="54"/>
        <v>170.23699763593382</v>
      </c>
      <c r="AG201">
        <f t="shared" si="55"/>
        <v>186.56382978723406</v>
      </c>
      <c r="AH201">
        <f t="shared" si="56"/>
        <v>0</v>
      </c>
      <c r="AI201">
        <f t="shared" si="63"/>
        <v>-2</v>
      </c>
      <c r="AJ201">
        <f t="shared" si="57"/>
        <v>0</v>
      </c>
      <c r="AK201">
        <f t="shared" si="58"/>
        <v>0</v>
      </c>
      <c r="AL201" t="e">
        <f t="shared" si="59"/>
        <v>#N/A</v>
      </c>
      <c r="AM201">
        <f t="shared" si="60"/>
        <v>-1</v>
      </c>
      <c r="AN201">
        <f t="shared" si="61"/>
        <v>0</v>
      </c>
      <c r="AO201">
        <f>_xlfn.PERCENTILE.INC(INDEX($W$4:$W$263,MATCH(SPC!$B$13,IF(Setup!$B$11="Weekly",'SPC Backing (Hide)'!$B$4:$B$263,'SPC Backing (Hide)'!$E$4:$E$263),0),1):INDEX($W$4:$W$263,MATCH(SPC!$B$14,IF(Setup!$B$11="Weekly",'SPC Backing (Hide)'!$B$4:$B$263,'SPC Backing (Hide)'!$E$4:$E$263),0),1),'SPC Backing (Hide)'!$AO$3)</f>
        <v>136.10000000000002</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1">
        <f t="shared" si="62"/>
        <v>33.44999999999996</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137.58333333333334</v>
      </c>
      <c r="Y202" cm="1">
        <f t="array" ref="Y202">ABS(INDEX($F$4:$U$263,ROW(A199),MATCH($X$2,$F$3:$U$3,0))-INDEX($F$4:$U$263,ROW(A198),MATCH($X$2,$F$3:$U$3,0)))</f>
        <v>0</v>
      </c>
      <c r="Z202">
        <f>AVERAGE(INDEX($Y$4:$Y$263,MATCH(SPC!$B$13,IF(Setup!$B$11="Weekly",'SPC Backing (Hide)'!$B$4:$B$263,'SPC Backing (Hide)'!$E$4:$E$263),0)):INDEX($Y$4:$Y$263,MATCH(SPC!$B$14,IF(Setup!$B$11="Weekly",'SPC Backing (Hide)'!$B$4:$B$263,'SPC Backing (Hide)'!$E$4:$E$263),0),1))</f>
        <v>18.416666666666668</v>
      </c>
      <c r="AA202">
        <f t="shared" si="49"/>
        <v>16.326832151300238</v>
      </c>
      <c r="AB202">
        <f t="shared" si="50"/>
        <v>88.60283687943263</v>
      </c>
      <c r="AC202">
        <f t="shared" si="51"/>
        <v>104.92966903073287</v>
      </c>
      <c r="AD202">
        <f t="shared" si="52"/>
        <v>121.25650118203311</v>
      </c>
      <c r="AE202">
        <f t="shared" si="53"/>
        <v>153.91016548463358</v>
      </c>
      <c r="AF202">
        <f t="shared" si="54"/>
        <v>170.23699763593382</v>
      </c>
      <c r="AG202">
        <f t="shared" si="55"/>
        <v>186.56382978723406</v>
      </c>
      <c r="AH202">
        <f t="shared" si="56"/>
        <v>0</v>
      </c>
      <c r="AI202">
        <f t="shared" si="63"/>
        <v>-2</v>
      </c>
      <c r="AJ202">
        <f t="shared" si="57"/>
        <v>0</v>
      </c>
      <c r="AK202">
        <f t="shared" si="58"/>
        <v>0</v>
      </c>
      <c r="AL202" t="e">
        <f t="shared" si="59"/>
        <v>#N/A</v>
      </c>
      <c r="AM202">
        <f t="shared" si="60"/>
        <v>-1</v>
      </c>
      <c r="AN202">
        <f t="shared" si="61"/>
        <v>0</v>
      </c>
      <c r="AO202">
        <f>_xlfn.PERCENTILE.INC(INDEX($W$4:$W$263,MATCH(SPC!$B$13,IF(Setup!$B$11="Weekly",'SPC Backing (Hide)'!$B$4:$B$263,'SPC Backing (Hide)'!$E$4:$E$263),0),1):INDEX($W$4:$W$263,MATCH(SPC!$B$14,IF(Setup!$B$11="Weekly",'SPC Backing (Hide)'!$B$4:$B$263,'SPC Backing (Hide)'!$E$4:$E$263),0),1),'SPC Backing (Hide)'!$AO$3)</f>
        <v>136.10000000000002</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2">
        <f t="shared" si="62"/>
        <v>33.44999999999996</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137.58333333333334</v>
      </c>
      <c r="Y203" cm="1">
        <f t="array" ref="Y203">ABS(INDEX($F$4:$U$263,ROW(A200),MATCH($X$2,$F$3:$U$3,0))-INDEX($F$4:$U$263,ROW(A199),MATCH($X$2,$F$3:$U$3,0)))</f>
        <v>0</v>
      </c>
      <c r="Z203">
        <f>AVERAGE(INDEX($Y$4:$Y$263,MATCH(SPC!$B$13,IF(Setup!$B$11="Weekly",'SPC Backing (Hide)'!$B$4:$B$263,'SPC Backing (Hide)'!$E$4:$E$263),0)):INDEX($Y$4:$Y$263,MATCH(SPC!$B$14,IF(Setup!$B$11="Weekly",'SPC Backing (Hide)'!$B$4:$B$263,'SPC Backing (Hide)'!$E$4:$E$263),0),1))</f>
        <v>18.416666666666668</v>
      </c>
      <c r="AA203">
        <f t="shared" si="49"/>
        <v>16.326832151300238</v>
      </c>
      <c r="AB203">
        <f t="shared" si="50"/>
        <v>88.60283687943263</v>
      </c>
      <c r="AC203">
        <f t="shared" si="51"/>
        <v>104.92966903073287</v>
      </c>
      <c r="AD203">
        <f t="shared" si="52"/>
        <v>121.25650118203311</v>
      </c>
      <c r="AE203">
        <f t="shared" si="53"/>
        <v>153.91016548463358</v>
      </c>
      <c r="AF203">
        <f t="shared" si="54"/>
        <v>170.23699763593382</v>
      </c>
      <c r="AG203">
        <f t="shared" si="55"/>
        <v>186.56382978723406</v>
      </c>
      <c r="AH203">
        <f t="shared" si="56"/>
        <v>0</v>
      </c>
      <c r="AI203">
        <f t="shared" si="63"/>
        <v>-2</v>
      </c>
      <c r="AJ203">
        <f t="shared" si="57"/>
        <v>0</v>
      </c>
      <c r="AK203">
        <f t="shared" si="58"/>
        <v>0</v>
      </c>
      <c r="AL203" t="e">
        <f t="shared" si="59"/>
        <v>#N/A</v>
      </c>
      <c r="AM203">
        <f t="shared" si="60"/>
        <v>-1</v>
      </c>
      <c r="AN203">
        <f t="shared" si="61"/>
        <v>0</v>
      </c>
      <c r="AO203">
        <f>_xlfn.PERCENTILE.INC(INDEX($W$4:$W$263,MATCH(SPC!$B$13,IF(Setup!$B$11="Weekly",'SPC Backing (Hide)'!$B$4:$B$263,'SPC Backing (Hide)'!$E$4:$E$263),0),1):INDEX($W$4:$W$263,MATCH(SPC!$B$14,IF(Setup!$B$11="Weekly",'SPC Backing (Hide)'!$B$4:$B$263,'SPC Backing (Hide)'!$E$4:$E$263),0),1),'SPC Backing (Hide)'!$AO$3)</f>
        <v>136.10000000000002</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3">
        <f t="shared" si="62"/>
        <v>33.44999999999996</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137.58333333333334</v>
      </c>
      <c r="Y204" cm="1">
        <f t="array" ref="Y204">ABS(INDEX($F$4:$U$263,ROW(A201),MATCH($X$2,$F$3:$U$3,0))-INDEX($F$4:$U$263,ROW(A200),MATCH($X$2,$F$3:$U$3,0)))</f>
        <v>0</v>
      </c>
      <c r="Z204">
        <f>AVERAGE(INDEX($Y$4:$Y$263,MATCH(SPC!$B$13,IF(Setup!$B$11="Weekly",'SPC Backing (Hide)'!$B$4:$B$263,'SPC Backing (Hide)'!$E$4:$E$263),0)):INDEX($Y$4:$Y$263,MATCH(SPC!$B$14,IF(Setup!$B$11="Weekly",'SPC Backing (Hide)'!$B$4:$B$263,'SPC Backing (Hide)'!$E$4:$E$263),0),1))</f>
        <v>18.416666666666668</v>
      </c>
      <c r="AA204">
        <f t="shared" si="49"/>
        <v>16.326832151300238</v>
      </c>
      <c r="AB204">
        <f t="shared" si="50"/>
        <v>88.60283687943263</v>
      </c>
      <c r="AC204">
        <f t="shared" si="51"/>
        <v>104.92966903073287</v>
      </c>
      <c r="AD204">
        <f t="shared" si="52"/>
        <v>121.25650118203311</v>
      </c>
      <c r="AE204">
        <f t="shared" si="53"/>
        <v>153.91016548463358</v>
      </c>
      <c r="AF204">
        <f t="shared" si="54"/>
        <v>170.23699763593382</v>
      </c>
      <c r="AG204">
        <f t="shared" si="55"/>
        <v>186.56382978723406</v>
      </c>
      <c r="AH204">
        <f t="shared" si="56"/>
        <v>0</v>
      </c>
      <c r="AI204">
        <f t="shared" si="63"/>
        <v>-2</v>
      </c>
      <c r="AJ204">
        <f t="shared" si="57"/>
        <v>0</v>
      </c>
      <c r="AK204">
        <f t="shared" si="58"/>
        <v>0</v>
      </c>
      <c r="AL204" t="e">
        <f t="shared" si="59"/>
        <v>#N/A</v>
      </c>
      <c r="AM204">
        <f t="shared" si="60"/>
        <v>-1</v>
      </c>
      <c r="AN204">
        <f t="shared" si="61"/>
        <v>0</v>
      </c>
      <c r="AO204">
        <f>_xlfn.PERCENTILE.INC(INDEX($W$4:$W$263,MATCH(SPC!$B$13,IF(Setup!$B$11="Weekly",'SPC Backing (Hide)'!$B$4:$B$263,'SPC Backing (Hide)'!$E$4:$E$263),0),1):INDEX($W$4:$W$263,MATCH(SPC!$B$14,IF(Setup!$B$11="Weekly",'SPC Backing (Hide)'!$B$4:$B$263,'SPC Backing (Hide)'!$E$4:$E$263),0),1),'SPC Backing (Hide)'!$AO$3)</f>
        <v>136.10000000000002</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4">
        <f t="shared" si="62"/>
        <v>33.44999999999996</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137.58333333333334</v>
      </c>
      <c r="Y205" cm="1">
        <f t="array" ref="Y205">ABS(INDEX($F$4:$U$263,ROW(A202),MATCH($X$2,$F$3:$U$3,0))-INDEX($F$4:$U$263,ROW(A201),MATCH($X$2,$F$3:$U$3,0)))</f>
        <v>0</v>
      </c>
      <c r="Z205">
        <f>AVERAGE(INDEX($Y$4:$Y$263,MATCH(SPC!$B$13,IF(Setup!$B$11="Weekly",'SPC Backing (Hide)'!$B$4:$B$263,'SPC Backing (Hide)'!$E$4:$E$263),0)):INDEX($Y$4:$Y$263,MATCH(SPC!$B$14,IF(Setup!$B$11="Weekly",'SPC Backing (Hide)'!$B$4:$B$263,'SPC Backing (Hide)'!$E$4:$E$263),0),1))</f>
        <v>18.416666666666668</v>
      </c>
      <c r="AA205">
        <f t="shared" si="49"/>
        <v>16.326832151300238</v>
      </c>
      <c r="AB205">
        <f t="shared" si="50"/>
        <v>88.60283687943263</v>
      </c>
      <c r="AC205">
        <f t="shared" si="51"/>
        <v>104.92966903073287</v>
      </c>
      <c r="AD205">
        <f t="shared" si="52"/>
        <v>121.25650118203311</v>
      </c>
      <c r="AE205">
        <f t="shared" si="53"/>
        <v>153.91016548463358</v>
      </c>
      <c r="AF205">
        <f t="shared" si="54"/>
        <v>170.23699763593382</v>
      </c>
      <c r="AG205">
        <f t="shared" si="55"/>
        <v>186.56382978723406</v>
      </c>
      <c r="AH205">
        <f t="shared" si="56"/>
        <v>0</v>
      </c>
      <c r="AI205">
        <f t="shared" si="63"/>
        <v>-2</v>
      </c>
      <c r="AJ205">
        <f t="shared" si="57"/>
        <v>0</v>
      </c>
      <c r="AK205">
        <f t="shared" si="58"/>
        <v>0</v>
      </c>
      <c r="AL205" t="e">
        <f t="shared" si="59"/>
        <v>#N/A</v>
      </c>
      <c r="AM205">
        <f t="shared" si="60"/>
        <v>-1</v>
      </c>
      <c r="AN205">
        <f t="shared" si="61"/>
        <v>0</v>
      </c>
      <c r="AO205">
        <f>_xlfn.PERCENTILE.INC(INDEX($W$4:$W$263,MATCH(SPC!$B$13,IF(Setup!$B$11="Weekly",'SPC Backing (Hide)'!$B$4:$B$263,'SPC Backing (Hide)'!$E$4:$E$263),0),1):INDEX($W$4:$W$263,MATCH(SPC!$B$14,IF(Setup!$B$11="Weekly",'SPC Backing (Hide)'!$B$4:$B$263,'SPC Backing (Hide)'!$E$4:$E$263),0),1),'SPC Backing (Hide)'!$AO$3)</f>
        <v>136.10000000000002</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5">
        <f t="shared" si="62"/>
        <v>33.44999999999996</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137.58333333333334</v>
      </c>
      <c r="Y206" cm="1">
        <f t="array" ref="Y206">ABS(INDEX($F$4:$U$263,ROW(A203),MATCH($X$2,$F$3:$U$3,0))-INDEX($F$4:$U$263,ROW(A202),MATCH($X$2,$F$3:$U$3,0)))</f>
        <v>0</v>
      </c>
      <c r="Z206">
        <f>AVERAGE(INDEX($Y$4:$Y$263,MATCH(SPC!$B$13,IF(Setup!$B$11="Weekly",'SPC Backing (Hide)'!$B$4:$B$263,'SPC Backing (Hide)'!$E$4:$E$263),0)):INDEX($Y$4:$Y$263,MATCH(SPC!$B$14,IF(Setup!$B$11="Weekly",'SPC Backing (Hide)'!$B$4:$B$263,'SPC Backing (Hide)'!$E$4:$E$263),0),1))</f>
        <v>18.416666666666668</v>
      </c>
      <c r="AA206">
        <f t="shared" si="49"/>
        <v>16.326832151300238</v>
      </c>
      <c r="AB206">
        <f t="shared" si="50"/>
        <v>88.60283687943263</v>
      </c>
      <c r="AC206">
        <f t="shared" si="51"/>
        <v>104.92966903073287</v>
      </c>
      <c r="AD206">
        <f t="shared" si="52"/>
        <v>121.25650118203311</v>
      </c>
      <c r="AE206">
        <f t="shared" si="53"/>
        <v>153.91016548463358</v>
      </c>
      <c r="AF206">
        <f t="shared" si="54"/>
        <v>170.23699763593382</v>
      </c>
      <c r="AG206">
        <f t="shared" si="55"/>
        <v>186.56382978723406</v>
      </c>
      <c r="AH206">
        <f t="shared" si="56"/>
        <v>0</v>
      </c>
      <c r="AI206">
        <f t="shared" si="63"/>
        <v>-2</v>
      </c>
      <c r="AJ206">
        <f t="shared" si="57"/>
        <v>0</v>
      </c>
      <c r="AK206">
        <f t="shared" si="58"/>
        <v>0</v>
      </c>
      <c r="AL206" t="e">
        <f t="shared" si="59"/>
        <v>#N/A</v>
      </c>
      <c r="AM206">
        <f t="shared" si="60"/>
        <v>-1</v>
      </c>
      <c r="AN206">
        <f t="shared" si="61"/>
        <v>0</v>
      </c>
      <c r="AO206">
        <f>_xlfn.PERCENTILE.INC(INDEX($W$4:$W$263,MATCH(SPC!$B$13,IF(Setup!$B$11="Weekly",'SPC Backing (Hide)'!$B$4:$B$263,'SPC Backing (Hide)'!$E$4:$E$263),0),1):INDEX($W$4:$W$263,MATCH(SPC!$B$14,IF(Setup!$B$11="Weekly",'SPC Backing (Hide)'!$B$4:$B$263,'SPC Backing (Hide)'!$E$4:$E$263),0),1),'SPC Backing (Hide)'!$AO$3)</f>
        <v>136.10000000000002</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6">
        <f t="shared" si="62"/>
        <v>33.44999999999996</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137.58333333333334</v>
      </c>
      <c r="Y207" cm="1">
        <f t="array" ref="Y207">ABS(INDEX($F$4:$U$263,ROW(A204),MATCH($X$2,$F$3:$U$3,0))-INDEX($F$4:$U$263,ROW(A203),MATCH($X$2,$F$3:$U$3,0)))</f>
        <v>0</v>
      </c>
      <c r="Z207">
        <f>AVERAGE(INDEX($Y$4:$Y$263,MATCH(SPC!$B$13,IF(Setup!$B$11="Weekly",'SPC Backing (Hide)'!$B$4:$B$263,'SPC Backing (Hide)'!$E$4:$E$263),0)):INDEX($Y$4:$Y$263,MATCH(SPC!$B$14,IF(Setup!$B$11="Weekly",'SPC Backing (Hide)'!$B$4:$B$263,'SPC Backing (Hide)'!$E$4:$E$263),0),1))</f>
        <v>18.416666666666668</v>
      </c>
      <c r="AA207">
        <f t="shared" si="49"/>
        <v>16.326832151300238</v>
      </c>
      <c r="AB207">
        <f t="shared" si="50"/>
        <v>88.60283687943263</v>
      </c>
      <c r="AC207">
        <f t="shared" si="51"/>
        <v>104.92966903073287</v>
      </c>
      <c r="AD207">
        <f t="shared" si="52"/>
        <v>121.25650118203311</v>
      </c>
      <c r="AE207">
        <f t="shared" si="53"/>
        <v>153.91016548463358</v>
      </c>
      <c r="AF207">
        <f t="shared" si="54"/>
        <v>170.23699763593382</v>
      </c>
      <c r="AG207">
        <f t="shared" si="55"/>
        <v>186.56382978723406</v>
      </c>
      <c r="AH207">
        <f t="shared" si="56"/>
        <v>0</v>
      </c>
      <c r="AI207">
        <f t="shared" si="63"/>
        <v>-2</v>
      </c>
      <c r="AJ207">
        <f t="shared" si="57"/>
        <v>0</v>
      </c>
      <c r="AK207">
        <f t="shared" si="58"/>
        <v>0</v>
      </c>
      <c r="AL207" t="e">
        <f t="shared" si="59"/>
        <v>#N/A</v>
      </c>
      <c r="AM207">
        <f t="shared" si="60"/>
        <v>-1</v>
      </c>
      <c r="AN207">
        <f t="shared" si="61"/>
        <v>0</v>
      </c>
      <c r="AO207">
        <f>_xlfn.PERCENTILE.INC(INDEX($W$4:$W$263,MATCH(SPC!$B$13,IF(Setup!$B$11="Weekly",'SPC Backing (Hide)'!$B$4:$B$263,'SPC Backing (Hide)'!$E$4:$E$263),0),1):INDEX($W$4:$W$263,MATCH(SPC!$B$14,IF(Setup!$B$11="Weekly",'SPC Backing (Hide)'!$B$4:$B$263,'SPC Backing (Hide)'!$E$4:$E$263),0),1),'SPC Backing (Hide)'!$AO$3)</f>
        <v>136.10000000000002</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7">
        <f t="shared" si="62"/>
        <v>33.44999999999996</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137.58333333333334</v>
      </c>
      <c r="Y208" cm="1">
        <f t="array" ref="Y208">ABS(INDEX($F$4:$U$263,ROW(A205),MATCH($X$2,$F$3:$U$3,0))-INDEX($F$4:$U$263,ROW(A204),MATCH($X$2,$F$3:$U$3,0)))</f>
        <v>0</v>
      </c>
      <c r="Z208">
        <f>AVERAGE(INDEX($Y$4:$Y$263,MATCH(SPC!$B$13,IF(Setup!$B$11="Weekly",'SPC Backing (Hide)'!$B$4:$B$263,'SPC Backing (Hide)'!$E$4:$E$263),0)):INDEX($Y$4:$Y$263,MATCH(SPC!$B$14,IF(Setup!$B$11="Weekly",'SPC Backing (Hide)'!$B$4:$B$263,'SPC Backing (Hide)'!$E$4:$E$263),0),1))</f>
        <v>18.416666666666668</v>
      </c>
      <c r="AA208">
        <f t="shared" si="49"/>
        <v>16.326832151300238</v>
      </c>
      <c r="AB208">
        <f t="shared" si="50"/>
        <v>88.60283687943263</v>
      </c>
      <c r="AC208">
        <f t="shared" si="51"/>
        <v>104.92966903073287</v>
      </c>
      <c r="AD208">
        <f t="shared" si="52"/>
        <v>121.25650118203311</v>
      </c>
      <c r="AE208">
        <f t="shared" si="53"/>
        <v>153.91016548463358</v>
      </c>
      <c r="AF208">
        <f t="shared" si="54"/>
        <v>170.23699763593382</v>
      </c>
      <c r="AG208">
        <f t="shared" si="55"/>
        <v>186.56382978723406</v>
      </c>
      <c r="AH208">
        <f t="shared" si="56"/>
        <v>0</v>
      </c>
      <c r="AI208">
        <f t="shared" si="63"/>
        <v>-2</v>
      </c>
      <c r="AJ208">
        <f t="shared" si="57"/>
        <v>0</v>
      </c>
      <c r="AK208">
        <f t="shared" si="58"/>
        <v>0</v>
      </c>
      <c r="AL208" t="e">
        <f t="shared" si="59"/>
        <v>#N/A</v>
      </c>
      <c r="AM208">
        <f t="shared" si="60"/>
        <v>-1</v>
      </c>
      <c r="AN208">
        <f t="shared" si="61"/>
        <v>0</v>
      </c>
      <c r="AO208">
        <f>_xlfn.PERCENTILE.INC(INDEX($W$4:$W$263,MATCH(SPC!$B$13,IF(Setup!$B$11="Weekly",'SPC Backing (Hide)'!$B$4:$B$263,'SPC Backing (Hide)'!$E$4:$E$263),0),1):INDEX($W$4:$W$263,MATCH(SPC!$B$14,IF(Setup!$B$11="Weekly",'SPC Backing (Hide)'!$B$4:$B$263,'SPC Backing (Hide)'!$E$4:$E$263),0),1),'SPC Backing (Hide)'!$AO$3)</f>
        <v>136.10000000000002</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8">
        <f t="shared" si="62"/>
        <v>33.44999999999996</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137.58333333333334</v>
      </c>
      <c r="Y209" cm="1">
        <f t="array" ref="Y209">ABS(INDEX($F$4:$U$263,ROW(A206),MATCH($X$2,$F$3:$U$3,0))-INDEX($F$4:$U$263,ROW(A205),MATCH($X$2,$F$3:$U$3,0)))</f>
        <v>0</v>
      </c>
      <c r="Z209">
        <f>AVERAGE(INDEX($Y$4:$Y$263,MATCH(SPC!$B$13,IF(Setup!$B$11="Weekly",'SPC Backing (Hide)'!$B$4:$B$263,'SPC Backing (Hide)'!$E$4:$E$263),0)):INDEX($Y$4:$Y$263,MATCH(SPC!$B$14,IF(Setup!$B$11="Weekly",'SPC Backing (Hide)'!$B$4:$B$263,'SPC Backing (Hide)'!$E$4:$E$263),0),1))</f>
        <v>18.416666666666668</v>
      </c>
      <c r="AA209">
        <f t="shared" si="49"/>
        <v>16.326832151300238</v>
      </c>
      <c r="AB209">
        <f t="shared" si="50"/>
        <v>88.60283687943263</v>
      </c>
      <c r="AC209">
        <f t="shared" si="51"/>
        <v>104.92966903073287</v>
      </c>
      <c r="AD209">
        <f t="shared" si="52"/>
        <v>121.25650118203311</v>
      </c>
      <c r="AE209">
        <f t="shared" si="53"/>
        <v>153.91016548463358</v>
      </c>
      <c r="AF209">
        <f t="shared" si="54"/>
        <v>170.23699763593382</v>
      </c>
      <c r="AG209">
        <f t="shared" si="55"/>
        <v>186.56382978723406</v>
      </c>
      <c r="AH209">
        <f t="shared" si="56"/>
        <v>0</v>
      </c>
      <c r="AI209">
        <f t="shared" si="63"/>
        <v>-2</v>
      </c>
      <c r="AJ209">
        <f t="shared" si="57"/>
        <v>0</v>
      </c>
      <c r="AK209">
        <f t="shared" si="58"/>
        <v>0</v>
      </c>
      <c r="AL209" t="e">
        <f t="shared" si="59"/>
        <v>#N/A</v>
      </c>
      <c r="AM209">
        <f t="shared" si="60"/>
        <v>-1</v>
      </c>
      <c r="AN209">
        <f t="shared" si="61"/>
        <v>0</v>
      </c>
      <c r="AO209">
        <f>_xlfn.PERCENTILE.INC(INDEX($W$4:$W$263,MATCH(SPC!$B$13,IF(Setup!$B$11="Weekly",'SPC Backing (Hide)'!$B$4:$B$263,'SPC Backing (Hide)'!$E$4:$E$263),0),1):INDEX($W$4:$W$263,MATCH(SPC!$B$14,IF(Setup!$B$11="Weekly",'SPC Backing (Hide)'!$B$4:$B$263,'SPC Backing (Hide)'!$E$4:$E$263),0),1),'SPC Backing (Hide)'!$AO$3)</f>
        <v>136.10000000000002</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09">
        <f t="shared" si="62"/>
        <v>33.44999999999996</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137.58333333333334</v>
      </c>
      <c r="Y210" cm="1">
        <f t="array" ref="Y210">ABS(INDEX($F$4:$U$263,ROW(A207),MATCH($X$2,$F$3:$U$3,0))-INDEX($F$4:$U$263,ROW(A206),MATCH($X$2,$F$3:$U$3,0)))</f>
        <v>0</v>
      </c>
      <c r="Z210">
        <f>AVERAGE(INDEX($Y$4:$Y$263,MATCH(SPC!$B$13,IF(Setup!$B$11="Weekly",'SPC Backing (Hide)'!$B$4:$B$263,'SPC Backing (Hide)'!$E$4:$E$263),0)):INDEX($Y$4:$Y$263,MATCH(SPC!$B$14,IF(Setup!$B$11="Weekly",'SPC Backing (Hide)'!$B$4:$B$263,'SPC Backing (Hide)'!$E$4:$E$263),0),1))</f>
        <v>18.416666666666668</v>
      </c>
      <c r="AA210">
        <f t="shared" si="49"/>
        <v>16.326832151300238</v>
      </c>
      <c r="AB210">
        <f t="shared" si="50"/>
        <v>88.60283687943263</v>
      </c>
      <c r="AC210">
        <f t="shared" si="51"/>
        <v>104.92966903073287</v>
      </c>
      <c r="AD210">
        <f t="shared" si="52"/>
        <v>121.25650118203311</v>
      </c>
      <c r="AE210">
        <f t="shared" si="53"/>
        <v>153.91016548463358</v>
      </c>
      <c r="AF210">
        <f t="shared" si="54"/>
        <v>170.23699763593382</v>
      </c>
      <c r="AG210">
        <f t="shared" si="55"/>
        <v>186.56382978723406</v>
      </c>
      <c r="AH210">
        <f t="shared" si="56"/>
        <v>0</v>
      </c>
      <c r="AI210">
        <f t="shared" si="63"/>
        <v>-2</v>
      </c>
      <c r="AJ210">
        <f t="shared" si="57"/>
        <v>0</v>
      </c>
      <c r="AK210">
        <f t="shared" si="58"/>
        <v>0</v>
      </c>
      <c r="AL210" t="e">
        <f t="shared" si="59"/>
        <v>#N/A</v>
      </c>
      <c r="AM210">
        <f t="shared" si="60"/>
        <v>-1</v>
      </c>
      <c r="AN210">
        <f t="shared" si="61"/>
        <v>0</v>
      </c>
      <c r="AO210">
        <f>_xlfn.PERCENTILE.INC(INDEX($W$4:$W$263,MATCH(SPC!$B$13,IF(Setup!$B$11="Weekly",'SPC Backing (Hide)'!$B$4:$B$263,'SPC Backing (Hide)'!$E$4:$E$263),0),1):INDEX($W$4:$W$263,MATCH(SPC!$B$14,IF(Setup!$B$11="Weekly",'SPC Backing (Hide)'!$B$4:$B$263,'SPC Backing (Hide)'!$E$4:$E$263),0),1),'SPC Backing (Hide)'!$AO$3)</f>
        <v>136.10000000000002</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0">
        <f t="shared" si="62"/>
        <v>33.44999999999996</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137.58333333333334</v>
      </c>
      <c r="Y211" cm="1">
        <f t="array" ref="Y211">ABS(INDEX($F$4:$U$263,ROW(A208),MATCH($X$2,$F$3:$U$3,0))-INDEX($F$4:$U$263,ROW(A207),MATCH($X$2,$F$3:$U$3,0)))</f>
        <v>0</v>
      </c>
      <c r="Z211">
        <f>AVERAGE(INDEX($Y$4:$Y$263,MATCH(SPC!$B$13,IF(Setup!$B$11="Weekly",'SPC Backing (Hide)'!$B$4:$B$263,'SPC Backing (Hide)'!$E$4:$E$263),0)):INDEX($Y$4:$Y$263,MATCH(SPC!$B$14,IF(Setup!$B$11="Weekly",'SPC Backing (Hide)'!$B$4:$B$263,'SPC Backing (Hide)'!$E$4:$E$263),0),1))</f>
        <v>18.416666666666668</v>
      </c>
      <c r="AA211">
        <f t="shared" si="49"/>
        <v>16.326832151300238</v>
      </c>
      <c r="AB211">
        <f t="shared" si="50"/>
        <v>88.60283687943263</v>
      </c>
      <c r="AC211">
        <f t="shared" si="51"/>
        <v>104.92966903073287</v>
      </c>
      <c r="AD211">
        <f t="shared" si="52"/>
        <v>121.25650118203311</v>
      </c>
      <c r="AE211">
        <f t="shared" si="53"/>
        <v>153.91016548463358</v>
      </c>
      <c r="AF211">
        <f t="shared" si="54"/>
        <v>170.23699763593382</v>
      </c>
      <c r="AG211">
        <f t="shared" si="55"/>
        <v>186.56382978723406</v>
      </c>
      <c r="AH211">
        <f t="shared" si="56"/>
        <v>0</v>
      </c>
      <c r="AI211">
        <f t="shared" si="63"/>
        <v>-2</v>
      </c>
      <c r="AJ211">
        <f t="shared" si="57"/>
        <v>0</v>
      </c>
      <c r="AK211">
        <f t="shared" si="58"/>
        <v>0</v>
      </c>
      <c r="AL211" t="e">
        <f t="shared" si="59"/>
        <v>#N/A</v>
      </c>
      <c r="AM211">
        <f t="shared" si="60"/>
        <v>-1</v>
      </c>
      <c r="AN211">
        <f t="shared" si="61"/>
        <v>0</v>
      </c>
      <c r="AO211">
        <f>_xlfn.PERCENTILE.INC(INDEX($W$4:$W$263,MATCH(SPC!$B$13,IF(Setup!$B$11="Weekly",'SPC Backing (Hide)'!$B$4:$B$263,'SPC Backing (Hide)'!$E$4:$E$263),0),1):INDEX($W$4:$W$263,MATCH(SPC!$B$14,IF(Setup!$B$11="Weekly",'SPC Backing (Hide)'!$B$4:$B$263,'SPC Backing (Hide)'!$E$4:$E$263),0),1),'SPC Backing (Hide)'!$AO$3)</f>
        <v>136.10000000000002</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1">
        <f t="shared" si="62"/>
        <v>33.44999999999996</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137.58333333333334</v>
      </c>
      <c r="Y212" cm="1">
        <f t="array" ref="Y212">ABS(INDEX($F$4:$U$263,ROW(A209),MATCH($X$2,$F$3:$U$3,0))-INDEX($F$4:$U$263,ROW(A208),MATCH($X$2,$F$3:$U$3,0)))</f>
        <v>0</v>
      </c>
      <c r="Z212">
        <f>AVERAGE(INDEX($Y$4:$Y$263,MATCH(SPC!$B$13,IF(Setup!$B$11="Weekly",'SPC Backing (Hide)'!$B$4:$B$263,'SPC Backing (Hide)'!$E$4:$E$263),0)):INDEX($Y$4:$Y$263,MATCH(SPC!$B$14,IF(Setup!$B$11="Weekly",'SPC Backing (Hide)'!$B$4:$B$263,'SPC Backing (Hide)'!$E$4:$E$263),0),1))</f>
        <v>18.416666666666668</v>
      </c>
      <c r="AA212">
        <f t="shared" si="49"/>
        <v>16.326832151300238</v>
      </c>
      <c r="AB212">
        <f t="shared" si="50"/>
        <v>88.60283687943263</v>
      </c>
      <c r="AC212">
        <f t="shared" si="51"/>
        <v>104.92966903073287</v>
      </c>
      <c r="AD212">
        <f t="shared" si="52"/>
        <v>121.25650118203311</v>
      </c>
      <c r="AE212">
        <f t="shared" si="53"/>
        <v>153.91016548463358</v>
      </c>
      <c r="AF212">
        <f t="shared" si="54"/>
        <v>170.23699763593382</v>
      </c>
      <c r="AG212">
        <f t="shared" si="55"/>
        <v>186.56382978723406</v>
      </c>
      <c r="AH212">
        <f t="shared" si="56"/>
        <v>0</v>
      </c>
      <c r="AI212">
        <f t="shared" si="63"/>
        <v>-2</v>
      </c>
      <c r="AJ212">
        <f t="shared" si="57"/>
        <v>0</v>
      </c>
      <c r="AK212">
        <f t="shared" si="58"/>
        <v>0</v>
      </c>
      <c r="AL212" t="e">
        <f t="shared" si="59"/>
        <v>#N/A</v>
      </c>
      <c r="AM212">
        <f t="shared" si="60"/>
        <v>-1</v>
      </c>
      <c r="AN212">
        <f t="shared" si="61"/>
        <v>0</v>
      </c>
      <c r="AO212">
        <f>_xlfn.PERCENTILE.INC(INDEX($W$4:$W$263,MATCH(SPC!$B$13,IF(Setup!$B$11="Weekly",'SPC Backing (Hide)'!$B$4:$B$263,'SPC Backing (Hide)'!$E$4:$E$263),0),1):INDEX($W$4:$W$263,MATCH(SPC!$B$14,IF(Setup!$B$11="Weekly",'SPC Backing (Hide)'!$B$4:$B$263,'SPC Backing (Hide)'!$E$4:$E$263),0),1),'SPC Backing (Hide)'!$AO$3)</f>
        <v>136.10000000000002</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2">
        <f t="shared" si="62"/>
        <v>33.44999999999996</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137.58333333333334</v>
      </c>
      <c r="Y213" cm="1">
        <f t="array" ref="Y213">ABS(INDEX($F$4:$U$263,ROW(A210),MATCH($X$2,$F$3:$U$3,0))-INDEX($F$4:$U$263,ROW(A209),MATCH($X$2,$F$3:$U$3,0)))</f>
        <v>0</v>
      </c>
      <c r="Z213">
        <f>AVERAGE(INDEX($Y$4:$Y$263,MATCH(SPC!$B$13,IF(Setup!$B$11="Weekly",'SPC Backing (Hide)'!$B$4:$B$263,'SPC Backing (Hide)'!$E$4:$E$263),0)):INDEX($Y$4:$Y$263,MATCH(SPC!$B$14,IF(Setup!$B$11="Weekly",'SPC Backing (Hide)'!$B$4:$B$263,'SPC Backing (Hide)'!$E$4:$E$263),0),1))</f>
        <v>18.416666666666668</v>
      </c>
      <c r="AA213">
        <f t="shared" si="49"/>
        <v>16.326832151300238</v>
      </c>
      <c r="AB213">
        <f t="shared" si="50"/>
        <v>88.60283687943263</v>
      </c>
      <c r="AC213">
        <f t="shared" si="51"/>
        <v>104.92966903073287</v>
      </c>
      <c r="AD213">
        <f t="shared" si="52"/>
        <v>121.25650118203311</v>
      </c>
      <c r="AE213">
        <f t="shared" si="53"/>
        <v>153.91016548463358</v>
      </c>
      <c r="AF213">
        <f t="shared" si="54"/>
        <v>170.23699763593382</v>
      </c>
      <c r="AG213">
        <f t="shared" si="55"/>
        <v>186.56382978723406</v>
      </c>
      <c r="AH213">
        <f t="shared" si="56"/>
        <v>0</v>
      </c>
      <c r="AI213">
        <f t="shared" si="63"/>
        <v>-2</v>
      </c>
      <c r="AJ213">
        <f t="shared" si="57"/>
        <v>0</v>
      </c>
      <c r="AK213">
        <f t="shared" si="58"/>
        <v>0</v>
      </c>
      <c r="AL213" t="e">
        <f t="shared" si="59"/>
        <v>#N/A</v>
      </c>
      <c r="AM213">
        <f t="shared" si="60"/>
        <v>-1</v>
      </c>
      <c r="AN213">
        <f t="shared" si="61"/>
        <v>0</v>
      </c>
      <c r="AO213">
        <f>_xlfn.PERCENTILE.INC(INDEX($W$4:$W$263,MATCH(SPC!$B$13,IF(Setup!$B$11="Weekly",'SPC Backing (Hide)'!$B$4:$B$263,'SPC Backing (Hide)'!$E$4:$E$263),0),1):INDEX($W$4:$W$263,MATCH(SPC!$B$14,IF(Setup!$B$11="Weekly",'SPC Backing (Hide)'!$B$4:$B$263,'SPC Backing (Hide)'!$E$4:$E$263),0),1),'SPC Backing (Hide)'!$AO$3)</f>
        <v>136.10000000000002</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3">
        <f t="shared" si="62"/>
        <v>33.44999999999996</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137.58333333333334</v>
      </c>
      <c r="Y214" cm="1">
        <f t="array" ref="Y214">ABS(INDEX($F$4:$U$263,ROW(A211),MATCH($X$2,$F$3:$U$3,0))-INDEX($F$4:$U$263,ROW(A210),MATCH($X$2,$F$3:$U$3,0)))</f>
        <v>0</v>
      </c>
      <c r="Z214">
        <f>AVERAGE(INDEX($Y$4:$Y$263,MATCH(SPC!$B$13,IF(Setup!$B$11="Weekly",'SPC Backing (Hide)'!$B$4:$B$263,'SPC Backing (Hide)'!$E$4:$E$263),0)):INDEX($Y$4:$Y$263,MATCH(SPC!$B$14,IF(Setup!$B$11="Weekly",'SPC Backing (Hide)'!$B$4:$B$263,'SPC Backing (Hide)'!$E$4:$E$263),0),1))</f>
        <v>18.416666666666668</v>
      </c>
      <c r="AA214">
        <f t="shared" si="49"/>
        <v>16.326832151300238</v>
      </c>
      <c r="AB214">
        <f t="shared" si="50"/>
        <v>88.60283687943263</v>
      </c>
      <c r="AC214">
        <f t="shared" si="51"/>
        <v>104.92966903073287</v>
      </c>
      <c r="AD214">
        <f t="shared" si="52"/>
        <v>121.25650118203311</v>
      </c>
      <c r="AE214">
        <f t="shared" si="53"/>
        <v>153.91016548463358</v>
      </c>
      <c r="AF214">
        <f t="shared" si="54"/>
        <v>170.23699763593382</v>
      </c>
      <c r="AG214">
        <f t="shared" si="55"/>
        <v>186.56382978723406</v>
      </c>
      <c r="AH214">
        <f t="shared" si="56"/>
        <v>0</v>
      </c>
      <c r="AI214">
        <f t="shared" si="63"/>
        <v>-2</v>
      </c>
      <c r="AJ214">
        <f t="shared" si="57"/>
        <v>0</v>
      </c>
      <c r="AK214">
        <f t="shared" si="58"/>
        <v>0</v>
      </c>
      <c r="AL214" t="e">
        <f t="shared" si="59"/>
        <v>#N/A</v>
      </c>
      <c r="AM214">
        <f t="shared" si="60"/>
        <v>-1</v>
      </c>
      <c r="AN214">
        <f t="shared" si="61"/>
        <v>0</v>
      </c>
      <c r="AO214">
        <f>_xlfn.PERCENTILE.INC(INDEX($W$4:$W$263,MATCH(SPC!$B$13,IF(Setup!$B$11="Weekly",'SPC Backing (Hide)'!$B$4:$B$263,'SPC Backing (Hide)'!$E$4:$E$263),0),1):INDEX($W$4:$W$263,MATCH(SPC!$B$14,IF(Setup!$B$11="Weekly",'SPC Backing (Hide)'!$B$4:$B$263,'SPC Backing (Hide)'!$E$4:$E$263),0),1),'SPC Backing (Hide)'!$AO$3)</f>
        <v>136.10000000000002</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4">
        <f t="shared" si="62"/>
        <v>33.44999999999996</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137.58333333333334</v>
      </c>
      <c r="Y215" cm="1">
        <f t="array" ref="Y215">ABS(INDEX($F$4:$U$263,ROW(A212),MATCH($X$2,$F$3:$U$3,0))-INDEX($F$4:$U$263,ROW(A211),MATCH($X$2,$F$3:$U$3,0)))</f>
        <v>0</v>
      </c>
      <c r="Z215">
        <f>AVERAGE(INDEX($Y$4:$Y$263,MATCH(SPC!$B$13,IF(Setup!$B$11="Weekly",'SPC Backing (Hide)'!$B$4:$B$263,'SPC Backing (Hide)'!$E$4:$E$263),0)):INDEX($Y$4:$Y$263,MATCH(SPC!$B$14,IF(Setup!$B$11="Weekly",'SPC Backing (Hide)'!$B$4:$B$263,'SPC Backing (Hide)'!$E$4:$E$263),0),1))</f>
        <v>18.416666666666668</v>
      </c>
      <c r="AA215">
        <f t="shared" si="49"/>
        <v>16.326832151300238</v>
      </c>
      <c r="AB215">
        <f t="shared" si="50"/>
        <v>88.60283687943263</v>
      </c>
      <c r="AC215">
        <f t="shared" si="51"/>
        <v>104.92966903073287</v>
      </c>
      <c r="AD215">
        <f t="shared" si="52"/>
        <v>121.25650118203311</v>
      </c>
      <c r="AE215">
        <f t="shared" si="53"/>
        <v>153.91016548463358</v>
      </c>
      <c r="AF215">
        <f t="shared" si="54"/>
        <v>170.23699763593382</v>
      </c>
      <c r="AG215">
        <f t="shared" si="55"/>
        <v>186.56382978723406</v>
      </c>
      <c r="AH215">
        <f t="shared" si="56"/>
        <v>0</v>
      </c>
      <c r="AI215">
        <f t="shared" si="63"/>
        <v>-2</v>
      </c>
      <c r="AJ215">
        <f t="shared" si="57"/>
        <v>0</v>
      </c>
      <c r="AK215">
        <f t="shared" si="58"/>
        <v>0</v>
      </c>
      <c r="AL215" t="e">
        <f t="shared" si="59"/>
        <v>#N/A</v>
      </c>
      <c r="AM215">
        <f t="shared" si="60"/>
        <v>-1</v>
      </c>
      <c r="AN215">
        <f t="shared" si="61"/>
        <v>0</v>
      </c>
      <c r="AO215">
        <f>_xlfn.PERCENTILE.INC(INDEX($W$4:$W$263,MATCH(SPC!$B$13,IF(Setup!$B$11="Weekly",'SPC Backing (Hide)'!$B$4:$B$263,'SPC Backing (Hide)'!$E$4:$E$263),0),1):INDEX($W$4:$W$263,MATCH(SPC!$B$14,IF(Setup!$B$11="Weekly",'SPC Backing (Hide)'!$B$4:$B$263,'SPC Backing (Hide)'!$E$4:$E$263),0),1),'SPC Backing (Hide)'!$AO$3)</f>
        <v>136.10000000000002</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5">
        <f t="shared" si="62"/>
        <v>33.44999999999996</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137.58333333333334</v>
      </c>
      <c r="Y216" cm="1">
        <f t="array" ref="Y216">ABS(INDEX($F$4:$U$263,ROW(A213),MATCH($X$2,$F$3:$U$3,0))-INDEX($F$4:$U$263,ROW(A212),MATCH($X$2,$F$3:$U$3,0)))</f>
        <v>0</v>
      </c>
      <c r="Z216">
        <f>AVERAGE(INDEX($Y$4:$Y$263,MATCH(SPC!$B$13,IF(Setup!$B$11="Weekly",'SPC Backing (Hide)'!$B$4:$B$263,'SPC Backing (Hide)'!$E$4:$E$263),0)):INDEX($Y$4:$Y$263,MATCH(SPC!$B$14,IF(Setup!$B$11="Weekly",'SPC Backing (Hide)'!$B$4:$B$263,'SPC Backing (Hide)'!$E$4:$E$263),0),1))</f>
        <v>18.416666666666668</v>
      </c>
      <c r="AA216">
        <f t="shared" si="49"/>
        <v>16.326832151300238</v>
      </c>
      <c r="AB216">
        <f t="shared" si="50"/>
        <v>88.60283687943263</v>
      </c>
      <c r="AC216">
        <f t="shared" si="51"/>
        <v>104.92966903073287</v>
      </c>
      <c r="AD216">
        <f t="shared" si="52"/>
        <v>121.25650118203311</v>
      </c>
      <c r="AE216">
        <f t="shared" si="53"/>
        <v>153.91016548463358</v>
      </c>
      <c r="AF216">
        <f t="shared" si="54"/>
        <v>170.23699763593382</v>
      </c>
      <c r="AG216">
        <f t="shared" si="55"/>
        <v>186.56382978723406</v>
      </c>
      <c r="AH216">
        <f t="shared" si="56"/>
        <v>0</v>
      </c>
      <c r="AI216">
        <f t="shared" si="63"/>
        <v>-2</v>
      </c>
      <c r="AJ216">
        <f t="shared" si="57"/>
        <v>0</v>
      </c>
      <c r="AK216">
        <f t="shared" si="58"/>
        <v>0</v>
      </c>
      <c r="AL216" t="e">
        <f t="shared" si="59"/>
        <v>#N/A</v>
      </c>
      <c r="AM216">
        <f t="shared" si="60"/>
        <v>-1</v>
      </c>
      <c r="AN216">
        <f t="shared" si="61"/>
        <v>0</v>
      </c>
      <c r="AO216">
        <f>_xlfn.PERCENTILE.INC(INDEX($W$4:$W$263,MATCH(SPC!$B$13,IF(Setup!$B$11="Weekly",'SPC Backing (Hide)'!$B$4:$B$263,'SPC Backing (Hide)'!$E$4:$E$263),0),1):INDEX($W$4:$W$263,MATCH(SPC!$B$14,IF(Setup!$B$11="Weekly",'SPC Backing (Hide)'!$B$4:$B$263,'SPC Backing (Hide)'!$E$4:$E$263),0),1),'SPC Backing (Hide)'!$AO$3)</f>
        <v>136.10000000000002</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6">
        <f t="shared" si="62"/>
        <v>33.44999999999996</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137.58333333333334</v>
      </c>
      <c r="Y217" cm="1">
        <f t="array" ref="Y217">ABS(INDEX($F$4:$U$263,ROW(A214),MATCH($X$2,$F$3:$U$3,0))-INDEX($F$4:$U$263,ROW(A213),MATCH($X$2,$F$3:$U$3,0)))</f>
        <v>0</v>
      </c>
      <c r="Z217">
        <f>AVERAGE(INDEX($Y$4:$Y$263,MATCH(SPC!$B$13,IF(Setup!$B$11="Weekly",'SPC Backing (Hide)'!$B$4:$B$263,'SPC Backing (Hide)'!$E$4:$E$263),0)):INDEX($Y$4:$Y$263,MATCH(SPC!$B$14,IF(Setup!$B$11="Weekly",'SPC Backing (Hide)'!$B$4:$B$263,'SPC Backing (Hide)'!$E$4:$E$263),0),1))</f>
        <v>18.416666666666668</v>
      </c>
      <c r="AA217">
        <f t="shared" si="49"/>
        <v>16.326832151300238</v>
      </c>
      <c r="AB217">
        <f t="shared" si="50"/>
        <v>88.60283687943263</v>
      </c>
      <c r="AC217">
        <f t="shared" si="51"/>
        <v>104.92966903073287</v>
      </c>
      <c r="AD217">
        <f t="shared" si="52"/>
        <v>121.25650118203311</v>
      </c>
      <c r="AE217">
        <f t="shared" si="53"/>
        <v>153.91016548463358</v>
      </c>
      <c r="AF217">
        <f t="shared" si="54"/>
        <v>170.23699763593382</v>
      </c>
      <c r="AG217">
        <f t="shared" si="55"/>
        <v>186.56382978723406</v>
      </c>
      <c r="AH217">
        <f t="shared" si="56"/>
        <v>0</v>
      </c>
      <c r="AI217">
        <f t="shared" si="63"/>
        <v>-2</v>
      </c>
      <c r="AJ217">
        <f t="shared" si="57"/>
        <v>0</v>
      </c>
      <c r="AK217">
        <f t="shared" si="58"/>
        <v>0</v>
      </c>
      <c r="AL217" t="e">
        <f t="shared" si="59"/>
        <v>#N/A</v>
      </c>
      <c r="AM217">
        <f t="shared" si="60"/>
        <v>-1</v>
      </c>
      <c r="AN217">
        <f t="shared" si="61"/>
        <v>0</v>
      </c>
      <c r="AO217">
        <f>_xlfn.PERCENTILE.INC(INDEX($W$4:$W$263,MATCH(SPC!$B$13,IF(Setup!$B$11="Weekly",'SPC Backing (Hide)'!$B$4:$B$263,'SPC Backing (Hide)'!$E$4:$E$263),0),1):INDEX($W$4:$W$263,MATCH(SPC!$B$14,IF(Setup!$B$11="Weekly",'SPC Backing (Hide)'!$B$4:$B$263,'SPC Backing (Hide)'!$E$4:$E$263),0),1),'SPC Backing (Hide)'!$AO$3)</f>
        <v>136.10000000000002</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7">
        <f t="shared" si="62"/>
        <v>33.44999999999996</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137.58333333333334</v>
      </c>
      <c r="Y218" cm="1">
        <f t="array" ref="Y218">ABS(INDEX($F$4:$U$263,ROW(A215),MATCH($X$2,$F$3:$U$3,0))-INDEX($F$4:$U$263,ROW(A214),MATCH($X$2,$F$3:$U$3,0)))</f>
        <v>0</v>
      </c>
      <c r="Z218">
        <f>AVERAGE(INDEX($Y$4:$Y$263,MATCH(SPC!$B$13,IF(Setup!$B$11="Weekly",'SPC Backing (Hide)'!$B$4:$B$263,'SPC Backing (Hide)'!$E$4:$E$263),0)):INDEX($Y$4:$Y$263,MATCH(SPC!$B$14,IF(Setup!$B$11="Weekly",'SPC Backing (Hide)'!$B$4:$B$263,'SPC Backing (Hide)'!$E$4:$E$263),0),1))</f>
        <v>18.416666666666668</v>
      </c>
      <c r="AA218">
        <f t="shared" si="49"/>
        <v>16.326832151300238</v>
      </c>
      <c r="AB218">
        <f t="shared" si="50"/>
        <v>88.60283687943263</v>
      </c>
      <c r="AC218">
        <f t="shared" si="51"/>
        <v>104.92966903073287</v>
      </c>
      <c r="AD218">
        <f t="shared" si="52"/>
        <v>121.25650118203311</v>
      </c>
      <c r="AE218">
        <f t="shared" si="53"/>
        <v>153.91016548463358</v>
      </c>
      <c r="AF218">
        <f t="shared" si="54"/>
        <v>170.23699763593382</v>
      </c>
      <c r="AG218">
        <f t="shared" si="55"/>
        <v>186.56382978723406</v>
      </c>
      <c r="AH218">
        <f t="shared" si="56"/>
        <v>0</v>
      </c>
      <c r="AI218">
        <f t="shared" si="63"/>
        <v>-2</v>
      </c>
      <c r="AJ218">
        <f t="shared" si="57"/>
        <v>0</v>
      </c>
      <c r="AK218">
        <f t="shared" si="58"/>
        <v>0</v>
      </c>
      <c r="AL218" t="e">
        <f t="shared" si="59"/>
        <v>#N/A</v>
      </c>
      <c r="AM218">
        <f t="shared" si="60"/>
        <v>-1</v>
      </c>
      <c r="AN218">
        <f t="shared" si="61"/>
        <v>0</v>
      </c>
      <c r="AO218">
        <f>_xlfn.PERCENTILE.INC(INDEX($W$4:$W$263,MATCH(SPC!$B$13,IF(Setup!$B$11="Weekly",'SPC Backing (Hide)'!$B$4:$B$263,'SPC Backing (Hide)'!$E$4:$E$263),0),1):INDEX($W$4:$W$263,MATCH(SPC!$B$14,IF(Setup!$B$11="Weekly",'SPC Backing (Hide)'!$B$4:$B$263,'SPC Backing (Hide)'!$E$4:$E$263),0),1),'SPC Backing (Hide)'!$AO$3)</f>
        <v>136.10000000000002</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8">
        <f t="shared" si="62"/>
        <v>33.44999999999996</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137.58333333333334</v>
      </c>
      <c r="Y219" cm="1">
        <f t="array" ref="Y219">ABS(INDEX($F$4:$U$263,ROW(A216),MATCH($X$2,$F$3:$U$3,0))-INDEX($F$4:$U$263,ROW(A215),MATCH($X$2,$F$3:$U$3,0)))</f>
        <v>0</v>
      </c>
      <c r="Z219">
        <f>AVERAGE(INDEX($Y$4:$Y$263,MATCH(SPC!$B$13,IF(Setup!$B$11="Weekly",'SPC Backing (Hide)'!$B$4:$B$263,'SPC Backing (Hide)'!$E$4:$E$263),0)):INDEX($Y$4:$Y$263,MATCH(SPC!$B$14,IF(Setup!$B$11="Weekly",'SPC Backing (Hide)'!$B$4:$B$263,'SPC Backing (Hide)'!$E$4:$E$263),0),1))</f>
        <v>18.416666666666668</v>
      </c>
      <c r="AA219">
        <f t="shared" si="49"/>
        <v>16.326832151300238</v>
      </c>
      <c r="AB219">
        <f t="shared" si="50"/>
        <v>88.60283687943263</v>
      </c>
      <c r="AC219">
        <f t="shared" si="51"/>
        <v>104.92966903073287</v>
      </c>
      <c r="AD219">
        <f t="shared" si="52"/>
        <v>121.25650118203311</v>
      </c>
      <c r="AE219">
        <f t="shared" si="53"/>
        <v>153.91016548463358</v>
      </c>
      <c r="AF219">
        <f t="shared" si="54"/>
        <v>170.23699763593382</v>
      </c>
      <c r="AG219">
        <f t="shared" si="55"/>
        <v>186.56382978723406</v>
      </c>
      <c r="AH219">
        <f t="shared" si="56"/>
        <v>0</v>
      </c>
      <c r="AI219">
        <f t="shared" si="63"/>
        <v>-2</v>
      </c>
      <c r="AJ219">
        <f t="shared" si="57"/>
        <v>0</v>
      </c>
      <c r="AK219">
        <f t="shared" si="58"/>
        <v>0</v>
      </c>
      <c r="AL219" t="e">
        <f t="shared" si="59"/>
        <v>#N/A</v>
      </c>
      <c r="AM219">
        <f t="shared" si="60"/>
        <v>-1</v>
      </c>
      <c r="AN219">
        <f t="shared" si="61"/>
        <v>0</v>
      </c>
      <c r="AO219">
        <f>_xlfn.PERCENTILE.INC(INDEX($W$4:$W$263,MATCH(SPC!$B$13,IF(Setup!$B$11="Weekly",'SPC Backing (Hide)'!$B$4:$B$263,'SPC Backing (Hide)'!$E$4:$E$263),0),1):INDEX($W$4:$W$263,MATCH(SPC!$B$14,IF(Setup!$B$11="Weekly",'SPC Backing (Hide)'!$B$4:$B$263,'SPC Backing (Hide)'!$E$4:$E$263),0),1),'SPC Backing (Hide)'!$AO$3)</f>
        <v>136.10000000000002</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19">
        <f t="shared" si="62"/>
        <v>33.44999999999996</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137.58333333333334</v>
      </c>
      <c r="Y220" cm="1">
        <f t="array" ref="Y220">ABS(INDEX($F$4:$U$263,ROW(A217),MATCH($X$2,$F$3:$U$3,0))-INDEX($F$4:$U$263,ROW(A216),MATCH($X$2,$F$3:$U$3,0)))</f>
        <v>0</v>
      </c>
      <c r="Z220">
        <f>AVERAGE(INDEX($Y$4:$Y$263,MATCH(SPC!$B$13,IF(Setup!$B$11="Weekly",'SPC Backing (Hide)'!$B$4:$B$263,'SPC Backing (Hide)'!$E$4:$E$263),0)):INDEX($Y$4:$Y$263,MATCH(SPC!$B$14,IF(Setup!$B$11="Weekly",'SPC Backing (Hide)'!$B$4:$B$263,'SPC Backing (Hide)'!$E$4:$E$263),0),1))</f>
        <v>18.416666666666668</v>
      </c>
      <c r="AA220">
        <f t="shared" si="49"/>
        <v>16.326832151300238</v>
      </c>
      <c r="AB220">
        <f t="shared" si="50"/>
        <v>88.60283687943263</v>
      </c>
      <c r="AC220">
        <f t="shared" si="51"/>
        <v>104.92966903073287</v>
      </c>
      <c r="AD220">
        <f t="shared" si="52"/>
        <v>121.25650118203311</v>
      </c>
      <c r="AE220">
        <f t="shared" si="53"/>
        <v>153.91016548463358</v>
      </c>
      <c r="AF220">
        <f t="shared" si="54"/>
        <v>170.23699763593382</v>
      </c>
      <c r="AG220">
        <f t="shared" si="55"/>
        <v>186.56382978723406</v>
      </c>
      <c r="AH220">
        <f t="shared" si="56"/>
        <v>0</v>
      </c>
      <c r="AI220">
        <f t="shared" si="63"/>
        <v>-2</v>
      </c>
      <c r="AJ220">
        <f t="shared" si="57"/>
        <v>0</v>
      </c>
      <c r="AK220">
        <f t="shared" si="58"/>
        <v>0</v>
      </c>
      <c r="AL220" t="e">
        <f t="shared" si="59"/>
        <v>#N/A</v>
      </c>
      <c r="AM220">
        <f t="shared" si="60"/>
        <v>-1</v>
      </c>
      <c r="AN220">
        <f t="shared" si="61"/>
        <v>0</v>
      </c>
      <c r="AO220">
        <f>_xlfn.PERCENTILE.INC(INDEX($W$4:$W$263,MATCH(SPC!$B$13,IF(Setup!$B$11="Weekly",'SPC Backing (Hide)'!$B$4:$B$263,'SPC Backing (Hide)'!$E$4:$E$263),0),1):INDEX($W$4:$W$263,MATCH(SPC!$B$14,IF(Setup!$B$11="Weekly",'SPC Backing (Hide)'!$B$4:$B$263,'SPC Backing (Hide)'!$E$4:$E$263),0),1),'SPC Backing (Hide)'!$AO$3)</f>
        <v>136.10000000000002</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0">
        <f t="shared" si="62"/>
        <v>33.44999999999996</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137.58333333333334</v>
      </c>
      <c r="Y221" cm="1">
        <f t="array" ref="Y221">ABS(INDEX($F$4:$U$263,ROW(A218),MATCH($X$2,$F$3:$U$3,0))-INDEX($F$4:$U$263,ROW(A217),MATCH($X$2,$F$3:$U$3,0)))</f>
        <v>0</v>
      </c>
      <c r="Z221">
        <f>AVERAGE(INDEX($Y$4:$Y$263,MATCH(SPC!$B$13,IF(Setup!$B$11="Weekly",'SPC Backing (Hide)'!$B$4:$B$263,'SPC Backing (Hide)'!$E$4:$E$263),0)):INDEX($Y$4:$Y$263,MATCH(SPC!$B$14,IF(Setup!$B$11="Weekly",'SPC Backing (Hide)'!$B$4:$B$263,'SPC Backing (Hide)'!$E$4:$E$263),0),1))</f>
        <v>18.416666666666668</v>
      </c>
      <c r="AA221">
        <f t="shared" si="49"/>
        <v>16.326832151300238</v>
      </c>
      <c r="AB221">
        <f t="shared" si="50"/>
        <v>88.60283687943263</v>
      </c>
      <c r="AC221">
        <f t="shared" si="51"/>
        <v>104.92966903073287</v>
      </c>
      <c r="AD221">
        <f t="shared" si="52"/>
        <v>121.25650118203311</v>
      </c>
      <c r="AE221">
        <f t="shared" si="53"/>
        <v>153.91016548463358</v>
      </c>
      <c r="AF221">
        <f t="shared" si="54"/>
        <v>170.23699763593382</v>
      </c>
      <c r="AG221">
        <f t="shared" si="55"/>
        <v>186.56382978723406</v>
      </c>
      <c r="AH221">
        <f t="shared" si="56"/>
        <v>0</v>
      </c>
      <c r="AI221">
        <f t="shared" si="63"/>
        <v>-2</v>
      </c>
      <c r="AJ221">
        <f t="shared" si="57"/>
        <v>0</v>
      </c>
      <c r="AK221">
        <f t="shared" si="58"/>
        <v>0</v>
      </c>
      <c r="AL221" t="e">
        <f t="shared" si="59"/>
        <v>#N/A</v>
      </c>
      <c r="AM221">
        <f t="shared" si="60"/>
        <v>-1</v>
      </c>
      <c r="AN221">
        <f t="shared" si="61"/>
        <v>0</v>
      </c>
      <c r="AO221">
        <f>_xlfn.PERCENTILE.INC(INDEX($W$4:$W$263,MATCH(SPC!$B$13,IF(Setup!$B$11="Weekly",'SPC Backing (Hide)'!$B$4:$B$263,'SPC Backing (Hide)'!$E$4:$E$263),0),1):INDEX($W$4:$W$263,MATCH(SPC!$B$14,IF(Setup!$B$11="Weekly",'SPC Backing (Hide)'!$B$4:$B$263,'SPC Backing (Hide)'!$E$4:$E$263),0),1),'SPC Backing (Hide)'!$AO$3)</f>
        <v>136.10000000000002</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1">
        <f t="shared" si="62"/>
        <v>33.44999999999996</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137.58333333333334</v>
      </c>
      <c r="Y222" cm="1">
        <f t="array" ref="Y222">ABS(INDEX($F$4:$U$263,ROW(A219),MATCH($X$2,$F$3:$U$3,0))-INDEX($F$4:$U$263,ROW(A218),MATCH($X$2,$F$3:$U$3,0)))</f>
        <v>0</v>
      </c>
      <c r="Z222">
        <f>AVERAGE(INDEX($Y$4:$Y$263,MATCH(SPC!$B$13,IF(Setup!$B$11="Weekly",'SPC Backing (Hide)'!$B$4:$B$263,'SPC Backing (Hide)'!$E$4:$E$263),0)):INDEX($Y$4:$Y$263,MATCH(SPC!$B$14,IF(Setup!$B$11="Weekly",'SPC Backing (Hide)'!$B$4:$B$263,'SPC Backing (Hide)'!$E$4:$E$263),0),1))</f>
        <v>18.416666666666668</v>
      </c>
      <c r="AA222">
        <f t="shared" si="49"/>
        <v>16.326832151300238</v>
      </c>
      <c r="AB222">
        <f t="shared" si="50"/>
        <v>88.60283687943263</v>
      </c>
      <c r="AC222">
        <f t="shared" si="51"/>
        <v>104.92966903073287</v>
      </c>
      <c r="AD222">
        <f t="shared" si="52"/>
        <v>121.25650118203311</v>
      </c>
      <c r="AE222">
        <f t="shared" si="53"/>
        <v>153.91016548463358</v>
      </c>
      <c r="AF222">
        <f t="shared" si="54"/>
        <v>170.23699763593382</v>
      </c>
      <c r="AG222">
        <f t="shared" si="55"/>
        <v>186.56382978723406</v>
      </c>
      <c r="AH222">
        <f t="shared" si="56"/>
        <v>0</v>
      </c>
      <c r="AI222">
        <f t="shared" si="63"/>
        <v>-2</v>
      </c>
      <c r="AJ222">
        <f t="shared" si="57"/>
        <v>0</v>
      </c>
      <c r="AK222">
        <f t="shared" si="58"/>
        <v>0</v>
      </c>
      <c r="AL222" t="e">
        <f t="shared" si="59"/>
        <v>#N/A</v>
      </c>
      <c r="AM222">
        <f t="shared" si="60"/>
        <v>-1</v>
      </c>
      <c r="AN222">
        <f t="shared" si="61"/>
        <v>0</v>
      </c>
      <c r="AO222">
        <f>_xlfn.PERCENTILE.INC(INDEX($W$4:$W$263,MATCH(SPC!$B$13,IF(Setup!$B$11="Weekly",'SPC Backing (Hide)'!$B$4:$B$263,'SPC Backing (Hide)'!$E$4:$E$263),0),1):INDEX($W$4:$W$263,MATCH(SPC!$B$14,IF(Setup!$B$11="Weekly",'SPC Backing (Hide)'!$B$4:$B$263,'SPC Backing (Hide)'!$E$4:$E$263),0),1),'SPC Backing (Hide)'!$AO$3)</f>
        <v>136.10000000000002</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2">
        <f t="shared" si="62"/>
        <v>33.44999999999996</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137.58333333333334</v>
      </c>
      <c r="Y223" cm="1">
        <f t="array" ref="Y223">ABS(INDEX($F$4:$U$263,ROW(A220),MATCH($X$2,$F$3:$U$3,0))-INDEX($F$4:$U$263,ROW(A219),MATCH($X$2,$F$3:$U$3,0)))</f>
        <v>0</v>
      </c>
      <c r="Z223">
        <f>AVERAGE(INDEX($Y$4:$Y$263,MATCH(SPC!$B$13,IF(Setup!$B$11="Weekly",'SPC Backing (Hide)'!$B$4:$B$263,'SPC Backing (Hide)'!$E$4:$E$263),0)):INDEX($Y$4:$Y$263,MATCH(SPC!$B$14,IF(Setup!$B$11="Weekly",'SPC Backing (Hide)'!$B$4:$B$263,'SPC Backing (Hide)'!$E$4:$E$263),0),1))</f>
        <v>18.416666666666668</v>
      </c>
      <c r="AA223">
        <f t="shared" si="49"/>
        <v>16.326832151300238</v>
      </c>
      <c r="AB223">
        <f t="shared" si="50"/>
        <v>88.60283687943263</v>
      </c>
      <c r="AC223">
        <f t="shared" si="51"/>
        <v>104.92966903073287</v>
      </c>
      <c r="AD223">
        <f t="shared" si="52"/>
        <v>121.25650118203311</v>
      </c>
      <c r="AE223">
        <f t="shared" si="53"/>
        <v>153.91016548463358</v>
      </c>
      <c r="AF223">
        <f t="shared" si="54"/>
        <v>170.23699763593382</v>
      </c>
      <c r="AG223">
        <f t="shared" si="55"/>
        <v>186.56382978723406</v>
      </c>
      <c r="AH223">
        <f t="shared" si="56"/>
        <v>0</v>
      </c>
      <c r="AI223">
        <f t="shared" si="63"/>
        <v>-2</v>
      </c>
      <c r="AJ223">
        <f t="shared" si="57"/>
        <v>0</v>
      </c>
      <c r="AK223">
        <f t="shared" si="58"/>
        <v>0</v>
      </c>
      <c r="AL223" t="e">
        <f t="shared" si="59"/>
        <v>#N/A</v>
      </c>
      <c r="AM223">
        <f t="shared" si="60"/>
        <v>-1</v>
      </c>
      <c r="AN223">
        <f t="shared" si="61"/>
        <v>0</v>
      </c>
      <c r="AO223">
        <f>_xlfn.PERCENTILE.INC(INDEX($W$4:$W$263,MATCH(SPC!$B$13,IF(Setup!$B$11="Weekly",'SPC Backing (Hide)'!$B$4:$B$263,'SPC Backing (Hide)'!$E$4:$E$263),0),1):INDEX($W$4:$W$263,MATCH(SPC!$B$14,IF(Setup!$B$11="Weekly",'SPC Backing (Hide)'!$B$4:$B$263,'SPC Backing (Hide)'!$E$4:$E$263),0),1),'SPC Backing (Hide)'!$AO$3)</f>
        <v>136.10000000000002</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3">
        <f t="shared" si="62"/>
        <v>33.44999999999996</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137.58333333333334</v>
      </c>
      <c r="Y224" cm="1">
        <f t="array" ref="Y224">ABS(INDEX($F$4:$U$263,ROW(A221),MATCH($X$2,$F$3:$U$3,0))-INDEX($F$4:$U$263,ROW(A220),MATCH($X$2,$F$3:$U$3,0)))</f>
        <v>0</v>
      </c>
      <c r="Z224">
        <f>AVERAGE(INDEX($Y$4:$Y$263,MATCH(SPC!$B$13,IF(Setup!$B$11="Weekly",'SPC Backing (Hide)'!$B$4:$B$263,'SPC Backing (Hide)'!$E$4:$E$263),0)):INDEX($Y$4:$Y$263,MATCH(SPC!$B$14,IF(Setup!$B$11="Weekly",'SPC Backing (Hide)'!$B$4:$B$263,'SPC Backing (Hide)'!$E$4:$E$263),0),1))</f>
        <v>18.416666666666668</v>
      </c>
      <c r="AA224">
        <f t="shared" si="49"/>
        <v>16.326832151300238</v>
      </c>
      <c r="AB224">
        <f t="shared" si="50"/>
        <v>88.60283687943263</v>
      </c>
      <c r="AC224">
        <f t="shared" si="51"/>
        <v>104.92966903073287</v>
      </c>
      <c r="AD224">
        <f t="shared" si="52"/>
        <v>121.25650118203311</v>
      </c>
      <c r="AE224">
        <f t="shared" si="53"/>
        <v>153.91016548463358</v>
      </c>
      <c r="AF224">
        <f t="shared" si="54"/>
        <v>170.23699763593382</v>
      </c>
      <c r="AG224">
        <f t="shared" si="55"/>
        <v>186.56382978723406</v>
      </c>
      <c r="AH224">
        <f t="shared" si="56"/>
        <v>0</v>
      </c>
      <c r="AI224">
        <f t="shared" si="63"/>
        <v>-2</v>
      </c>
      <c r="AJ224">
        <f t="shared" si="57"/>
        <v>0</v>
      </c>
      <c r="AK224">
        <f t="shared" si="58"/>
        <v>0</v>
      </c>
      <c r="AL224" t="e">
        <f t="shared" si="59"/>
        <v>#N/A</v>
      </c>
      <c r="AM224">
        <f t="shared" si="60"/>
        <v>-1</v>
      </c>
      <c r="AN224">
        <f t="shared" si="61"/>
        <v>0</v>
      </c>
      <c r="AO224">
        <f>_xlfn.PERCENTILE.INC(INDEX($W$4:$W$263,MATCH(SPC!$B$13,IF(Setup!$B$11="Weekly",'SPC Backing (Hide)'!$B$4:$B$263,'SPC Backing (Hide)'!$E$4:$E$263),0),1):INDEX($W$4:$W$263,MATCH(SPC!$B$14,IF(Setup!$B$11="Weekly",'SPC Backing (Hide)'!$B$4:$B$263,'SPC Backing (Hide)'!$E$4:$E$263),0),1),'SPC Backing (Hide)'!$AO$3)</f>
        <v>136.10000000000002</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4">
        <f t="shared" si="62"/>
        <v>33.44999999999996</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137.58333333333334</v>
      </c>
      <c r="Y225" cm="1">
        <f t="array" ref="Y225">ABS(INDEX($F$4:$U$263,ROW(A222),MATCH($X$2,$F$3:$U$3,0))-INDEX($F$4:$U$263,ROW(A221),MATCH($X$2,$F$3:$U$3,0)))</f>
        <v>0</v>
      </c>
      <c r="Z225">
        <f>AVERAGE(INDEX($Y$4:$Y$263,MATCH(SPC!$B$13,IF(Setup!$B$11="Weekly",'SPC Backing (Hide)'!$B$4:$B$263,'SPC Backing (Hide)'!$E$4:$E$263),0)):INDEX($Y$4:$Y$263,MATCH(SPC!$B$14,IF(Setup!$B$11="Weekly",'SPC Backing (Hide)'!$B$4:$B$263,'SPC Backing (Hide)'!$E$4:$E$263),0),1))</f>
        <v>18.416666666666668</v>
      </c>
      <c r="AA225">
        <f t="shared" si="49"/>
        <v>16.326832151300238</v>
      </c>
      <c r="AB225">
        <f t="shared" si="50"/>
        <v>88.60283687943263</v>
      </c>
      <c r="AC225">
        <f t="shared" si="51"/>
        <v>104.92966903073287</v>
      </c>
      <c r="AD225">
        <f t="shared" si="52"/>
        <v>121.25650118203311</v>
      </c>
      <c r="AE225">
        <f t="shared" si="53"/>
        <v>153.91016548463358</v>
      </c>
      <c r="AF225">
        <f t="shared" si="54"/>
        <v>170.23699763593382</v>
      </c>
      <c r="AG225">
        <f t="shared" si="55"/>
        <v>186.56382978723406</v>
      </c>
      <c r="AH225">
        <f t="shared" si="56"/>
        <v>0</v>
      </c>
      <c r="AI225">
        <f t="shared" si="63"/>
        <v>-2</v>
      </c>
      <c r="AJ225">
        <f t="shared" si="57"/>
        <v>0</v>
      </c>
      <c r="AK225">
        <f t="shared" si="58"/>
        <v>0</v>
      </c>
      <c r="AL225" t="e">
        <f t="shared" si="59"/>
        <v>#N/A</v>
      </c>
      <c r="AM225">
        <f t="shared" si="60"/>
        <v>-1</v>
      </c>
      <c r="AN225">
        <f t="shared" si="61"/>
        <v>0</v>
      </c>
      <c r="AO225">
        <f>_xlfn.PERCENTILE.INC(INDEX($W$4:$W$263,MATCH(SPC!$B$13,IF(Setup!$B$11="Weekly",'SPC Backing (Hide)'!$B$4:$B$263,'SPC Backing (Hide)'!$E$4:$E$263),0),1):INDEX($W$4:$W$263,MATCH(SPC!$B$14,IF(Setup!$B$11="Weekly",'SPC Backing (Hide)'!$B$4:$B$263,'SPC Backing (Hide)'!$E$4:$E$263),0),1),'SPC Backing (Hide)'!$AO$3)</f>
        <v>136.10000000000002</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5">
        <f t="shared" si="62"/>
        <v>33.44999999999996</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137.58333333333334</v>
      </c>
      <c r="Y226" cm="1">
        <f t="array" ref="Y226">ABS(INDEX($F$4:$U$263,ROW(A223),MATCH($X$2,$F$3:$U$3,0))-INDEX($F$4:$U$263,ROW(A222),MATCH($X$2,$F$3:$U$3,0)))</f>
        <v>0</v>
      </c>
      <c r="Z226">
        <f>AVERAGE(INDEX($Y$4:$Y$263,MATCH(SPC!$B$13,IF(Setup!$B$11="Weekly",'SPC Backing (Hide)'!$B$4:$B$263,'SPC Backing (Hide)'!$E$4:$E$263),0)):INDEX($Y$4:$Y$263,MATCH(SPC!$B$14,IF(Setup!$B$11="Weekly",'SPC Backing (Hide)'!$B$4:$B$263,'SPC Backing (Hide)'!$E$4:$E$263),0),1))</f>
        <v>18.416666666666668</v>
      </c>
      <c r="AA226">
        <f t="shared" si="49"/>
        <v>16.326832151300238</v>
      </c>
      <c r="AB226">
        <f t="shared" si="50"/>
        <v>88.60283687943263</v>
      </c>
      <c r="AC226">
        <f t="shared" si="51"/>
        <v>104.92966903073287</v>
      </c>
      <c r="AD226">
        <f t="shared" si="52"/>
        <v>121.25650118203311</v>
      </c>
      <c r="AE226">
        <f t="shared" si="53"/>
        <v>153.91016548463358</v>
      </c>
      <c r="AF226">
        <f t="shared" si="54"/>
        <v>170.23699763593382</v>
      </c>
      <c r="AG226">
        <f t="shared" si="55"/>
        <v>186.56382978723406</v>
      </c>
      <c r="AH226">
        <f t="shared" si="56"/>
        <v>0</v>
      </c>
      <c r="AI226">
        <f t="shared" si="63"/>
        <v>-2</v>
      </c>
      <c r="AJ226">
        <f t="shared" si="57"/>
        <v>0</v>
      </c>
      <c r="AK226">
        <f t="shared" si="58"/>
        <v>0</v>
      </c>
      <c r="AL226" t="e">
        <f t="shared" si="59"/>
        <v>#N/A</v>
      </c>
      <c r="AM226">
        <f t="shared" si="60"/>
        <v>-1</v>
      </c>
      <c r="AN226">
        <f t="shared" si="61"/>
        <v>0</v>
      </c>
      <c r="AO226">
        <f>_xlfn.PERCENTILE.INC(INDEX($W$4:$W$263,MATCH(SPC!$B$13,IF(Setup!$B$11="Weekly",'SPC Backing (Hide)'!$B$4:$B$263,'SPC Backing (Hide)'!$E$4:$E$263),0),1):INDEX($W$4:$W$263,MATCH(SPC!$B$14,IF(Setup!$B$11="Weekly",'SPC Backing (Hide)'!$B$4:$B$263,'SPC Backing (Hide)'!$E$4:$E$263),0),1),'SPC Backing (Hide)'!$AO$3)</f>
        <v>136.10000000000002</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6">
        <f t="shared" si="62"/>
        <v>33.44999999999996</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137.58333333333334</v>
      </c>
      <c r="Y227" cm="1">
        <f t="array" ref="Y227">ABS(INDEX($F$4:$U$263,ROW(A224),MATCH($X$2,$F$3:$U$3,0))-INDEX($F$4:$U$263,ROW(A223),MATCH($X$2,$F$3:$U$3,0)))</f>
        <v>0</v>
      </c>
      <c r="Z227">
        <f>AVERAGE(INDEX($Y$4:$Y$263,MATCH(SPC!$B$13,IF(Setup!$B$11="Weekly",'SPC Backing (Hide)'!$B$4:$B$263,'SPC Backing (Hide)'!$E$4:$E$263),0)):INDEX($Y$4:$Y$263,MATCH(SPC!$B$14,IF(Setup!$B$11="Weekly",'SPC Backing (Hide)'!$B$4:$B$263,'SPC Backing (Hide)'!$E$4:$E$263),0),1))</f>
        <v>18.416666666666668</v>
      </c>
      <c r="AA227">
        <f t="shared" si="49"/>
        <v>16.326832151300238</v>
      </c>
      <c r="AB227">
        <f t="shared" si="50"/>
        <v>88.60283687943263</v>
      </c>
      <c r="AC227">
        <f t="shared" si="51"/>
        <v>104.92966903073287</v>
      </c>
      <c r="AD227">
        <f t="shared" si="52"/>
        <v>121.25650118203311</v>
      </c>
      <c r="AE227">
        <f t="shared" si="53"/>
        <v>153.91016548463358</v>
      </c>
      <c r="AF227">
        <f t="shared" si="54"/>
        <v>170.23699763593382</v>
      </c>
      <c r="AG227">
        <f t="shared" si="55"/>
        <v>186.56382978723406</v>
      </c>
      <c r="AH227">
        <f t="shared" si="56"/>
        <v>0</v>
      </c>
      <c r="AI227">
        <f t="shared" si="63"/>
        <v>-2</v>
      </c>
      <c r="AJ227">
        <f t="shared" si="57"/>
        <v>0</v>
      </c>
      <c r="AK227">
        <f t="shared" si="58"/>
        <v>0</v>
      </c>
      <c r="AL227" t="e">
        <f t="shared" si="59"/>
        <v>#N/A</v>
      </c>
      <c r="AM227">
        <f t="shared" si="60"/>
        <v>-1</v>
      </c>
      <c r="AN227">
        <f t="shared" si="61"/>
        <v>0</v>
      </c>
      <c r="AO227">
        <f>_xlfn.PERCENTILE.INC(INDEX($W$4:$W$263,MATCH(SPC!$B$13,IF(Setup!$B$11="Weekly",'SPC Backing (Hide)'!$B$4:$B$263,'SPC Backing (Hide)'!$E$4:$E$263),0),1):INDEX($W$4:$W$263,MATCH(SPC!$B$14,IF(Setup!$B$11="Weekly",'SPC Backing (Hide)'!$B$4:$B$263,'SPC Backing (Hide)'!$E$4:$E$263),0),1),'SPC Backing (Hide)'!$AO$3)</f>
        <v>136.10000000000002</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7">
        <f t="shared" si="62"/>
        <v>33.44999999999996</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137.58333333333334</v>
      </c>
      <c r="Y228" cm="1">
        <f t="array" ref="Y228">ABS(INDEX($F$4:$U$263,ROW(A225),MATCH($X$2,$F$3:$U$3,0))-INDEX($F$4:$U$263,ROW(A224),MATCH($X$2,$F$3:$U$3,0)))</f>
        <v>0</v>
      </c>
      <c r="Z228">
        <f>AVERAGE(INDEX($Y$4:$Y$263,MATCH(SPC!$B$13,IF(Setup!$B$11="Weekly",'SPC Backing (Hide)'!$B$4:$B$263,'SPC Backing (Hide)'!$E$4:$E$263),0)):INDEX($Y$4:$Y$263,MATCH(SPC!$B$14,IF(Setup!$B$11="Weekly",'SPC Backing (Hide)'!$B$4:$B$263,'SPC Backing (Hide)'!$E$4:$E$263),0),1))</f>
        <v>18.416666666666668</v>
      </c>
      <c r="AA228">
        <f t="shared" si="49"/>
        <v>16.326832151300238</v>
      </c>
      <c r="AB228">
        <f t="shared" si="50"/>
        <v>88.60283687943263</v>
      </c>
      <c r="AC228">
        <f t="shared" si="51"/>
        <v>104.92966903073287</v>
      </c>
      <c r="AD228">
        <f t="shared" si="52"/>
        <v>121.25650118203311</v>
      </c>
      <c r="AE228">
        <f t="shared" si="53"/>
        <v>153.91016548463358</v>
      </c>
      <c r="AF228">
        <f t="shared" si="54"/>
        <v>170.23699763593382</v>
      </c>
      <c r="AG228">
        <f t="shared" si="55"/>
        <v>186.56382978723406</v>
      </c>
      <c r="AH228">
        <f t="shared" si="56"/>
        <v>0</v>
      </c>
      <c r="AI228">
        <f t="shared" si="63"/>
        <v>-2</v>
      </c>
      <c r="AJ228">
        <f t="shared" si="57"/>
        <v>0</v>
      </c>
      <c r="AK228">
        <f t="shared" si="58"/>
        <v>0</v>
      </c>
      <c r="AL228" t="e">
        <f t="shared" si="59"/>
        <v>#N/A</v>
      </c>
      <c r="AM228">
        <f t="shared" si="60"/>
        <v>-1</v>
      </c>
      <c r="AN228">
        <f t="shared" si="61"/>
        <v>0</v>
      </c>
      <c r="AO228">
        <f>_xlfn.PERCENTILE.INC(INDEX($W$4:$W$263,MATCH(SPC!$B$13,IF(Setup!$B$11="Weekly",'SPC Backing (Hide)'!$B$4:$B$263,'SPC Backing (Hide)'!$E$4:$E$263),0),1):INDEX($W$4:$W$263,MATCH(SPC!$B$14,IF(Setup!$B$11="Weekly",'SPC Backing (Hide)'!$B$4:$B$263,'SPC Backing (Hide)'!$E$4:$E$263),0),1),'SPC Backing (Hide)'!$AO$3)</f>
        <v>136.10000000000002</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8">
        <f t="shared" si="62"/>
        <v>33.44999999999996</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137.58333333333334</v>
      </c>
      <c r="Y229" cm="1">
        <f t="array" ref="Y229">ABS(INDEX($F$4:$U$263,ROW(A226),MATCH($X$2,$F$3:$U$3,0))-INDEX($F$4:$U$263,ROW(A225),MATCH($X$2,$F$3:$U$3,0)))</f>
        <v>0</v>
      </c>
      <c r="Z229">
        <f>AVERAGE(INDEX($Y$4:$Y$263,MATCH(SPC!$B$13,IF(Setup!$B$11="Weekly",'SPC Backing (Hide)'!$B$4:$B$263,'SPC Backing (Hide)'!$E$4:$E$263),0)):INDEX($Y$4:$Y$263,MATCH(SPC!$B$14,IF(Setup!$B$11="Weekly",'SPC Backing (Hide)'!$B$4:$B$263,'SPC Backing (Hide)'!$E$4:$E$263),0),1))</f>
        <v>18.416666666666668</v>
      </c>
      <c r="AA229">
        <f t="shared" si="49"/>
        <v>16.326832151300238</v>
      </c>
      <c r="AB229">
        <f t="shared" si="50"/>
        <v>88.60283687943263</v>
      </c>
      <c r="AC229">
        <f t="shared" si="51"/>
        <v>104.92966903073287</v>
      </c>
      <c r="AD229">
        <f t="shared" si="52"/>
        <v>121.25650118203311</v>
      </c>
      <c r="AE229">
        <f t="shared" si="53"/>
        <v>153.91016548463358</v>
      </c>
      <c r="AF229">
        <f t="shared" si="54"/>
        <v>170.23699763593382</v>
      </c>
      <c r="AG229">
        <f t="shared" si="55"/>
        <v>186.56382978723406</v>
      </c>
      <c r="AH229">
        <f t="shared" si="56"/>
        <v>0</v>
      </c>
      <c r="AI229">
        <f t="shared" si="63"/>
        <v>-2</v>
      </c>
      <c r="AJ229">
        <f t="shared" si="57"/>
        <v>0</v>
      </c>
      <c r="AK229">
        <f t="shared" si="58"/>
        <v>0</v>
      </c>
      <c r="AL229" t="e">
        <f t="shared" si="59"/>
        <v>#N/A</v>
      </c>
      <c r="AM229">
        <f t="shared" si="60"/>
        <v>-1</v>
      </c>
      <c r="AN229">
        <f t="shared" si="61"/>
        <v>0</v>
      </c>
      <c r="AO229">
        <f>_xlfn.PERCENTILE.INC(INDEX($W$4:$W$263,MATCH(SPC!$B$13,IF(Setup!$B$11="Weekly",'SPC Backing (Hide)'!$B$4:$B$263,'SPC Backing (Hide)'!$E$4:$E$263),0),1):INDEX($W$4:$W$263,MATCH(SPC!$B$14,IF(Setup!$B$11="Weekly",'SPC Backing (Hide)'!$B$4:$B$263,'SPC Backing (Hide)'!$E$4:$E$263),0),1),'SPC Backing (Hide)'!$AO$3)</f>
        <v>136.10000000000002</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29">
        <f t="shared" si="62"/>
        <v>33.44999999999996</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137.58333333333334</v>
      </c>
      <c r="Y230" cm="1">
        <f t="array" ref="Y230">ABS(INDEX($F$4:$U$263,ROW(A227),MATCH($X$2,$F$3:$U$3,0))-INDEX($F$4:$U$263,ROW(A226),MATCH($X$2,$F$3:$U$3,0)))</f>
        <v>0</v>
      </c>
      <c r="Z230">
        <f>AVERAGE(INDEX($Y$4:$Y$263,MATCH(SPC!$B$13,IF(Setup!$B$11="Weekly",'SPC Backing (Hide)'!$B$4:$B$263,'SPC Backing (Hide)'!$E$4:$E$263),0)):INDEX($Y$4:$Y$263,MATCH(SPC!$B$14,IF(Setup!$B$11="Weekly",'SPC Backing (Hide)'!$B$4:$B$263,'SPC Backing (Hide)'!$E$4:$E$263),0),1))</f>
        <v>18.416666666666668</v>
      </c>
      <c r="AA230">
        <f t="shared" si="49"/>
        <v>16.326832151300238</v>
      </c>
      <c r="AB230">
        <f t="shared" si="50"/>
        <v>88.60283687943263</v>
      </c>
      <c r="AC230">
        <f t="shared" si="51"/>
        <v>104.92966903073287</v>
      </c>
      <c r="AD230">
        <f t="shared" si="52"/>
        <v>121.25650118203311</v>
      </c>
      <c r="AE230">
        <f t="shared" si="53"/>
        <v>153.91016548463358</v>
      </c>
      <c r="AF230">
        <f t="shared" si="54"/>
        <v>170.23699763593382</v>
      </c>
      <c r="AG230">
        <f t="shared" si="55"/>
        <v>186.56382978723406</v>
      </c>
      <c r="AH230">
        <f t="shared" si="56"/>
        <v>0</v>
      </c>
      <c r="AI230">
        <f t="shared" si="63"/>
        <v>-2</v>
      </c>
      <c r="AJ230">
        <f t="shared" si="57"/>
        <v>0</v>
      </c>
      <c r="AK230">
        <f t="shared" si="58"/>
        <v>0</v>
      </c>
      <c r="AL230" t="e">
        <f t="shared" si="59"/>
        <v>#N/A</v>
      </c>
      <c r="AM230">
        <f t="shared" si="60"/>
        <v>-1</v>
      </c>
      <c r="AN230">
        <f t="shared" si="61"/>
        <v>0</v>
      </c>
      <c r="AO230">
        <f>_xlfn.PERCENTILE.INC(INDEX($W$4:$W$263,MATCH(SPC!$B$13,IF(Setup!$B$11="Weekly",'SPC Backing (Hide)'!$B$4:$B$263,'SPC Backing (Hide)'!$E$4:$E$263),0),1):INDEX($W$4:$W$263,MATCH(SPC!$B$14,IF(Setup!$B$11="Weekly",'SPC Backing (Hide)'!$B$4:$B$263,'SPC Backing (Hide)'!$E$4:$E$263),0),1),'SPC Backing (Hide)'!$AO$3)</f>
        <v>136.10000000000002</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0">
        <f t="shared" si="62"/>
        <v>33.44999999999996</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137.58333333333334</v>
      </c>
      <c r="Y231" cm="1">
        <f t="array" ref="Y231">ABS(INDEX($F$4:$U$263,ROW(A228),MATCH($X$2,$F$3:$U$3,0))-INDEX($F$4:$U$263,ROW(A227),MATCH($X$2,$F$3:$U$3,0)))</f>
        <v>0</v>
      </c>
      <c r="Z231">
        <f>AVERAGE(INDEX($Y$4:$Y$263,MATCH(SPC!$B$13,IF(Setup!$B$11="Weekly",'SPC Backing (Hide)'!$B$4:$B$263,'SPC Backing (Hide)'!$E$4:$E$263),0)):INDEX($Y$4:$Y$263,MATCH(SPC!$B$14,IF(Setup!$B$11="Weekly",'SPC Backing (Hide)'!$B$4:$B$263,'SPC Backing (Hide)'!$E$4:$E$263),0),1))</f>
        <v>18.416666666666668</v>
      </c>
      <c r="AA231">
        <f t="shared" si="49"/>
        <v>16.326832151300238</v>
      </c>
      <c r="AB231">
        <f t="shared" si="50"/>
        <v>88.60283687943263</v>
      </c>
      <c r="AC231">
        <f t="shared" si="51"/>
        <v>104.92966903073287</v>
      </c>
      <c r="AD231">
        <f t="shared" si="52"/>
        <v>121.25650118203311</v>
      </c>
      <c r="AE231">
        <f t="shared" si="53"/>
        <v>153.91016548463358</v>
      </c>
      <c r="AF231">
        <f t="shared" si="54"/>
        <v>170.23699763593382</v>
      </c>
      <c r="AG231">
        <f t="shared" si="55"/>
        <v>186.56382978723406</v>
      </c>
      <c r="AH231">
        <f t="shared" si="56"/>
        <v>0</v>
      </c>
      <c r="AI231">
        <f t="shared" si="63"/>
        <v>-2</v>
      </c>
      <c r="AJ231">
        <f t="shared" si="57"/>
        <v>0</v>
      </c>
      <c r="AK231">
        <f t="shared" si="58"/>
        <v>0</v>
      </c>
      <c r="AL231" t="e">
        <f t="shared" si="59"/>
        <v>#N/A</v>
      </c>
      <c r="AM231">
        <f t="shared" si="60"/>
        <v>-1</v>
      </c>
      <c r="AN231">
        <f t="shared" si="61"/>
        <v>0</v>
      </c>
      <c r="AO231">
        <f>_xlfn.PERCENTILE.INC(INDEX($W$4:$W$263,MATCH(SPC!$B$13,IF(Setup!$B$11="Weekly",'SPC Backing (Hide)'!$B$4:$B$263,'SPC Backing (Hide)'!$E$4:$E$263),0),1):INDEX($W$4:$W$263,MATCH(SPC!$B$14,IF(Setup!$B$11="Weekly",'SPC Backing (Hide)'!$B$4:$B$263,'SPC Backing (Hide)'!$E$4:$E$263),0),1),'SPC Backing (Hide)'!$AO$3)</f>
        <v>136.10000000000002</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1">
        <f t="shared" si="62"/>
        <v>33.44999999999996</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137.58333333333334</v>
      </c>
      <c r="Y232" cm="1">
        <f t="array" ref="Y232">ABS(INDEX($F$4:$U$263,ROW(A229),MATCH($X$2,$F$3:$U$3,0))-INDEX($F$4:$U$263,ROW(A228),MATCH($X$2,$F$3:$U$3,0)))</f>
        <v>0</v>
      </c>
      <c r="Z232">
        <f>AVERAGE(INDEX($Y$4:$Y$263,MATCH(SPC!$B$13,IF(Setup!$B$11="Weekly",'SPC Backing (Hide)'!$B$4:$B$263,'SPC Backing (Hide)'!$E$4:$E$263),0)):INDEX($Y$4:$Y$263,MATCH(SPC!$B$14,IF(Setup!$B$11="Weekly",'SPC Backing (Hide)'!$B$4:$B$263,'SPC Backing (Hide)'!$E$4:$E$263),0),1))</f>
        <v>18.416666666666668</v>
      </c>
      <c r="AA232">
        <f t="shared" si="49"/>
        <v>16.326832151300238</v>
      </c>
      <c r="AB232">
        <f t="shared" si="50"/>
        <v>88.60283687943263</v>
      </c>
      <c r="AC232">
        <f t="shared" si="51"/>
        <v>104.92966903073287</v>
      </c>
      <c r="AD232">
        <f t="shared" si="52"/>
        <v>121.25650118203311</v>
      </c>
      <c r="AE232">
        <f t="shared" si="53"/>
        <v>153.91016548463358</v>
      </c>
      <c r="AF232">
        <f t="shared" si="54"/>
        <v>170.23699763593382</v>
      </c>
      <c r="AG232">
        <f t="shared" si="55"/>
        <v>186.56382978723406</v>
      </c>
      <c r="AH232">
        <f t="shared" si="56"/>
        <v>0</v>
      </c>
      <c r="AI232">
        <f t="shared" si="63"/>
        <v>-2</v>
      </c>
      <c r="AJ232">
        <f t="shared" si="57"/>
        <v>0</v>
      </c>
      <c r="AK232">
        <f t="shared" si="58"/>
        <v>0</v>
      </c>
      <c r="AL232" t="e">
        <f t="shared" si="59"/>
        <v>#N/A</v>
      </c>
      <c r="AM232">
        <f t="shared" si="60"/>
        <v>-1</v>
      </c>
      <c r="AN232">
        <f t="shared" si="61"/>
        <v>0</v>
      </c>
      <c r="AO232">
        <f>_xlfn.PERCENTILE.INC(INDEX($W$4:$W$263,MATCH(SPC!$B$13,IF(Setup!$B$11="Weekly",'SPC Backing (Hide)'!$B$4:$B$263,'SPC Backing (Hide)'!$E$4:$E$263),0),1):INDEX($W$4:$W$263,MATCH(SPC!$B$14,IF(Setup!$B$11="Weekly",'SPC Backing (Hide)'!$B$4:$B$263,'SPC Backing (Hide)'!$E$4:$E$263),0),1),'SPC Backing (Hide)'!$AO$3)</f>
        <v>136.10000000000002</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2">
        <f t="shared" si="62"/>
        <v>33.44999999999996</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137.58333333333334</v>
      </c>
      <c r="Y233" cm="1">
        <f t="array" ref="Y233">ABS(INDEX($F$4:$U$263,ROW(A230),MATCH($X$2,$F$3:$U$3,0))-INDEX($F$4:$U$263,ROW(A229),MATCH($X$2,$F$3:$U$3,0)))</f>
        <v>0</v>
      </c>
      <c r="Z233">
        <f>AVERAGE(INDEX($Y$4:$Y$263,MATCH(SPC!$B$13,IF(Setup!$B$11="Weekly",'SPC Backing (Hide)'!$B$4:$B$263,'SPC Backing (Hide)'!$E$4:$E$263),0)):INDEX($Y$4:$Y$263,MATCH(SPC!$B$14,IF(Setup!$B$11="Weekly",'SPC Backing (Hide)'!$B$4:$B$263,'SPC Backing (Hide)'!$E$4:$E$263),0),1))</f>
        <v>18.416666666666668</v>
      </c>
      <c r="AA233">
        <f t="shared" si="49"/>
        <v>16.326832151300238</v>
      </c>
      <c r="AB233">
        <f t="shared" si="50"/>
        <v>88.60283687943263</v>
      </c>
      <c r="AC233">
        <f t="shared" si="51"/>
        <v>104.92966903073287</v>
      </c>
      <c r="AD233">
        <f t="shared" si="52"/>
        <v>121.25650118203311</v>
      </c>
      <c r="AE233">
        <f t="shared" si="53"/>
        <v>153.91016548463358</v>
      </c>
      <c r="AF233">
        <f t="shared" si="54"/>
        <v>170.23699763593382</v>
      </c>
      <c r="AG233">
        <f t="shared" si="55"/>
        <v>186.56382978723406</v>
      </c>
      <c r="AH233">
        <f t="shared" si="56"/>
        <v>0</v>
      </c>
      <c r="AI233">
        <f t="shared" si="63"/>
        <v>-2</v>
      </c>
      <c r="AJ233">
        <f t="shared" si="57"/>
        <v>0</v>
      </c>
      <c r="AK233">
        <f t="shared" si="58"/>
        <v>0</v>
      </c>
      <c r="AL233" t="e">
        <f t="shared" si="59"/>
        <v>#N/A</v>
      </c>
      <c r="AM233">
        <f t="shared" si="60"/>
        <v>-1</v>
      </c>
      <c r="AN233">
        <f t="shared" si="61"/>
        <v>0</v>
      </c>
      <c r="AO233">
        <f>_xlfn.PERCENTILE.INC(INDEX($W$4:$W$263,MATCH(SPC!$B$13,IF(Setup!$B$11="Weekly",'SPC Backing (Hide)'!$B$4:$B$263,'SPC Backing (Hide)'!$E$4:$E$263),0),1):INDEX($W$4:$W$263,MATCH(SPC!$B$14,IF(Setup!$B$11="Weekly",'SPC Backing (Hide)'!$B$4:$B$263,'SPC Backing (Hide)'!$E$4:$E$263),0),1),'SPC Backing (Hide)'!$AO$3)</f>
        <v>136.10000000000002</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3">
        <f t="shared" si="62"/>
        <v>33.44999999999996</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137.58333333333334</v>
      </c>
      <c r="Y234" cm="1">
        <f t="array" ref="Y234">ABS(INDEX($F$4:$U$263,ROW(A231),MATCH($X$2,$F$3:$U$3,0))-INDEX($F$4:$U$263,ROW(A230),MATCH($X$2,$F$3:$U$3,0)))</f>
        <v>0</v>
      </c>
      <c r="Z234">
        <f>AVERAGE(INDEX($Y$4:$Y$263,MATCH(SPC!$B$13,IF(Setup!$B$11="Weekly",'SPC Backing (Hide)'!$B$4:$B$263,'SPC Backing (Hide)'!$E$4:$E$263),0)):INDEX($Y$4:$Y$263,MATCH(SPC!$B$14,IF(Setup!$B$11="Weekly",'SPC Backing (Hide)'!$B$4:$B$263,'SPC Backing (Hide)'!$E$4:$E$263),0),1))</f>
        <v>18.416666666666668</v>
      </c>
      <c r="AA234">
        <f t="shared" si="49"/>
        <v>16.326832151300238</v>
      </c>
      <c r="AB234">
        <f t="shared" si="50"/>
        <v>88.60283687943263</v>
      </c>
      <c r="AC234">
        <f t="shared" si="51"/>
        <v>104.92966903073287</v>
      </c>
      <c r="AD234">
        <f t="shared" si="52"/>
        <v>121.25650118203311</v>
      </c>
      <c r="AE234">
        <f t="shared" si="53"/>
        <v>153.91016548463358</v>
      </c>
      <c r="AF234">
        <f t="shared" si="54"/>
        <v>170.23699763593382</v>
      </c>
      <c r="AG234">
        <f t="shared" si="55"/>
        <v>186.56382978723406</v>
      </c>
      <c r="AH234">
        <f t="shared" si="56"/>
        <v>0</v>
      </c>
      <c r="AI234">
        <f t="shared" si="63"/>
        <v>-2</v>
      </c>
      <c r="AJ234">
        <f t="shared" si="57"/>
        <v>0</v>
      </c>
      <c r="AK234">
        <f t="shared" si="58"/>
        <v>0</v>
      </c>
      <c r="AL234" t="e">
        <f t="shared" si="59"/>
        <v>#N/A</v>
      </c>
      <c r="AM234">
        <f t="shared" si="60"/>
        <v>-1</v>
      </c>
      <c r="AN234">
        <f t="shared" si="61"/>
        <v>0</v>
      </c>
      <c r="AO234">
        <f>_xlfn.PERCENTILE.INC(INDEX($W$4:$W$263,MATCH(SPC!$B$13,IF(Setup!$B$11="Weekly",'SPC Backing (Hide)'!$B$4:$B$263,'SPC Backing (Hide)'!$E$4:$E$263),0),1):INDEX($W$4:$W$263,MATCH(SPC!$B$14,IF(Setup!$B$11="Weekly",'SPC Backing (Hide)'!$B$4:$B$263,'SPC Backing (Hide)'!$E$4:$E$263),0),1),'SPC Backing (Hide)'!$AO$3)</f>
        <v>136.10000000000002</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4">
        <f t="shared" si="62"/>
        <v>33.44999999999996</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137.58333333333334</v>
      </c>
      <c r="Y235" cm="1">
        <f t="array" ref="Y235">ABS(INDEX($F$4:$U$263,ROW(A232),MATCH($X$2,$F$3:$U$3,0))-INDEX($F$4:$U$263,ROW(A231),MATCH($X$2,$F$3:$U$3,0)))</f>
        <v>0</v>
      </c>
      <c r="Z235">
        <f>AVERAGE(INDEX($Y$4:$Y$263,MATCH(SPC!$B$13,IF(Setup!$B$11="Weekly",'SPC Backing (Hide)'!$B$4:$B$263,'SPC Backing (Hide)'!$E$4:$E$263),0)):INDEX($Y$4:$Y$263,MATCH(SPC!$B$14,IF(Setup!$B$11="Weekly",'SPC Backing (Hide)'!$B$4:$B$263,'SPC Backing (Hide)'!$E$4:$E$263),0),1))</f>
        <v>18.416666666666668</v>
      </c>
      <c r="AA235">
        <f t="shared" si="49"/>
        <v>16.326832151300238</v>
      </c>
      <c r="AB235">
        <f t="shared" si="50"/>
        <v>88.60283687943263</v>
      </c>
      <c r="AC235">
        <f t="shared" si="51"/>
        <v>104.92966903073287</v>
      </c>
      <c r="AD235">
        <f t="shared" si="52"/>
        <v>121.25650118203311</v>
      </c>
      <c r="AE235">
        <f t="shared" si="53"/>
        <v>153.91016548463358</v>
      </c>
      <c r="AF235">
        <f t="shared" si="54"/>
        <v>170.23699763593382</v>
      </c>
      <c r="AG235">
        <f t="shared" si="55"/>
        <v>186.56382978723406</v>
      </c>
      <c r="AH235">
        <f t="shared" si="56"/>
        <v>0</v>
      </c>
      <c r="AI235">
        <f t="shared" si="63"/>
        <v>-2</v>
      </c>
      <c r="AJ235">
        <f t="shared" si="57"/>
        <v>0</v>
      </c>
      <c r="AK235">
        <f t="shared" si="58"/>
        <v>0</v>
      </c>
      <c r="AL235" t="e">
        <f t="shared" si="59"/>
        <v>#N/A</v>
      </c>
      <c r="AM235">
        <f t="shared" si="60"/>
        <v>-1</v>
      </c>
      <c r="AN235">
        <f t="shared" si="61"/>
        <v>0</v>
      </c>
      <c r="AO235">
        <f>_xlfn.PERCENTILE.INC(INDEX($W$4:$W$263,MATCH(SPC!$B$13,IF(Setup!$B$11="Weekly",'SPC Backing (Hide)'!$B$4:$B$263,'SPC Backing (Hide)'!$E$4:$E$263),0),1):INDEX($W$4:$W$263,MATCH(SPC!$B$14,IF(Setup!$B$11="Weekly",'SPC Backing (Hide)'!$B$4:$B$263,'SPC Backing (Hide)'!$E$4:$E$263),0),1),'SPC Backing (Hide)'!$AO$3)</f>
        <v>136.10000000000002</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5">
        <f t="shared" si="62"/>
        <v>33.44999999999996</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137.58333333333334</v>
      </c>
      <c r="Y236" cm="1">
        <f t="array" ref="Y236">ABS(INDEX($F$4:$U$263,ROW(A233),MATCH($X$2,$F$3:$U$3,0))-INDEX($F$4:$U$263,ROW(A232),MATCH($X$2,$F$3:$U$3,0)))</f>
        <v>0</v>
      </c>
      <c r="Z236">
        <f>AVERAGE(INDEX($Y$4:$Y$263,MATCH(SPC!$B$13,IF(Setup!$B$11="Weekly",'SPC Backing (Hide)'!$B$4:$B$263,'SPC Backing (Hide)'!$E$4:$E$263),0)):INDEX($Y$4:$Y$263,MATCH(SPC!$B$14,IF(Setup!$B$11="Weekly",'SPC Backing (Hide)'!$B$4:$B$263,'SPC Backing (Hide)'!$E$4:$E$263),0),1))</f>
        <v>18.416666666666668</v>
      </c>
      <c r="AA236">
        <f t="shared" si="49"/>
        <v>16.326832151300238</v>
      </c>
      <c r="AB236">
        <f t="shared" si="50"/>
        <v>88.60283687943263</v>
      </c>
      <c r="AC236">
        <f t="shared" si="51"/>
        <v>104.92966903073287</v>
      </c>
      <c r="AD236">
        <f t="shared" si="52"/>
        <v>121.25650118203311</v>
      </c>
      <c r="AE236">
        <f t="shared" si="53"/>
        <v>153.91016548463358</v>
      </c>
      <c r="AF236">
        <f t="shared" si="54"/>
        <v>170.23699763593382</v>
      </c>
      <c r="AG236">
        <f t="shared" si="55"/>
        <v>186.56382978723406</v>
      </c>
      <c r="AH236">
        <f t="shared" si="56"/>
        <v>0</v>
      </c>
      <c r="AI236">
        <f t="shared" si="63"/>
        <v>-2</v>
      </c>
      <c r="AJ236">
        <f t="shared" si="57"/>
        <v>0</v>
      </c>
      <c r="AK236">
        <f t="shared" si="58"/>
        <v>0</v>
      </c>
      <c r="AL236" t="e">
        <f t="shared" si="59"/>
        <v>#N/A</v>
      </c>
      <c r="AM236">
        <f t="shared" si="60"/>
        <v>-1</v>
      </c>
      <c r="AN236">
        <f t="shared" si="61"/>
        <v>0</v>
      </c>
      <c r="AO236">
        <f>_xlfn.PERCENTILE.INC(INDEX($W$4:$W$263,MATCH(SPC!$B$13,IF(Setup!$B$11="Weekly",'SPC Backing (Hide)'!$B$4:$B$263,'SPC Backing (Hide)'!$E$4:$E$263),0),1):INDEX($W$4:$W$263,MATCH(SPC!$B$14,IF(Setup!$B$11="Weekly",'SPC Backing (Hide)'!$B$4:$B$263,'SPC Backing (Hide)'!$E$4:$E$263),0),1),'SPC Backing (Hide)'!$AO$3)</f>
        <v>136.10000000000002</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6">
        <f t="shared" si="62"/>
        <v>33.44999999999996</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137.58333333333334</v>
      </c>
      <c r="Y237" cm="1">
        <f t="array" ref="Y237">ABS(INDEX($F$4:$U$263,ROW(A234),MATCH($X$2,$F$3:$U$3,0))-INDEX($F$4:$U$263,ROW(A233),MATCH($X$2,$F$3:$U$3,0)))</f>
        <v>0</v>
      </c>
      <c r="Z237">
        <f>AVERAGE(INDEX($Y$4:$Y$263,MATCH(SPC!$B$13,IF(Setup!$B$11="Weekly",'SPC Backing (Hide)'!$B$4:$B$263,'SPC Backing (Hide)'!$E$4:$E$263),0)):INDEX($Y$4:$Y$263,MATCH(SPC!$B$14,IF(Setup!$B$11="Weekly",'SPC Backing (Hide)'!$B$4:$B$263,'SPC Backing (Hide)'!$E$4:$E$263),0),1))</f>
        <v>18.416666666666668</v>
      </c>
      <c r="AA237">
        <f t="shared" si="49"/>
        <v>16.326832151300238</v>
      </c>
      <c r="AB237">
        <f t="shared" si="50"/>
        <v>88.60283687943263</v>
      </c>
      <c r="AC237">
        <f t="shared" si="51"/>
        <v>104.92966903073287</v>
      </c>
      <c r="AD237">
        <f t="shared" si="52"/>
        <v>121.25650118203311</v>
      </c>
      <c r="AE237">
        <f t="shared" si="53"/>
        <v>153.91016548463358</v>
      </c>
      <c r="AF237">
        <f t="shared" si="54"/>
        <v>170.23699763593382</v>
      </c>
      <c r="AG237">
        <f t="shared" si="55"/>
        <v>186.56382978723406</v>
      </c>
      <c r="AH237">
        <f t="shared" si="56"/>
        <v>0</v>
      </c>
      <c r="AI237">
        <f t="shared" si="63"/>
        <v>-2</v>
      </c>
      <c r="AJ237">
        <f t="shared" si="57"/>
        <v>0</v>
      </c>
      <c r="AK237">
        <f t="shared" si="58"/>
        <v>0</v>
      </c>
      <c r="AL237" t="e">
        <f t="shared" si="59"/>
        <v>#N/A</v>
      </c>
      <c r="AM237">
        <f t="shared" si="60"/>
        <v>-1</v>
      </c>
      <c r="AN237">
        <f t="shared" si="61"/>
        <v>0</v>
      </c>
      <c r="AO237">
        <f>_xlfn.PERCENTILE.INC(INDEX($W$4:$W$263,MATCH(SPC!$B$13,IF(Setup!$B$11="Weekly",'SPC Backing (Hide)'!$B$4:$B$263,'SPC Backing (Hide)'!$E$4:$E$263),0),1):INDEX($W$4:$W$263,MATCH(SPC!$B$14,IF(Setup!$B$11="Weekly",'SPC Backing (Hide)'!$B$4:$B$263,'SPC Backing (Hide)'!$E$4:$E$263),0),1),'SPC Backing (Hide)'!$AO$3)</f>
        <v>136.10000000000002</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7">
        <f t="shared" si="62"/>
        <v>33.44999999999996</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137.58333333333334</v>
      </c>
      <c r="Y238" cm="1">
        <f t="array" ref="Y238">ABS(INDEX($F$4:$U$263,ROW(A235),MATCH($X$2,$F$3:$U$3,0))-INDEX($F$4:$U$263,ROW(A234),MATCH($X$2,$F$3:$U$3,0)))</f>
        <v>0</v>
      </c>
      <c r="Z238">
        <f>AVERAGE(INDEX($Y$4:$Y$263,MATCH(SPC!$B$13,IF(Setup!$B$11="Weekly",'SPC Backing (Hide)'!$B$4:$B$263,'SPC Backing (Hide)'!$E$4:$E$263),0)):INDEX($Y$4:$Y$263,MATCH(SPC!$B$14,IF(Setup!$B$11="Weekly",'SPC Backing (Hide)'!$B$4:$B$263,'SPC Backing (Hide)'!$E$4:$E$263),0),1))</f>
        <v>18.416666666666668</v>
      </c>
      <c r="AA238">
        <f t="shared" si="49"/>
        <v>16.326832151300238</v>
      </c>
      <c r="AB238">
        <f t="shared" si="50"/>
        <v>88.60283687943263</v>
      </c>
      <c r="AC238">
        <f t="shared" si="51"/>
        <v>104.92966903073287</v>
      </c>
      <c r="AD238">
        <f t="shared" si="52"/>
        <v>121.25650118203311</v>
      </c>
      <c r="AE238">
        <f t="shared" si="53"/>
        <v>153.91016548463358</v>
      </c>
      <c r="AF238">
        <f t="shared" si="54"/>
        <v>170.23699763593382</v>
      </c>
      <c r="AG238">
        <f t="shared" si="55"/>
        <v>186.56382978723406</v>
      </c>
      <c r="AH238">
        <f t="shared" si="56"/>
        <v>0</v>
      </c>
      <c r="AI238">
        <f t="shared" si="63"/>
        <v>-2</v>
      </c>
      <c r="AJ238">
        <f t="shared" si="57"/>
        <v>0</v>
      </c>
      <c r="AK238">
        <f t="shared" si="58"/>
        <v>0</v>
      </c>
      <c r="AL238" t="e">
        <f t="shared" si="59"/>
        <v>#N/A</v>
      </c>
      <c r="AM238">
        <f t="shared" si="60"/>
        <v>-1</v>
      </c>
      <c r="AN238">
        <f t="shared" si="61"/>
        <v>0</v>
      </c>
      <c r="AO238">
        <f>_xlfn.PERCENTILE.INC(INDEX($W$4:$W$263,MATCH(SPC!$B$13,IF(Setup!$B$11="Weekly",'SPC Backing (Hide)'!$B$4:$B$263,'SPC Backing (Hide)'!$E$4:$E$263),0),1):INDEX($W$4:$W$263,MATCH(SPC!$B$14,IF(Setup!$B$11="Weekly",'SPC Backing (Hide)'!$B$4:$B$263,'SPC Backing (Hide)'!$E$4:$E$263),0),1),'SPC Backing (Hide)'!$AO$3)</f>
        <v>136.10000000000002</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8">
        <f t="shared" si="62"/>
        <v>33.44999999999996</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137.58333333333334</v>
      </c>
      <c r="Y239" cm="1">
        <f t="array" ref="Y239">ABS(INDEX($F$4:$U$263,ROW(A236),MATCH($X$2,$F$3:$U$3,0))-INDEX($F$4:$U$263,ROW(A235),MATCH($X$2,$F$3:$U$3,0)))</f>
        <v>0</v>
      </c>
      <c r="Z239">
        <f>AVERAGE(INDEX($Y$4:$Y$263,MATCH(SPC!$B$13,IF(Setup!$B$11="Weekly",'SPC Backing (Hide)'!$B$4:$B$263,'SPC Backing (Hide)'!$E$4:$E$263),0)):INDEX($Y$4:$Y$263,MATCH(SPC!$B$14,IF(Setup!$B$11="Weekly",'SPC Backing (Hide)'!$B$4:$B$263,'SPC Backing (Hide)'!$E$4:$E$263),0),1))</f>
        <v>18.416666666666668</v>
      </c>
      <c r="AA239">
        <f t="shared" si="49"/>
        <v>16.326832151300238</v>
      </c>
      <c r="AB239">
        <f t="shared" si="50"/>
        <v>88.60283687943263</v>
      </c>
      <c r="AC239">
        <f t="shared" si="51"/>
        <v>104.92966903073287</v>
      </c>
      <c r="AD239">
        <f t="shared" si="52"/>
        <v>121.25650118203311</v>
      </c>
      <c r="AE239">
        <f t="shared" si="53"/>
        <v>153.91016548463358</v>
      </c>
      <c r="AF239">
        <f t="shared" si="54"/>
        <v>170.23699763593382</v>
      </c>
      <c r="AG239">
        <f t="shared" si="55"/>
        <v>186.56382978723406</v>
      </c>
      <c r="AH239">
        <f t="shared" si="56"/>
        <v>0</v>
      </c>
      <c r="AI239">
        <f t="shared" si="63"/>
        <v>-2</v>
      </c>
      <c r="AJ239">
        <f t="shared" si="57"/>
        <v>0</v>
      </c>
      <c r="AK239">
        <f t="shared" si="58"/>
        <v>0</v>
      </c>
      <c r="AL239" t="e">
        <f t="shared" si="59"/>
        <v>#N/A</v>
      </c>
      <c r="AM239">
        <f t="shared" si="60"/>
        <v>-1</v>
      </c>
      <c r="AN239">
        <f t="shared" si="61"/>
        <v>0</v>
      </c>
      <c r="AO239">
        <f>_xlfn.PERCENTILE.INC(INDEX($W$4:$W$263,MATCH(SPC!$B$13,IF(Setup!$B$11="Weekly",'SPC Backing (Hide)'!$B$4:$B$263,'SPC Backing (Hide)'!$E$4:$E$263),0),1):INDEX($W$4:$W$263,MATCH(SPC!$B$14,IF(Setup!$B$11="Weekly",'SPC Backing (Hide)'!$B$4:$B$263,'SPC Backing (Hide)'!$E$4:$E$263),0),1),'SPC Backing (Hide)'!$AO$3)</f>
        <v>136.10000000000002</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39">
        <f t="shared" si="62"/>
        <v>33.44999999999996</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137.58333333333334</v>
      </c>
      <c r="Y240" cm="1">
        <f t="array" ref="Y240">ABS(INDEX($F$4:$U$263,ROW(A237),MATCH($X$2,$F$3:$U$3,0))-INDEX($F$4:$U$263,ROW(A236),MATCH($X$2,$F$3:$U$3,0)))</f>
        <v>0</v>
      </c>
      <c r="Z240">
        <f>AVERAGE(INDEX($Y$4:$Y$263,MATCH(SPC!$B$13,IF(Setup!$B$11="Weekly",'SPC Backing (Hide)'!$B$4:$B$263,'SPC Backing (Hide)'!$E$4:$E$263),0)):INDEX($Y$4:$Y$263,MATCH(SPC!$B$14,IF(Setup!$B$11="Weekly",'SPC Backing (Hide)'!$B$4:$B$263,'SPC Backing (Hide)'!$E$4:$E$263),0),1))</f>
        <v>18.416666666666668</v>
      </c>
      <c r="AA240">
        <f t="shared" si="49"/>
        <v>16.326832151300238</v>
      </c>
      <c r="AB240">
        <f t="shared" si="50"/>
        <v>88.60283687943263</v>
      </c>
      <c r="AC240">
        <f t="shared" si="51"/>
        <v>104.92966903073287</v>
      </c>
      <c r="AD240">
        <f t="shared" si="52"/>
        <v>121.25650118203311</v>
      </c>
      <c r="AE240">
        <f t="shared" si="53"/>
        <v>153.91016548463358</v>
      </c>
      <c r="AF240">
        <f t="shared" si="54"/>
        <v>170.23699763593382</v>
      </c>
      <c r="AG240">
        <f t="shared" si="55"/>
        <v>186.56382978723406</v>
      </c>
      <c r="AH240">
        <f t="shared" si="56"/>
        <v>0</v>
      </c>
      <c r="AI240">
        <f t="shared" si="63"/>
        <v>-2</v>
      </c>
      <c r="AJ240">
        <f t="shared" si="57"/>
        <v>0</v>
      </c>
      <c r="AK240">
        <f t="shared" si="58"/>
        <v>0</v>
      </c>
      <c r="AL240" t="e">
        <f t="shared" si="59"/>
        <v>#N/A</v>
      </c>
      <c r="AM240">
        <f t="shared" si="60"/>
        <v>-1</v>
      </c>
      <c r="AN240">
        <f t="shared" si="61"/>
        <v>0</v>
      </c>
      <c r="AO240">
        <f>_xlfn.PERCENTILE.INC(INDEX($W$4:$W$263,MATCH(SPC!$B$13,IF(Setup!$B$11="Weekly",'SPC Backing (Hide)'!$B$4:$B$263,'SPC Backing (Hide)'!$E$4:$E$263),0),1):INDEX($W$4:$W$263,MATCH(SPC!$B$14,IF(Setup!$B$11="Weekly",'SPC Backing (Hide)'!$B$4:$B$263,'SPC Backing (Hide)'!$E$4:$E$263),0),1),'SPC Backing (Hide)'!$AO$3)</f>
        <v>136.10000000000002</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0">
        <f t="shared" si="62"/>
        <v>33.44999999999996</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137.58333333333334</v>
      </c>
      <c r="Y241" cm="1">
        <f t="array" ref="Y241">ABS(INDEX($F$4:$U$263,ROW(A238),MATCH($X$2,$F$3:$U$3,0))-INDEX($F$4:$U$263,ROW(A237),MATCH($X$2,$F$3:$U$3,0)))</f>
        <v>0</v>
      </c>
      <c r="Z241">
        <f>AVERAGE(INDEX($Y$4:$Y$263,MATCH(SPC!$B$13,IF(Setup!$B$11="Weekly",'SPC Backing (Hide)'!$B$4:$B$263,'SPC Backing (Hide)'!$E$4:$E$263),0)):INDEX($Y$4:$Y$263,MATCH(SPC!$B$14,IF(Setup!$B$11="Weekly",'SPC Backing (Hide)'!$B$4:$B$263,'SPC Backing (Hide)'!$E$4:$E$263),0),1))</f>
        <v>18.416666666666668</v>
      </c>
      <c r="AA241">
        <f t="shared" si="49"/>
        <v>16.326832151300238</v>
      </c>
      <c r="AB241">
        <f t="shared" si="50"/>
        <v>88.60283687943263</v>
      </c>
      <c r="AC241">
        <f t="shared" si="51"/>
        <v>104.92966903073287</v>
      </c>
      <c r="AD241">
        <f t="shared" si="52"/>
        <v>121.25650118203311</v>
      </c>
      <c r="AE241">
        <f t="shared" si="53"/>
        <v>153.91016548463358</v>
      </c>
      <c r="AF241">
        <f t="shared" si="54"/>
        <v>170.23699763593382</v>
      </c>
      <c r="AG241">
        <f t="shared" si="55"/>
        <v>186.56382978723406</v>
      </c>
      <c r="AH241">
        <f t="shared" si="56"/>
        <v>0</v>
      </c>
      <c r="AI241">
        <f t="shared" si="63"/>
        <v>-2</v>
      </c>
      <c r="AJ241">
        <f t="shared" si="57"/>
        <v>0</v>
      </c>
      <c r="AK241">
        <f t="shared" si="58"/>
        <v>0</v>
      </c>
      <c r="AL241" t="e">
        <f t="shared" si="59"/>
        <v>#N/A</v>
      </c>
      <c r="AM241">
        <f t="shared" si="60"/>
        <v>-1</v>
      </c>
      <c r="AN241">
        <f t="shared" si="61"/>
        <v>0</v>
      </c>
      <c r="AO241">
        <f>_xlfn.PERCENTILE.INC(INDEX($W$4:$W$263,MATCH(SPC!$B$13,IF(Setup!$B$11="Weekly",'SPC Backing (Hide)'!$B$4:$B$263,'SPC Backing (Hide)'!$E$4:$E$263),0),1):INDEX($W$4:$W$263,MATCH(SPC!$B$14,IF(Setup!$B$11="Weekly",'SPC Backing (Hide)'!$B$4:$B$263,'SPC Backing (Hide)'!$E$4:$E$263),0),1),'SPC Backing (Hide)'!$AO$3)</f>
        <v>136.10000000000002</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1">
        <f t="shared" si="62"/>
        <v>33.44999999999996</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137.58333333333334</v>
      </c>
      <c r="Y242" cm="1">
        <f t="array" ref="Y242">ABS(INDEX($F$4:$U$263,ROW(A239),MATCH($X$2,$F$3:$U$3,0))-INDEX($F$4:$U$263,ROW(A238),MATCH($X$2,$F$3:$U$3,0)))</f>
        <v>0</v>
      </c>
      <c r="Z242">
        <f>AVERAGE(INDEX($Y$4:$Y$263,MATCH(SPC!$B$13,IF(Setup!$B$11="Weekly",'SPC Backing (Hide)'!$B$4:$B$263,'SPC Backing (Hide)'!$E$4:$E$263),0)):INDEX($Y$4:$Y$263,MATCH(SPC!$B$14,IF(Setup!$B$11="Weekly",'SPC Backing (Hide)'!$B$4:$B$263,'SPC Backing (Hide)'!$E$4:$E$263),0),1))</f>
        <v>18.416666666666668</v>
      </c>
      <c r="AA242">
        <f t="shared" si="49"/>
        <v>16.326832151300238</v>
      </c>
      <c r="AB242">
        <f t="shared" si="50"/>
        <v>88.60283687943263</v>
      </c>
      <c r="AC242">
        <f t="shared" si="51"/>
        <v>104.92966903073287</v>
      </c>
      <c r="AD242">
        <f t="shared" si="52"/>
        <v>121.25650118203311</v>
      </c>
      <c r="AE242">
        <f t="shared" si="53"/>
        <v>153.91016548463358</v>
      </c>
      <c r="AF242">
        <f t="shared" si="54"/>
        <v>170.23699763593382</v>
      </c>
      <c r="AG242">
        <f t="shared" si="55"/>
        <v>186.56382978723406</v>
      </c>
      <c r="AH242">
        <f t="shared" si="56"/>
        <v>0</v>
      </c>
      <c r="AI242">
        <f t="shared" si="63"/>
        <v>-2</v>
      </c>
      <c r="AJ242">
        <f t="shared" si="57"/>
        <v>0</v>
      </c>
      <c r="AK242">
        <f t="shared" si="58"/>
        <v>0</v>
      </c>
      <c r="AL242" t="e">
        <f t="shared" si="59"/>
        <v>#N/A</v>
      </c>
      <c r="AM242">
        <f t="shared" si="60"/>
        <v>-1</v>
      </c>
      <c r="AN242">
        <f t="shared" si="61"/>
        <v>0</v>
      </c>
      <c r="AO242">
        <f>_xlfn.PERCENTILE.INC(INDEX($W$4:$W$263,MATCH(SPC!$B$13,IF(Setup!$B$11="Weekly",'SPC Backing (Hide)'!$B$4:$B$263,'SPC Backing (Hide)'!$E$4:$E$263),0),1):INDEX($W$4:$W$263,MATCH(SPC!$B$14,IF(Setup!$B$11="Weekly",'SPC Backing (Hide)'!$B$4:$B$263,'SPC Backing (Hide)'!$E$4:$E$263),0),1),'SPC Backing (Hide)'!$AO$3)</f>
        <v>136.10000000000002</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2">
        <f t="shared" si="62"/>
        <v>33.44999999999996</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137.58333333333334</v>
      </c>
      <c r="Y243" cm="1">
        <f t="array" ref="Y243">ABS(INDEX($F$4:$U$263,ROW(A240),MATCH($X$2,$F$3:$U$3,0))-INDEX($F$4:$U$263,ROW(A239),MATCH($X$2,$F$3:$U$3,0)))</f>
        <v>0</v>
      </c>
      <c r="Z243">
        <f>AVERAGE(INDEX($Y$4:$Y$263,MATCH(SPC!$B$13,IF(Setup!$B$11="Weekly",'SPC Backing (Hide)'!$B$4:$B$263,'SPC Backing (Hide)'!$E$4:$E$263),0)):INDEX($Y$4:$Y$263,MATCH(SPC!$B$14,IF(Setup!$B$11="Weekly",'SPC Backing (Hide)'!$B$4:$B$263,'SPC Backing (Hide)'!$E$4:$E$263),0),1))</f>
        <v>18.416666666666668</v>
      </c>
      <c r="AA243">
        <f t="shared" si="49"/>
        <v>16.326832151300238</v>
      </c>
      <c r="AB243">
        <f t="shared" si="50"/>
        <v>88.60283687943263</v>
      </c>
      <c r="AC243">
        <f t="shared" si="51"/>
        <v>104.92966903073287</v>
      </c>
      <c r="AD243">
        <f t="shared" si="52"/>
        <v>121.25650118203311</v>
      </c>
      <c r="AE243">
        <f t="shared" si="53"/>
        <v>153.91016548463358</v>
      </c>
      <c r="AF243">
        <f t="shared" si="54"/>
        <v>170.23699763593382</v>
      </c>
      <c r="AG243">
        <f t="shared" si="55"/>
        <v>186.56382978723406</v>
      </c>
      <c r="AH243">
        <f t="shared" si="56"/>
        <v>0</v>
      </c>
      <c r="AI243">
        <f t="shared" si="63"/>
        <v>-2</v>
      </c>
      <c r="AJ243">
        <f t="shared" si="57"/>
        <v>0</v>
      </c>
      <c r="AK243">
        <f t="shared" si="58"/>
        <v>0</v>
      </c>
      <c r="AL243" t="e">
        <f t="shared" si="59"/>
        <v>#N/A</v>
      </c>
      <c r="AM243">
        <f t="shared" si="60"/>
        <v>-1</v>
      </c>
      <c r="AN243">
        <f t="shared" si="61"/>
        <v>0</v>
      </c>
      <c r="AO243">
        <f>_xlfn.PERCENTILE.INC(INDEX($W$4:$W$263,MATCH(SPC!$B$13,IF(Setup!$B$11="Weekly",'SPC Backing (Hide)'!$B$4:$B$263,'SPC Backing (Hide)'!$E$4:$E$263),0),1):INDEX($W$4:$W$263,MATCH(SPC!$B$14,IF(Setup!$B$11="Weekly",'SPC Backing (Hide)'!$B$4:$B$263,'SPC Backing (Hide)'!$E$4:$E$263),0),1),'SPC Backing (Hide)'!$AO$3)</f>
        <v>136.10000000000002</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3">
        <f t="shared" si="62"/>
        <v>33.44999999999996</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137.58333333333334</v>
      </c>
      <c r="Y244" cm="1">
        <f t="array" ref="Y244">ABS(INDEX($F$4:$U$263,ROW(A241),MATCH($X$2,$F$3:$U$3,0))-INDEX($F$4:$U$263,ROW(A240),MATCH($X$2,$F$3:$U$3,0)))</f>
        <v>0</v>
      </c>
      <c r="Z244">
        <f>AVERAGE(INDEX($Y$4:$Y$263,MATCH(SPC!$B$13,IF(Setup!$B$11="Weekly",'SPC Backing (Hide)'!$B$4:$B$263,'SPC Backing (Hide)'!$E$4:$E$263),0)):INDEX($Y$4:$Y$263,MATCH(SPC!$B$14,IF(Setup!$B$11="Weekly",'SPC Backing (Hide)'!$B$4:$B$263,'SPC Backing (Hide)'!$E$4:$E$263),0),1))</f>
        <v>18.416666666666668</v>
      </c>
      <c r="AA244">
        <f t="shared" si="49"/>
        <v>16.326832151300238</v>
      </c>
      <c r="AB244">
        <f t="shared" si="50"/>
        <v>88.60283687943263</v>
      </c>
      <c r="AC244">
        <f t="shared" si="51"/>
        <v>104.92966903073287</v>
      </c>
      <c r="AD244">
        <f t="shared" si="52"/>
        <v>121.25650118203311</v>
      </c>
      <c r="AE244">
        <f t="shared" si="53"/>
        <v>153.91016548463358</v>
      </c>
      <c r="AF244">
        <f t="shared" si="54"/>
        <v>170.23699763593382</v>
      </c>
      <c r="AG244">
        <f t="shared" si="55"/>
        <v>186.56382978723406</v>
      </c>
      <c r="AH244">
        <f t="shared" si="56"/>
        <v>0</v>
      </c>
      <c r="AI244">
        <f t="shared" si="63"/>
        <v>-2</v>
      </c>
      <c r="AJ244">
        <f t="shared" si="57"/>
        <v>0</v>
      </c>
      <c r="AK244">
        <f t="shared" si="58"/>
        <v>0</v>
      </c>
      <c r="AL244" t="e">
        <f t="shared" si="59"/>
        <v>#N/A</v>
      </c>
      <c r="AM244">
        <f t="shared" si="60"/>
        <v>-1</v>
      </c>
      <c r="AN244">
        <f t="shared" si="61"/>
        <v>0</v>
      </c>
      <c r="AO244">
        <f>_xlfn.PERCENTILE.INC(INDEX($W$4:$W$263,MATCH(SPC!$B$13,IF(Setup!$B$11="Weekly",'SPC Backing (Hide)'!$B$4:$B$263,'SPC Backing (Hide)'!$E$4:$E$263),0),1):INDEX($W$4:$W$263,MATCH(SPC!$B$14,IF(Setup!$B$11="Weekly",'SPC Backing (Hide)'!$B$4:$B$263,'SPC Backing (Hide)'!$E$4:$E$263),0),1),'SPC Backing (Hide)'!$AO$3)</f>
        <v>136.10000000000002</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4">
        <f t="shared" si="62"/>
        <v>33.44999999999996</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137.58333333333334</v>
      </c>
      <c r="Y245" cm="1">
        <f t="array" ref="Y245">ABS(INDEX($F$4:$U$263,ROW(A242),MATCH($X$2,$F$3:$U$3,0))-INDEX($F$4:$U$263,ROW(A241),MATCH($X$2,$F$3:$U$3,0)))</f>
        <v>0</v>
      </c>
      <c r="Z245">
        <f>AVERAGE(INDEX($Y$4:$Y$263,MATCH(SPC!$B$13,IF(Setup!$B$11="Weekly",'SPC Backing (Hide)'!$B$4:$B$263,'SPC Backing (Hide)'!$E$4:$E$263),0)):INDEX($Y$4:$Y$263,MATCH(SPC!$B$14,IF(Setup!$B$11="Weekly",'SPC Backing (Hide)'!$B$4:$B$263,'SPC Backing (Hide)'!$E$4:$E$263),0),1))</f>
        <v>18.416666666666668</v>
      </c>
      <c r="AA245">
        <f t="shared" si="49"/>
        <v>16.326832151300238</v>
      </c>
      <c r="AB245">
        <f t="shared" si="50"/>
        <v>88.60283687943263</v>
      </c>
      <c r="AC245">
        <f t="shared" si="51"/>
        <v>104.92966903073287</v>
      </c>
      <c r="AD245">
        <f t="shared" si="52"/>
        <v>121.25650118203311</v>
      </c>
      <c r="AE245">
        <f t="shared" si="53"/>
        <v>153.91016548463358</v>
      </c>
      <c r="AF245">
        <f t="shared" si="54"/>
        <v>170.23699763593382</v>
      </c>
      <c r="AG245">
        <f t="shared" si="55"/>
        <v>186.56382978723406</v>
      </c>
      <c r="AH245">
        <f t="shared" si="56"/>
        <v>0</v>
      </c>
      <c r="AI245">
        <f t="shared" si="63"/>
        <v>-2</v>
      </c>
      <c r="AJ245">
        <f t="shared" si="57"/>
        <v>0</v>
      </c>
      <c r="AK245">
        <f t="shared" si="58"/>
        <v>0</v>
      </c>
      <c r="AL245" t="e">
        <f t="shared" si="59"/>
        <v>#N/A</v>
      </c>
      <c r="AM245">
        <f t="shared" si="60"/>
        <v>-1</v>
      </c>
      <c r="AN245">
        <f t="shared" si="61"/>
        <v>0</v>
      </c>
      <c r="AO245">
        <f>_xlfn.PERCENTILE.INC(INDEX($W$4:$W$263,MATCH(SPC!$B$13,IF(Setup!$B$11="Weekly",'SPC Backing (Hide)'!$B$4:$B$263,'SPC Backing (Hide)'!$E$4:$E$263),0),1):INDEX($W$4:$W$263,MATCH(SPC!$B$14,IF(Setup!$B$11="Weekly",'SPC Backing (Hide)'!$B$4:$B$263,'SPC Backing (Hide)'!$E$4:$E$263),0),1),'SPC Backing (Hide)'!$AO$3)</f>
        <v>136.10000000000002</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5">
        <f t="shared" si="62"/>
        <v>33.44999999999996</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137.58333333333334</v>
      </c>
      <c r="Y246" cm="1">
        <f t="array" ref="Y246">ABS(INDEX($F$4:$U$263,ROW(A243),MATCH($X$2,$F$3:$U$3,0))-INDEX($F$4:$U$263,ROW(A242),MATCH($X$2,$F$3:$U$3,0)))</f>
        <v>0</v>
      </c>
      <c r="Z246">
        <f>AVERAGE(INDEX($Y$4:$Y$263,MATCH(SPC!$B$13,IF(Setup!$B$11="Weekly",'SPC Backing (Hide)'!$B$4:$B$263,'SPC Backing (Hide)'!$E$4:$E$263),0)):INDEX($Y$4:$Y$263,MATCH(SPC!$B$14,IF(Setup!$B$11="Weekly",'SPC Backing (Hide)'!$B$4:$B$263,'SPC Backing (Hide)'!$E$4:$E$263),0),1))</f>
        <v>18.416666666666668</v>
      </c>
      <c r="AA246">
        <f t="shared" si="49"/>
        <v>16.326832151300238</v>
      </c>
      <c r="AB246">
        <f t="shared" si="50"/>
        <v>88.60283687943263</v>
      </c>
      <c r="AC246">
        <f t="shared" si="51"/>
        <v>104.92966903073287</v>
      </c>
      <c r="AD246">
        <f t="shared" si="52"/>
        <v>121.25650118203311</v>
      </c>
      <c r="AE246">
        <f t="shared" si="53"/>
        <v>153.91016548463358</v>
      </c>
      <c r="AF246">
        <f t="shared" si="54"/>
        <v>170.23699763593382</v>
      </c>
      <c r="AG246">
        <f t="shared" si="55"/>
        <v>186.56382978723406</v>
      </c>
      <c r="AH246">
        <f t="shared" si="56"/>
        <v>0</v>
      </c>
      <c r="AI246">
        <f t="shared" si="63"/>
        <v>-2</v>
      </c>
      <c r="AJ246">
        <f t="shared" si="57"/>
        <v>0</v>
      </c>
      <c r="AK246">
        <f t="shared" si="58"/>
        <v>0</v>
      </c>
      <c r="AL246" t="e">
        <f t="shared" si="59"/>
        <v>#N/A</v>
      </c>
      <c r="AM246">
        <f t="shared" si="60"/>
        <v>-1</v>
      </c>
      <c r="AN246">
        <f t="shared" si="61"/>
        <v>0</v>
      </c>
      <c r="AO246">
        <f>_xlfn.PERCENTILE.INC(INDEX($W$4:$W$263,MATCH(SPC!$B$13,IF(Setup!$B$11="Weekly",'SPC Backing (Hide)'!$B$4:$B$263,'SPC Backing (Hide)'!$E$4:$E$263),0),1):INDEX($W$4:$W$263,MATCH(SPC!$B$14,IF(Setup!$B$11="Weekly",'SPC Backing (Hide)'!$B$4:$B$263,'SPC Backing (Hide)'!$E$4:$E$263),0),1),'SPC Backing (Hide)'!$AO$3)</f>
        <v>136.10000000000002</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6">
        <f t="shared" si="62"/>
        <v>33.44999999999996</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137.58333333333334</v>
      </c>
      <c r="Y247" cm="1">
        <f t="array" ref="Y247">ABS(INDEX($F$4:$U$263,ROW(A244),MATCH($X$2,$F$3:$U$3,0))-INDEX($F$4:$U$263,ROW(A243),MATCH($X$2,$F$3:$U$3,0)))</f>
        <v>0</v>
      </c>
      <c r="Z247">
        <f>AVERAGE(INDEX($Y$4:$Y$263,MATCH(SPC!$B$13,IF(Setup!$B$11="Weekly",'SPC Backing (Hide)'!$B$4:$B$263,'SPC Backing (Hide)'!$E$4:$E$263),0)):INDEX($Y$4:$Y$263,MATCH(SPC!$B$14,IF(Setup!$B$11="Weekly",'SPC Backing (Hide)'!$B$4:$B$263,'SPC Backing (Hide)'!$E$4:$E$263),0),1))</f>
        <v>18.416666666666668</v>
      </c>
      <c r="AA247">
        <f t="shared" si="49"/>
        <v>16.326832151300238</v>
      </c>
      <c r="AB247">
        <f t="shared" si="50"/>
        <v>88.60283687943263</v>
      </c>
      <c r="AC247">
        <f t="shared" si="51"/>
        <v>104.92966903073287</v>
      </c>
      <c r="AD247">
        <f t="shared" si="52"/>
        <v>121.25650118203311</v>
      </c>
      <c r="AE247">
        <f t="shared" si="53"/>
        <v>153.91016548463358</v>
      </c>
      <c r="AF247">
        <f t="shared" si="54"/>
        <v>170.23699763593382</v>
      </c>
      <c r="AG247">
        <f t="shared" si="55"/>
        <v>186.56382978723406</v>
      </c>
      <c r="AH247">
        <f t="shared" si="56"/>
        <v>0</v>
      </c>
      <c r="AI247">
        <f t="shared" si="63"/>
        <v>-2</v>
      </c>
      <c r="AJ247">
        <f t="shared" si="57"/>
        <v>0</v>
      </c>
      <c r="AK247">
        <f t="shared" si="58"/>
        <v>0</v>
      </c>
      <c r="AL247" t="e">
        <f t="shared" si="59"/>
        <v>#N/A</v>
      </c>
      <c r="AM247">
        <f t="shared" si="60"/>
        <v>-1</v>
      </c>
      <c r="AN247">
        <f t="shared" si="61"/>
        <v>0</v>
      </c>
      <c r="AO247">
        <f>_xlfn.PERCENTILE.INC(INDEX($W$4:$W$263,MATCH(SPC!$B$13,IF(Setup!$B$11="Weekly",'SPC Backing (Hide)'!$B$4:$B$263,'SPC Backing (Hide)'!$E$4:$E$263),0),1):INDEX($W$4:$W$263,MATCH(SPC!$B$14,IF(Setup!$B$11="Weekly",'SPC Backing (Hide)'!$B$4:$B$263,'SPC Backing (Hide)'!$E$4:$E$263),0),1),'SPC Backing (Hide)'!$AO$3)</f>
        <v>136.10000000000002</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7">
        <f t="shared" si="62"/>
        <v>33.44999999999996</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137.58333333333334</v>
      </c>
      <c r="Y248" cm="1">
        <f t="array" ref="Y248">ABS(INDEX($F$4:$U$263,ROW(A245),MATCH($X$2,$F$3:$U$3,0))-INDEX($F$4:$U$263,ROW(A244),MATCH($X$2,$F$3:$U$3,0)))</f>
        <v>0</v>
      </c>
      <c r="Z248">
        <f>AVERAGE(INDEX($Y$4:$Y$263,MATCH(SPC!$B$13,IF(Setup!$B$11="Weekly",'SPC Backing (Hide)'!$B$4:$B$263,'SPC Backing (Hide)'!$E$4:$E$263),0)):INDEX($Y$4:$Y$263,MATCH(SPC!$B$14,IF(Setup!$B$11="Weekly",'SPC Backing (Hide)'!$B$4:$B$263,'SPC Backing (Hide)'!$E$4:$E$263),0),1))</f>
        <v>18.416666666666668</v>
      </c>
      <c r="AA248">
        <f t="shared" si="49"/>
        <v>16.326832151300238</v>
      </c>
      <c r="AB248">
        <f t="shared" si="50"/>
        <v>88.60283687943263</v>
      </c>
      <c r="AC248">
        <f t="shared" si="51"/>
        <v>104.92966903073287</v>
      </c>
      <c r="AD248">
        <f t="shared" si="52"/>
        <v>121.25650118203311</v>
      </c>
      <c r="AE248">
        <f t="shared" si="53"/>
        <v>153.91016548463358</v>
      </c>
      <c r="AF248">
        <f t="shared" si="54"/>
        <v>170.23699763593382</v>
      </c>
      <c r="AG248">
        <f t="shared" si="55"/>
        <v>186.56382978723406</v>
      </c>
      <c r="AH248">
        <f t="shared" si="56"/>
        <v>0</v>
      </c>
      <c r="AI248">
        <f t="shared" si="63"/>
        <v>-2</v>
      </c>
      <c r="AJ248">
        <f t="shared" si="57"/>
        <v>0</v>
      </c>
      <c r="AK248">
        <f t="shared" si="58"/>
        <v>0</v>
      </c>
      <c r="AL248" t="e">
        <f t="shared" si="59"/>
        <v>#N/A</v>
      </c>
      <c r="AM248">
        <f t="shared" si="60"/>
        <v>-1</v>
      </c>
      <c r="AN248">
        <f t="shared" si="61"/>
        <v>0</v>
      </c>
      <c r="AO248">
        <f>_xlfn.PERCENTILE.INC(INDEX($W$4:$W$263,MATCH(SPC!$B$13,IF(Setup!$B$11="Weekly",'SPC Backing (Hide)'!$B$4:$B$263,'SPC Backing (Hide)'!$E$4:$E$263),0),1):INDEX($W$4:$W$263,MATCH(SPC!$B$14,IF(Setup!$B$11="Weekly",'SPC Backing (Hide)'!$B$4:$B$263,'SPC Backing (Hide)'!$E$4:$E$263),0),1),'SPC Backing (Hide)'!$AO$3)</f>
        <v>136.10000000000002</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8">
        <f t="shared" si="62"/>
        <v>33.44999999999996</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137.58333333333334</v>
      </c>
      <c r="Y249" cm="1">
        <f t="array" ref="Y249">ABS(INDEX($F$4:$U$263,ROW(A246),MATCH($X$2,$F$3:$U$3,0))-INDEX($F$4:$U$263,ROW(A245),MATCH($X$2,$F$3:$U$3,0)))</f>
        <v>0</v>
      </c>
      <c r="Z249">
        <f>AVERAGE(INDEX($Y$4:$Y$263,MATCH(SPC!$B$13,IF(Setup!$B$11="Weekly",'SPC Backing (Hide)'!$B$4:$B$263,'SPC Backing (Hide)'!$E$4:$E$263),0)):INDEX($Y$4:$Y$263,MATCH(SPC!$B$14,IF(Setup!$B$11="Weekly",'SPC Backing (Hide)'!$B$4:$B$263,'SPC Backing (Hide)'!$E$4:$E$263),0),1))</f>
        <v>18.416666666666668</v>
      </c>
      <c r="AA249">
        <f t="shared" si="49"/>
        <v>16.326832151300238</v>
      </c>
      <c r="AB249">
        <f t="shared" si="50"/>
        <v>88.60283687943263</v>
      </c>
      <c r="AC249">
        <f t="shared" si="51"/>
        <v>104.92966903073287</v>
      </c>
      <c r="AD249">
        <f t="shared" si="52"/>
        <v>121.25650118203311</v>
      </c>
      <c r="AE249">
        <f t="shared" si="53"/>
        <v>153.91016548463358</v>
      </c>
      <c r="AF249">
        <f t="shared" si="54"/>
        <v>170.23699763593382</v>
      </c>
      <c r="AG249">
        <f t="shared" si="55"/>
        <v>186.56382978723406</v>
      </c>
      <c r="AH249">
        <f t="shared" si="56"/>
        <v>0</v>
      </c>
      <c r="AI249">
        <f t="shared" si="63"/>
        <v>-2</v>
      </c>
      <c r="AJ249">
        <f t="shared" si="57"/>
        <v>0</v>
      </c>
      <c r="AK249">
        <f t="shared" si="58"/>
        <v>0</v>
      </c>
      <c r="AL249" t="e">
        <f t="shared" si="59"/>
        <v>#N/A</v>
      </c>
      <c r="AM249">
        <f t="shared" si="60"/>
        <v>-1</v>
      </c>
      <c r="AN249">
        <f t="shared" si="61"/>
        <v>0</v>
      </c>
      <c r="AO249">
        <f>_xlfn.PERCENTILE.INC(INDEX($W$4:$W$263,MATCH(SPC!$B$13,IF(Setup!$B$11="Weekly",'SPC Backing (Hide)'!$B$4:$B$263,'SPC Backing (Hide)'!$E$4:$E$263),0),1):INDEX($W$4:$W$263,MATCH(SPC!$B$14,IF(Setup!$B$11="Weekly",'SPC Backing (Hide)'!$B$4:$B$263,'SPC Backing (Hide)'!$E$4:$E$263),0),1),'SPC Backing (Hide)'!$AO$3)</f>
        <v>136.10000000000002</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49">
        <f t="shared" si="62"/>
        <v>33.44999999999996</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137.58333333333334</v>
      </c>
      <c r="Y250" cm="1">
        <f t="array" ref="Y250">ABS(INDEX($F$4:$U$263,ROW(A247),MATCH($X$2,$F$3:$U$3,0))-INDEX($F$4:$U$263,ROW(A246),MATCH($X$2,$F$3:$U$3,0)))</f>
        <v>0</v>
      </c>
      <c r="Z250">
        <f>AVERAGE(INDEX($Y$4:$Y$263,MATCH(SPC!$B$13,IF(Setup!$B$11="Weekly",'SPC Backing (Hide)'!$B$4:$B$263,'SPC Backing (Hide)'!$E$4:$E$263),0)):INDEX($Y$4:$Y$263,MATCH(SPC!$B$14,IF(Setup!$B$11="Weekly",'SPC Backing (Hide)'!$B$4:$B$263,'SPC Backing (Hide)'!$E$4:$E$263),0),1))</f>
        <v>18.416666666666668</v>
      </c>
      <c r="AA250">
        <f t="shared" si="49"/>
        <v>16.326832151300238</v>
      </c>
      <c r="AB250">
        <f t="shared" si="50"/>
        <v>88.60283687943263</v>
      </c>
      <c r="AC250">
        <f t="shared" si="51"/>
        <v>104.92966903073287</v>
      </c>
      <c r="AD250">
        <f t="shared" si="52"/>
        <v>121.25650118203311</v>
      </c>
      <c r="AE250">
        <f t="shared" si="53"/>
        <v>153.91016548463358</v>
      </c>
      <c r="AF250">
        <f t="shared" si="54"/>
        <v>170.23699763593382</v>
      </c>
      <c r="AG250">
        <f t="shared" si="55"/>
        <v>186.56382978723406</v>
      </c>
      <c r="AH250">
        <f t="shared" si="56"/>
        <v>0</v>
      </c>
      <c r="AI250">
        <f t="shared" si="63"/>
        <v>-2</v>
      </c>
      <c r="AJ250">
        <f t="shared" si="57"/>
        <v>0</v>
      </c>
      <c r="AK250">
        <f t="shared" si="58"/>
        <v>0</v>
      </c>
      <c r="AL250" t="e">
        <f t="shared" si="59"/>
        <v>#N/A</v>
      </c>
      <c r="AM250">
        <f t="shared" si="60"/>
        <v>-1</v>
      </c>
      <c r="AN250">
        <f t="shared" si="61"/>
        <v>0</v>
      </c>
      <c r="AO250">
        <f>_xlfn.PERCENTILE.INC(INDEX($W$4:$W$263,MATCH(SPC!$B$13,IF(Setup!$B$11="Weekly",'SPC Backing (Hide)'!$B$4:$B$263,'SPC Backing (Hide)'!$E$4:$E$263),0),1):INDEX($W$4:$W$263,MATCH(SPC!$B$14,IF(Setup!$B$11="Weekly",'SPC Backing (Hide)'!$B$4:$B$263,'SPC Backing (Hide)'!$E$4:$E$263),0),1),'SPC Backing (Hide)'!$AO$3)</f>
        <v>136.10000000000002</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0">
        <f t="shared" si="62"/>
        <v>33.44999999999996</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137.58333333333334</v>
      </c>
      <c r="Y251" cm="1">
        <f t="array" ref="Y251">ABS(INDEX($F$4:$U$263,ROW(A248),MATCH($X$2,$F$3:$U$3,0))-INDEX($F$4:$U$263,ROW(A247),MATCH($X$2,$F$3:$U$3,0)))</f>
        <v>0</v>
      </c>
      <c r="Z251">
        <f>AVERAGE(INDEX($Y$4:$Y$263,MATCH(SPC!$B$13,IF(Setup!$B$11="Weekly",'SPC Backing (Hide)'!$B$4:$B$263,'SPC Backing (Hide)'!$E$4:$E$263),0)):INDEX($Y$4:$Y$263,MATCH(SPC!$B$14,IF(Setup!$B$11="Weekly",'SPC Backing (Hide)'!$B$4:$B$263,'SPC Backing (Hide)'!$E$4:$E$263),0),1))</f>
        <v>18.416666666666668</v>
      </c>
      <c r="AA251">
        <f t="shared" si="49"/>
        <v>16.326832151300238</v>
      </c>
      <c r="AB251">
        <f t="shared" si="50"/>
        <v>88.60283687943263</v>
      </c>
      <c r="AC251">
        <f t="shared" si="51"/>
        <v>104.92966903073287</v>
      </c>
      <c r="AD251">
        <f t="shared" si="52"/>
        <v>121.25650118203311</v>
      </c>
      <c r="AE251">
        <f t="shared" si="53"/>
        <v>153.91016548463358</v>
      </c>
      <c r="AF251">
        <f t="shared" si="54"/>
        <v>170.23699763593382</v>
      </c>
      <c r="AG251">
        <f t="shared" si="55"/>
        <v>186.56382978723406</v>
      </c>
      <c r="AH251">
        <f t="shared" si="56"/>
        <v>0</v>
      </c>
      <c r="AI251">
        <f t="shared" si="63"/>
        <v>-2</v>
      </c>
      <c r="AJ251">
        <f t="shared" si="57"/>
        <v>0</v>
      </c>
      <c r="AK251">
        <f t="shared" si="58"/>
        <v>0</v>
      </c>
      <c r="AL251" t="e">
        <f t="shared" si="59"/>
        <v>#N/A</v>
      </c>
      <c r="AM251">
        <f t="shared" si="60"/>
        <v>-1</v>
      </c>
      <c r="AN251">
        <f t="shared" si="61"/>
        <v>0</v>
      </c>
      <c r="AO251">
        <f>_xlfn.PERCENTILE.INC(INDEX($W$4:$W$263,MATCH(SPC!$B$13,IF(Setup!$B$11="Weekly",'SPC Backing (Hide)'!$B$4:$B$263,'SPC Backing (Hide)'!$E$4:$E$263),0),1):INDEX($W$4:$W$263,MATCH(SPC!$B$14,IF(Setup!$B$11="Weekly",'SPC Backing (Hide)'!$B$4:$B$263,'SPC Backing (Hide)'!$E$4:$E$263),0),1),'SPC Backing (Hide)'!$AO$3)</f>
        <v>136.10000000000002</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1">
        <f t="shared" si="62"/>
        <v>33.44999999999996</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137.58333333333334</v>
      </c>
      <c r="Y252" cm="1">
        <f t="array" ref="Y252">ABS(INDEX($F$4:$U$263,ROW(A249),MATCH($X$2,$F$3:$U$3,0))-INDEX($F$4:$U$263,ROW(A248),MATCH($X$2,$F$3:$U$3,0)))</f>
        <v>0</v>
      </c>
      <c r="Z252">
        <f>AVERAGE(INDEX($Y$4:$Y$263,MATCH(SPC!$B$13,IF(Setup!$B$11="Weekly",'SPC Backing (Hide)'!$B$4:$B$263,'SPC Backing (Hide)'!$E$4:$E$263),0)):INDEX($Y$4:$Y$263,MATCH(SPC!$B$14,IF(Setup!$B$11="Weekly",'SPC Backing (Hide)'!$B$4:$B$263,'SPC Backing (Hide)'!$E$4:$E$263),0),1))</f>
        <v>18.416666666666668</v>
      </c>
      <c r="AA252">
        <f t="shared" si="49"/>
        <v>16.326832151300238</v>
      </c>
      <c r="AB252">
        <f t="shared" si="50"/>
        <v>88.60283687943263</v>
      </c>
      <c r="AC252">
        <f t="shared" si="51"/>
        <v>104.92966903073287</v>
      </c>
      <c r="AD252">
        <f t="shared" si="52"/>
        <v>121.25650118203311</v>
      </c>
      <c r="AE252">
        <f t="shared" si="53"/>
        <v>153.91016548463358</v>
      </c>
      <c r="AF252">
        <f t="shared" si="54"/>
        <v>170.23699763593382</v>
      </c>
      <c r="AG252">
        <f t="shared" si="55"/>
        <v>186.56382978723406</v>
      </c>
      <c r="AH252">
        <f t="shared" si="56"/>
        <v>0</v>
      </c>
      <c r="AI252">
        <f t="shared" si="63"/>
        <v>-2</v>
      </c>
      <c r="AJ252">
        <f t="shared" si="57"/>
        <v>0</v>
      </c>
      <c r="AK252">
        <f t="shared" si="58"/>
        <v>0</v>
      </c>
      <c r="AL252" t="e">
        <f t="shared" si="59"/>
        <v>#N/A</v>
      </c>
      <c r="AM252">
        <f t="shared" si="60"/>
        <v>-1</v>
      </c>
      <c r="AN252">
        <f t="shared" si="61"/>
        <v>0</v>
      </c>
      <c r="AO252">
        <f>_xlfn.PERCENTILE.INC(INDEX($W$4:$W$263,MATCH(SPC!$B$13,IF(Setup!$B$11="Weekly",'SPC Backing (Hide)'!$B$4:$B$263,'SPC Backing (Hide)'!$E$4:$E$263),0),1):INDEX($W$4:$W$263,MATCH(SPC!$B$14,IF(Setup!$B$11="Weekly",'SPC Backing (Hide)'!$B$4:$B$263,'SPC Backing (Hide)'!$E$4:$E$263),0),1),'SPC Backing (Hide)'!$AO$3)</f>
        <v>136.10000000000002</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2">
        <f t="shared" si="62"/>
        <v>33.44999999999996</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137.58333333333334</v>
      </c>
      <c r="Y253" cm="1">
        <f t="array" ref="Y253">ABS(INDEX($F$4:$U$263,ROW(A250),MATCH($X$2,$F$3:$U$3,0))-INDEX($F$4:$U$263,ROW(A249),MATCH($X$2,$F$3:$U$3,0)))</f>
        <v>0</v>
      </c>
      <c r="Z253">
        <f>AVERAGE(INDEX($Y$4:$Y$263,MATCH(SPC!$B$13,IF(Setup!$B$11="Weekly",'SPC Backing (Hide)'!$B$4:$B$263,'SPC Backing (Hide)'!$E$4:$E$263),0)):INDEX($Y$4:$Y$263,MATCH(SPC!$B$14,IF(Setup!$B$11="Weekly",'SPC Backing (Hide)'!$B$4:$B$263,'SPC Backing (Hide)'!$E$4:$E$263),0),1))</f>
        <v>18.416666666666668</v>
      </c>
      <c r="AA253">
        <f t="shared" si="49"/>
        <v>16.326832151300238</v>
      </c>
      <c r="AB253">
        <f t="shared" si="50"/>
        <v>88.60283687943263</v>
      </c>
      <c r="AC253">
        <f t="shared" si="51"/>
        <v>104.92966903073287</v>
      </c>
      <c r="AD253">
        <f t="shared" si="52"/>
        <v>121.25650118203311</v>
      </c>
      <c r="AE253">
        <f t="shared" si="53"/>
        <v>153.91016548463358</v>
      </c>
      <c r="AF253">
        <f t="shared" si="54"/>
        <v>170.23699763593382</v>
      </c>
      <c r="AG253">
        <f t="shared" si="55"/>
        <v>186.56382978723406</v>
      </c>
      <c r="AH253">
        <f t="shared" si="56"/>
        <v>0</v>
      </c>
      <c r="AI253">
        <f t="shared" si="63"/>
        <v>-2</v>
      </c>
      <c r="AJ253">
        <f t="shared" si="57"/>
        <v>0</v>
      </c>
      <c r="AK253">
        <f t="shared" si="58"/>
        <v>0</v>
      </c>
      <c r="AL253" t="e">
        <f t="shared" si="59"/>
        <v>#N/A</v>
      </c>
      <c r="AM253">
        <f t="shared" si="60"/>
        <v>-1</v>
      </c>
      <c r="AN253">
        <f t="shared" si="61"/>
        <v>0</v>
      </c>
      <c r="AO253">
        <f>_xlfn.PERCENTILE.INC(INDEX($W$4:$W$263,MATCH(SPC!$B$13,IF(Setup!$B$11="Weekly",'SPC Backing (Hide)'!$B$4:$B$263,'SPC Backing (Hide)'!$E$4:$E$263),0),1):INDEX($W$4:$W$263,MATCH(SPC!$B$14,IF(Setup!$B$11="Weekly",'SPC Backing (Hide)'!$B$4:$B$263,'SPC Backing (Hide)'!$E$4:$E$263),0),1),'SPC Backing (Hide)'!$AO$3)</f>
        <v>136.10000000000002</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3">
        <f t="shared" si="62"/>
        <v>33.44999999999996</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137.58333333333334</v>
      </c>
      <c r="Y254" cm="1">
        <f t="array" ref="Y254">ABS(INDEX($F$4:$U$263,ROW(A251),MATCH($X$2,$F$3:$U$3,0))-INDEX($F$4:$U$263,ROW(A250),MATCH($X$2,$F$3:$U$3,0)))</f>
        <v>0</v>
      </c>
      <c r="Z254">
        <f>AVERAGE(INDEX($Y$4:$Y$263,MATCH(SPC!$B$13,IF(Setup!$B$11="Weekly",'SPC Backing (Hide)'!$B$4:$B$263,'SPC Backing (Hide)'!$E$4:$E$263),0)):INDEX($Y$4:$Y$263,MATCH(SPC!$B$14,IF(Setup!$B$11="Weekly",'SPC Backing (Hide)'!$B$4:$B$263,'SPC Backing (Hide)'!$E$4:$E$263),0),1))</f>
        <v>18.416666666666668</v>
      </c>
      <c r="AA254">
        <f t="shared" si="49"/>
        <v>16.326832151300238</v>
      </c>
      <c r="AB254">
        <f t="shared" si="50"/>
        <v>88.60283687943263</v>
      </c>
      <c r="AC254">
        <f t="shared" si="51"/>
        <v>104.92966903073287</v>
      </c>
      <c r="AD254">
        <f t="shared" si="52"/>
        <v>121.25650118203311</v>
      </c>
      <c r="AE254">
        <f t="shared" si="53"/>
        <v>153.91016548463358</v>
      </c>
      <c r="AF254">
        <f t="shared" si="54"/>
        <v>170.23699763593382</v>
      </c>
      <c r="AG254">
        <f t="shared" si="55"/>
        <v>186.56382978723406</v>
      </c>
      <c r="AH254">
        <f t="shared" si="56"/>
        <v>0</v>
      </c>
      <c r="AI254">
        <f t="shared" si="63"/>
        <v>-2</v>
      </c>
      <c r="AJ254">
        <f t="shared" si="57"/>
        <v>0</v>
      </c>
      <c r="AK254">
        <f t="shared" si="58"/>
        <v>0</v>
      </c>
      <c r="AL254" t="e">
        <f t="shared" si="59"/>
        <v>#N/A</v>
      </c>
      <c r="AM254">
        <f t="shared" si="60"/>
        <v>-1</v>
      </c>
      <c r="AN254">
        <f t="shared" si="61"/>
        <v>0</v>
      </c>
      <c r="AO254">
        <f>_xlfn.PERCENTILE.INC(INDEX($W$4:$W$263,MATCH(SPC!$B$13,IF(Setup!$B$11="Weekly",'SPC Backing (Hide)'!$B$4:$B$263,'SPC Backing (Hide)'!$E$4:$E$263),0),1):INDEX($W$4:$W$263,MATCH(SPC!$B$14,IF(Setup!$B$11="Weekly",'SPC Backing (Hide)'!$B$4:$B$263,'SPC Backing (Hide)'!$E$4:$E$263),0),1),'SPC Backing (Hide)'!$AO$3)</f>
        <v>136.10000000000002</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4">
        <f t="shared" si="62"/>
        <v>33.44999999999996</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137.58333333333334</v>
      </c>
      <c r="Y255" cm="1">
        <f t="array" ref="Y255">ABS(INDEX($F$4:$U$263,ROW(A252),MATCH($X$2,$F$3:$U$3,0))-INDEX($F$4:$U$263,ROW(A251),MATCH($X$2,$F$3:$U$3,0)))</f>
        <v>0</v>
      </c>
      <c r="Z255">
        <f>AVERAGE(INDEX($Y$4:$Y$263,MATCH(SPC!$B$13,IF(Setup!$B$11="Weekly",'SPC Backing (Hide)'!$B$4:$B$263,'SPC Backing (Hide)'!$E$4:$E$263),0)):INDEX($Y$4:$Y$263,MATCH(SPC!$B$14,IF(Setup!$B$11="Weekly",'SPC Backing (Hide)'!$B$4:$B$263,'SPC Backing (Hide)'!$E$4:$E$263),0),1))</f>
        <v>18.416666666666668</v>
      </c>
      <c r="AA255">
        <f t="shared" si="49"/>
        <v>16.326832151300238</v>
      </c>
      <c r="AB255">
        <f t="shared" si="50"/>
        <v>88.60283687943263</v>
      </c>
      <c r="AC255">
        <f t="shared" si="51"/>
        <v>104.92966903073287</v>
      </c>
      <c r="AD255">
        <f t="shared" si="52"/>
        <v>121.25650118203311</v>
      </c>
      <c r="AE255">
        <f t="shared" si="53"/>
        <v>153.91016548463358</v>
      </c>
      <c r="AF255">
        <f t="shared" si="54"/>
        <v>170.23699763593382</v>
      </c>
      <c r="AG255">
        <f t="shared" si="55"/>
        <v>186.56382978723406</v>
      </c>
      <c r="AH255">
        <f t="shared" si="56"/>
        <v>0</v>
      </c>
      <c r="AI255">
        <f t="shared" si="63"/>
        <v>-2</v>
      </c>
      <c r="AJ255">
        <f t="shared" si="57"/>
        <v>0</v>
      </c>
      <c r="AK255">
        <f t="shared" si="58"/>
        <v>0</v>
      </c>
      <c r="AL255" t="e">
        <f t="shared" si="59"/>
        <v>#N/A</v>
      </c>
      <c r="AM255">
        <f t="shared" si="60"/>
        <v>-1</v>
      </c>
      <c r="AN255">
        <f t="shared" si="61"/>
        <v>0</v>
      </c>
      <c r="AO255">
        <f>_xlfn.PERCENTILE.INC(INDEX($W$4:$W$263,MATCH(SPC!$B$13,IF(Setup!$B$11="Weekly",'SPC Backing (Hide)'!$B$4:$B$263,'SPC Backing (Hide)'!$E$4:$E$263),0),1):INDEX($W$4:$W$263,MATCH(SPC!$B$14,IF(Setup!$B$11="Weekly",'SPC Backing (Hide)'!$B$4:$B$263,'SPC Backing (Hide)'!$E$4:$E$263),0),1),'SPC Backing (Hide)'!$AO$3)</f>
        <v>136.10000000000002</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5">
        <f t="shared" si="62"/>
        <v>33.44999999999996</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137.58333333333334</v>
      </c>
      <c r="Y256" cm="1">
        <f t="array" ref="Y256">ABS(INDEX($F$4:$U$263,ROW(A253),MATCH($X$2,$F$3:$U$3,0))-INDEX($F$4:$U$263,ROW(A252),MATCH($X$2,$F$3:$U$3,0)))</f>
        <v>0</v>
      </c>
      <c r="Z256">
        <f>AVERAGE(INDEX($Y$4:$Y$263,MATCH(SPC!$B$13,IF(Setup!$B$11="Weekly",'SPC Backing (Hide)'!$B$4:$B$263,'SPC Backing (Hide)'!$E$4:$E$263),0)):INDEX($Y$4:$Y$263,MATCH(SPC!$B$14,IF(Setup!$B$11="Weekly",'SPC Backing (Hide)'!$B$4:$B$263,'SPC Backing (Hide)'!$E$4:$E$263),0),1))</f>
        <v>18.416666666666668</v>
      </c>
      <c r="AA256">
        <f t="shared" si="49"/>
        <v>16.326832151300238</v>
      </c>
      <c r="AB256">
        <f t="shared" si="50"/>
        <v>88.60283687943263</v>
      </c>
      <c r="AC256">
        <f t="shared" si="51"/>
        <v>104.92966903073287</v>
      </c>
      <c r="AD256">
        <f t="shared" si="52"/>
        <v>121.25650118203311</v>
      </c>
      <c r="AE256">
        <f t="shared" si="53"/>
        <v>153.91016548463358</v>
      </c>
      <c r="AF256">
        <f t="shared" si="54"/>
        <v>170.23699763593382</v>
      </c>
      <c r="AG256">
        <f t="shared" si="55"/>
        <v>186.56382978723406</v>
      </c>
      <c r="AH256">
        <f t="shared" si="56"/>
        <v>0</v>
      </c>
      <c r="AI256">
        <f t="shared" si="63"/>
        <v>-2</v>
      </c>
      <c r="AJ256">
        <f t="shared" si="57"/>
        <v>0</v>
      </c>
      <c r="AK256">
        <f t="shared" si="58"/>
        <v>0</v>
      </c>
      <c r="AL256" t="e">
        <f t="shared" si="59"/>
        <v>#N/A</v>
      </c>
      <c r="AM256">
        <f t="shared" si="60"/>
        <v>-1</v>
      </c>
      <c r="AN256" t="e">
        <f t="shared" si="61"/>
        <v>#N/A</v>
      </c>
      <c r="AO256">
        <f>_xlfn.PERCENTILE.INC(INDEX($W$4:$W$263,MATCH(SPC!$B$13,IF(Setup!$B$11="Weekly",'SPC Backing (Hide)'!$B$4:$B$263,'SPC Backing (Hide)'!$E$4:$E$263),0),1):INDEX($W$4:$W$263,MATCH(SPC!$B$14,IF(Setup!$B$11="Weekly",'SPC Backing (Hide)'!$B$4:$B$263,'SPC Backing (Hide)'!$E$4:$E$263),0),1),'SPC Backing (Hide)'!$AO$3)</f>
        <v>136.10000000000002</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6">
        <f t="shared" si="62"/>
        <v>33.44999999999996</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137.58333333333334</v>
      </c>
      <c r="Y257" cm="1">
        <f t="array" ref="Y257">ABS(INDEX($F$4:$U$263,ROW(A254),MATCH($X$2,$F$3:$U$3,0))-INDEX($F$4:$U$263,ROW(A253),MATCH($X$2,$F$3:$U$3,0)))</f>
        <v>0</v>
      </c>
      <c r="Z257">
        <f>AVERAGE(INDEX($Y$4:$Y$263,MATCH(SPC!$B$13,IF(Setup!$B$11="Weekly",'SPC Backing (Hide)'!$B$4:$B$263,'SPC Backing (Hide)'!$E$4:$E$263),0)):INDEX($Y$4:$Y$263,MATCH(SPC!$B$14,IF(Setup!$B$11="Weekly",'SPC Backing (Hide)'!$B$4:$B$263,'SPC Backing (Hide)'!$E$4:$E$263),0),1))</f>
        <v>18.416666666666668</v>
      </c>
      <c r="AA257">
        <f t="shared" si="49"/>
        <v>16.326832151300238</v>
      </c>
      <c r="AB257">
        <f t="shared" si="50"/>
        <v>88.60283687943263</v>
      </c>
      <c r="AC257">
        <f t="shared" si="51"/>
        <v>104.92966903073287</v>
      </c>
      <c r="AD257">
        <f t="shared" si="52"/>
        <v>121.25650118203311</v>
      </c>
      <c r="AE257">
        <f t="shared" si="53"/>
        <v>153.91016548463358</v>
      </c>
      <c r="AF257">
        <f t="shared" si="54"/>
        <v>170.23699763593382</v>
      </c>
      <c r="AG257">
        <f t="shared" si="55"/>
        <v>186.56382978723406</v>
      </c>
      <c r="AH257">
        <f t="shared" si="56"/>
        <v>0</v>
      </c>
      <c r="AI257">
        <f t="shared" si="63"/>
        <v>-2</v>
      </c>
      <c r="AJ257">
        <f t="shared" si="57"/>
        <v>0</v>
      </c>
      <c r="AK257">
        <f t="shared" si="58"/>
        <v>0</v>
      </c>
      <c r="AL257" t="e">
        <f t="shared" si="59"/>
        <v>#N/A</v>
      </c>
      <c r="AM257">
        <f t="shared" si="60"/>
        <v>-1</v>
      </c>
      <c r="AN257" t="e">
        <f t="shared" si="61"/>
        <v>#N/A</v>
      </c>
      <c r="AO257">
        <f>_xlfn.PERCENTILE.INC(INDEX($W$4:$W$263,MATCH(SPC!$B$13,IF(Setup!$B$11="Weekly",'SPC Backing (Hide)'!$B$4:$B$263,'SPC Backing (Hide)'!$E$4:$E$263),0),1):INDEX($W$4:$W$263,MATCH(SPC!$B$14,IF(Setup!$B$11="Weekly",'SPC Backing (Hide)'!$B$4:$B$263,'SPC Backing (Hide)'!$E$4:$E$263),0),1),'SPC Backing (Hide)'!$AO$3)</f>
        <v>136.10000000000002</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7">
        <f t="shared" si="62"/>
        <v>33.44999999999996</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137.58333333333334</v>
      </c>
      <c r="Y258" cm="1">
        <f t="array" ref="Y258">ABS(INDEX($F$4:$U$263,ROW(A255),MATCH($X$2,$F$3:$U$3,0))-INDEX($F$4:$U$263,ROW(A254),MATCH($X$2,$F$3:$U$3,0)))</f>
        <v>0</v>
      </c>
      <c r="Z258">
        <f>AVERAGE(INDEX($Y$4:$Y$263,MATCH(SPC!$B$13,IF(Setup!$B$11="Weekly",'SPC Backing (Hide)'!$B$4:$B$263,'SPC Backing (Hide)'!$E$4:$E$263),0)):INDEX($Y$4:$Y$263,MATCH(SPC!$B$14,IF(Setup!$B$11="Weekly",'SPC Backing (Hide)'!$B$4:$B$263,'SPC Backing (Hide)'!$E$4:$E$263),0),1))</f>
        <v>18.416666666666668</v>
      </c>
      <c r="AA258">
        <f t="shared" si="49"/>
        <v>16.326832151300238</v>
      </c>
      <c r="AB258">
        <f t="shared" si="50"/>
        <v>88.60283687943263</v>
      </c>
      <c r="AC258">
        <f t="shared" si="51"/>
        <v>104.92966903073287</v>
      </c>
      <c r="AD258">
        <f t="shared" si="52"/>
        <v>121.25650118203311</v>
      </c>
      <c r="AE258">
        <f t="shared" si="53"/>
        <v>153.91016548463358</v>
      </c>
      <c r="AF258">
        <f t="shared" si="54"/>
        <v>170.23699763593382</v>
      </c>
      <c r="AG258">
        <f t="shared" si="55"/>
        <v>186.56382978723406</v>
      </c>
      <c r="AH258">
        <f t="shared" si="56"/>
        <v>0</v>
      </c>
      <c r="AI258">
        <f t="shared" si="63"/>
        <v>-2</v>
      </c>
      <c r="AJ258">
        <f t="shared" si="57"/>
        <v>0</v>
      </c>
      <c r="AK258">
        <f t="shared" si="58"/>
        <v>0</v>
      </c>
      <c r="AL258" t="e">
        <f t="shared" si="59"/>
        <v>#N/A</v>
      </c>
      <c r="AM258">
        <f t="shared" si="60"/>
        <v>-1</v>
      </c>
      <c r="AN258" t="e">
        <f t="shared" si="61"/>
        <v>#N/A</v>
      </c>
      <c r="AO258">
        <f>_xlfn.PERCENTILE.INC(INDEX($W$4:$W$263,MATCH(SPC!$B$13,IF(Setup!$B$11="Weekly",'SPC Backing (Hide)'!$B$4:$B$263,'SPC Backing (Hide)'!$E$4:$E$263),0),1):INDEX($W$4:$W$263,MATCH(SPC!$B$14,IF(Setup!$B$11="Weekly",'SPC Backing (Hide)'!$B$4:$B$263,'SPC Backing (Hide)'!$E$4:$E$263),0),1),'SPC Backing (Hide)'!$AO$3)</f>
        <v>136.10000000000002</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8">
        <f t="shared" si="62"/>
        <v>33.44999999999996</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137.58333333333334</v>
      </c>
      <c r="Y259" cm="1">
        <f t="array" ref="Y259">ABS(INDEX($F$4:$U$263,ROW(A256),MATCH($X$2,$F$3:$U$3,0))-INDEX($F$4:$U$263,ROW(A255),MATCH($X$2,$F$3:$U$3,0)))</f>
        <v>0</v>
      </c>
      <c r="Z259">
        <f>AVERAGE(INDEX($Y$4:$Y$263,MATCH(SPC!$B$13,IF(Setup!$B$11="Weekly",'SPC Backing (Hide)'!$B$4:$B$263,'SPC Backing (Hide)'!$E$4:$E$263),0)):INDEX($Y$4:$Y$263,MATCH(SPC!$B$14,IF(Setup!$B$11="Weekly",'SPC Backing (Hide)'!$B$4:$B$263,'SPC Backing (Hide)'!$E$4:$E$263),0),1))</f>
        <v>18.416666666666668</v>
      </c>
      <c r="AA259">
        <f t="shared" si="49"/>
        <v>16.326832151300238</v>
      </c>
      <c r="AB259">
        <f t="shared" si="50"/>
        <v>88.60283687943263</v>
      </c>
      <c r="AC259">
        <f t="shared" si="51"/>
        <v>104.92966903073287</v>
      </c>
      <c r="AD259">
        <f t="shared" si="52"/>
        <v>121.25650118203311</v>
      </c>
      <c r="AE259">
        <f t="shared" si="53"/>
        <v>153.91016548463358</v>
      </c>
      <c r="AF259">
        <f t="shared" si="54"/>
        <v>170.23699763593382</v>
      </c>
      <c r="AG259">
        <f t="shared" si="55"/>
        <v>186.56382978723406</v>
      </c>
      <c r="AH259">
        <f t="shared" si="56"/>
        <v>0</v>
      </c>
      <c r="AI259">
        <f t="shared" si="63"/>
        <v>-2</v>
      </c>
      <c r="AJ259">
        <f t="shared" si="57"/>
        <v>0</v>
      </c>
      <c r="AK259">
        <f t="shared" si="58"/>
        <v>0</v>
      </c>
      <c r="AL259" t="e">
        <f t="shared" si="59"/>
        <v>#N/A</v>
      </c>
      <c r="AM259">
        <f t="shared" si="60"/>
        <v>-1</v>
      </c>
      <c r="AN259" t="e">
        <f t="shared" si="61"/>
        <v>#N/A</v>
      </c>
      <c r="AO259">
        <f>_xlfn.PERCENTILE.INC(INDEX($W$4:$W$263,MATCH(SPC!$B$13,IF(Setup!$B$11="Weekly",'SPC Backing (Hide)'!$B$4:$B$263,'SPC Backing (Hide)'!$E$4:$E$263),0),1):INDEX($W$4:$W$263,MATCH(SPC!$B$14,IF(Setup!$B$11="Weekly",'SPC Backing (Hide)'!$B$4:$B$263,'SPC Backing (Hide)'!$E$4:$E$263),0),1),'SPC Backing (Hide)'!$AO$3)</f>
        <v>136.10000000000002</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59">
        <f t="shared" si="62"/>
        <v>33.44999999999996</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137.58333333333334</v>
      </c>
      <c r="Y260" cm="1">
        <f t="array" ref="Y260">ABS(INDEX($F$4:$U$263,ROW(A257),MATCH($X$2,$F$3:$U$3,0))-INDEX($F$4:$U$263,ROW(A256),MATCH($X$2,$F$3:$U$3,0)))</f>
        <v>0</v>
      </c>
      <c r="Z260">
        <f>AVERAGE(INDEX($Y$4:$Y$263,MATCH(SPC!$B$13,IF(Setup!$B$11="Weekly",'SPC Backing (Hide)'!$B$4:$B$263,'SPC Backing (Hide)'!$E$4:$E$263),0)):INDEX($Y$4:$Y$263,MATCH(SPC!$B$14,IF(Setup!$B$11="Weekly",'SPC Backing (Hide)'!$B$4:$B$263,'SPC Backing (Hide)'!$E$4:$E$263),0),1))</f>
        <v>18.416666666666668</v>
      </c>
      <c r="AA260">
        <f t="shared" si="49"/>
        <v>16.326832151300238</v>
      </c>
      <c r="AB260">
        <f t="shared" si="50"/>
        <v>88.60283687943263</v>
      </c>
      <c r="AC260">
        <f t="shared" si="51"/>
        <v>104.92966903073287</v>
      </c>
      <c r="AD260">
        <f t="shared" si="52"/>
        <v>121.25650118203311</v>
      </c>
      <c r="AE260">
        <f t="shared" si="53"/>
        <v>153.91016548463358</v>
      </c>
      <c r="AF260">
        <f t="shared" si="54"/>
        <v>170.23699763593382</v>
      </c>
      <c r="AG260">
        <f t="shared" si="55"/>
        <v>186.56382978723406</v>
      </c>
      <c r="AH260">
        <f t="shared" si="56"/>
        <v>0</v>
      </c>
      <c r="AI260">
        <f t="shared" si="63"/>
        <v>-2</v>
      </c>
      <c r="AJ260">
        <f t="shared" si="57"/>
        <v>0</v>
      </c>
      <c r="AK260">
        <f t="shared" si="58"/>
        <v>0</v>
      </c>
      <c r="AL260" t="e">
        <f t="shared" si="59"/>
        <v>#N/A</v>
      </c>
      <c r="AM260">
        <f t="shared" si="60"/>
        <v>-1</v>
      </c>
      <c r="AN260" t="e">
        <f t="shared" si="61"/>
        <v>#N/A</v>
      </c>
      <c r="AO260">
        <f>_xlfn.PERCENTILE.INC(INDEX($W$4:$W$263,MATCH(SPC!$B$13,IF(Setup!$B$11="Weekly",'SPC Backing (Hide)'!$B$4:$B$263,'SPC Backing (Hide)'!$E$4:$E$263),0),1):INDEX($W$4:$W$263,MATCH(SPC!$B$14,IF(Setup!$B$11="Weekly",'SPC Backing (Hide)'!$B$4:$B$263,'SPC Backing (Hide)'!$E$4:$E$263),0),1),'SPC Backing (Hide)'!$AO$3)</f>
        <v>136.10000000000002</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0">
        <f t="shared" si="62"/>
        <v>33.44999999999996</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137.58333333333334</v>
      </c>
      <c r="Y261" cm="1">
        <f t="array" ref="Y261">ABS(INDEX($F$4:$U$263,ROW(A258),MATCH($X$2,$F$3:$U$3,0))-INDEX($F$4:$U$263,ROW(A257),MATCH($X$2,$F$3:$U$3,0)))</f>
        <v>0</v>
      </c>
      <c r="Z261">
        <f>AVERAGE(INDEX($Y$4:$Y$263,MATCH(SPC!$B$13,IF(Setup!$B$11="Weekly",'SPC Backing (Hide)'!$B$4:$B$263,'SPC Backing (Hide)'!$E$4:$E$263),0)):INDEX($Y$4:$Y$263,MATCH(SPC!$B$14,IF(Setup!$B$11="Weekly",'SPC Backing (Hide)'!$B$4:$B$263,'SPC Backing (Hide)'!$E$4:$E$263),0),1))</f>
        <v>18.416666666666668</v>
      </c>
      <c r="AA261">
        <f>Z261/1.128</f>
        <v>16.326832151300238</v>
      </c>
      <c r="AB261">
        <f>MAX(0,X261-(3*AA261))</f>
        <v>88.60283687943263</v>
      </c>
      <c r="AC261">
        <f>MAX(0,X261-(2*AA261))</f>
        <v>104.92966903073287</v>
      </c>
      <c r="AD261">
        <f>MAX(0,X261-AA261)</f>
        <v>121.25650118203311</v>
      </c>
      <c r="AE261">
        <f>X261+AA261</f>
        <v>153.91016548463358</v>
      </c>
      <c r="AF261">
        <f>X261+(2*AA261)</f>
        <v>170.23699763593382</v>
      </c>
      <c r="AG261">
        <f>X261+(3*AA261)</f>
        <v>186.56382978723406</v>
      </c>
      <c r="AH261">
        <f>IF(OR(W261&gt;AG261,W261&lt;AB261),W261,NA())</f>
        <v>0</v>
      </c>
      <c r="AI261">
        <f t="shared" si="63"/>
        <v>-2</v>
      </c>
      <c r="AJ261">
        <f>IF(ABS(SUM(AI261:AI263))&gt;=5,W261,NA())</f>
        <v>0</v>
      </c>
      <c r="AK261">
        <f>IF(W262&gt;W261,1,IF(W262&lt;W261,-1,0))</f>
        <v>0</v>
      </c>
      <c r="AL261" t="e">
        <f>IF(ABS(SUM(AK261:AK266))=6,W261,NA())</f>
        <v>#N/A</v>
      </c>
      <c r="AM261">
        <f>IF(W261&lt;X261,-1,IF(W261&gt;X261,1,0))</f>
        <v>-1</v>
      </c>
      <c r="AN261" t="e">
        <f>IF(ABS(SUM(AM261:AM269))=9,W261,NA())</f>
        <v>#N/A</v>
      </c>
      <c r="AO261">
        <f>_xlfn.PERCENTILE.INC(INDEX($W$4:$W$263,MATCH(SPC!$B$13,IF(Setup!$B$11="Weekly",'SPC Backing (Hide)'!$B$4:$B$263,'SPC Backing (Hide)'!$E$4:$E$263),0),1):INDEX($W$4:$W$263,MATCH(SPC!$B$14,IF(Setup!$B$11="Weekly",'SPC Backing (Hide)'!$B$4:$B$263,'SPC Backing (Hide)'!$E$4:$E$263),0),1),'SPC Backing (Hide)'!$AO$3)</f>
        <v>136.10000000000002</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1">
        <f>AP261-AO261</f>
        <v>33.44999999999996</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137.58333333333334</v>
      </c>
      <c r="Y262" cm="1">
        <f t="array" ref="Y262">ABS(INDEX($F$4:$U$263,ROW(A259),MATCH($X$2,$F$3:$U$3,0))-INDEX($F$4:$U$263,ROW(A258),MATCH($X$2,$F$3:$U$3,0)))</f>
        <v>0</v>
      </c>
      <c r="Z262">
        <f>AVERAGE(INDEX($Y$4:$Y$263,MATCH(SPC!$B$13,IF(Setup!$B$11="Weekly",'SPC Backing (Hide)'!$B$4:$B$263,'SPC Backing (Hide)'!$E$4:$E$263),0)):INDEX($Y$4:$Y$263,MATCH(SPC!$B$14,IF(Setup!$B$11="Weekly",'SPC Backing (Hide)'!$B$4:$B$263,'SPC Backing (Hide)'!$E$4:$E$263),0),1))</f>
        <v>18.416666666666668</v>
      </c>
      <c r="AA262">
        <f>Z262/1.128</f>
        <v>16.326832151300238</v>
      </c>
      <c r="AB262">
        <f>MAX(0,X262-(3*AA262))</f>
        <v>88.60283687943263</v>
      </c>
      <c r="AC262">
        <f>MAX(0,X262-(2*AA262))</f>
        <v>104.92966903073287</v>
      </c>
      <c r="AD262">
        <f>MAX(0,X262-AA262)</f>
        <v>121.25650118203311</v>
      </c>
      <c r="AE262">
        <f>X262+AA262</f>
        <v>153.91016548463358</v>
      </c>
      <c r="AF262">
        <f>X262+(2*AA262)</f>
        <v>170.23699763593382</v>
      </c>
      <c r="AG262">
        <f>X262+(3*AA262)</f>
        <v>186.56382978723406</v>
      </c>
      <c r="AH262">
        <f>IF(OR(W262&gt;AG262,W262&lt;AB262),W262,NA())</f>
        <v>0</v>
      </c>
      <c r="AI262">
        <f>IF(W262&gt;AF262,2,IF(W262&lt;AC262,-2,IF(W262&gt;X262,1,IF(W262&lt;X262,-1,0))))</f>
        <v>-2</v>
      </c>
      <c r="AJ262" t="e">
        <f>IF(ABS(SUM(AI262:AI264))&gt;=5,W262,NA())</f>
        <v>#N/A</v>
      </c>
      <c r="AK262">
        <f>IF(W263&gt;W262,1,IF(W263&lt;W262,-1,0))</f>
        <v>0</v>
      </c>
      <c r="AL262" t="e">
        <f>IF(ABS(SUM(AK262:AK267))=6,W262,NA())</f>
        <v>#N/A</v>
      </c>
      <c r="AM262">
        <f>IF(W262&lt;X262,-1,IF(W262&gt;X262,1,0))</f>
        <v>-1</v>
      </c>
      <c r="AN262" t="e">
        <f>IF(ABS(SUM(AM262:AM270))=9,W262,NA())</f>
        <v>#N/A</v>
      </c>
      <c r="AO262">
        <f>_xlfn.PERCENTILE.INC(INDEX($W$4:$W$263,MATCH(SPC!$B$13,IF(Setup!$B$11="Weekly",'SPC Backing (Hide)'!$B$4:$B$263,'SPC Backing (Hide)'!$E$4:$E$263),0),1):INDEX($W$4:$W$263,MATCH(SPC!$B$14,IF(Setup!$B$11="Weekly",'SPC Backing (Hide)'!$B$4:$B$263,'SPC Backing (Hide)'!$E$4:$E$263),0),1),'SPC Backing (Hide)'!$AO$3)</f>
        <v>136.10000000000002</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2">
        <f>AP262-AO262</f>
        <v>33.44999999999996</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137.58333333333334</v>
      </c>
      <c r="Y263" cm="1">
        <f t="array" ref="Y263">ABS(INDEX($F$4:$U$263,ROW(A260),MATCH($X$2,$F$3:$U$3,0))-INDEX($F$4:$U$263,ROW(A259),MATCH($X$2,$F$3:$U$3,0)))</f>
        <v>0</v>
      </c>
      <c r="Z263">
        <f>AVERAGE(INDEX($Y$4:$Y$263,MATCH(SPC!$B$13,IF(Setup!$B$11="Weekly",'SPC Backing (Hide)'!$B$4:$B$263,'SPC Backing (Hide)'!$E$4:$E$263),0)):INDEX($Y$4:$Y$263,MATCH(SPC!$B$14,IF(Setup!$B$11="Weekly",'SPC Backing (Hide)'!$B$4:$B$263,'SPC Backing (Hide)'!$E$4:$E$263),0),1))</f>
        <v>18.416666666666668</v>
      </c>
      <c r="AA263">
        <f>Z263/1.128</f>
        <v>16.326832151300238</v>
      </c>
      <c r="AB263">
        <f>MAX(0,X263-(3*AA263))</f>
        <v>88.60283687943263</v>
      </c>
      <c r="AC263">
        <f>MAX(0,X263-(2*AA263))</f>
        <v>104.92966903073287</v>
      </c>
      <c r="AD263">
        <f>MAX(0,X263-AA263)</f>
        <v>121.25650118203311</v>
      </c>
      <c r="AE263">
        <f>X263+AA263</f>
        <v>153.91016548463358</v>
      </c>
      <c r="AF263">
        <f>X263+(2*AA263)</f>
        <v>170.23699763593382</v>
      </c>
      <c r="AG263">
        <f>X263+(3*AA263)</f>
        <v>186.56382978723406</v>
      </c>
      <c r="AH263">
        <f>IF(OR(W263&gt;AG263,W263&lt;AB263),W263,NA())</f>
        <v>0</v>
      </c>
      <c r="AI263">
        <f>IF(W263&gt;AF263,2,IF(W263&lt;AC263,-2,IF(W263&gt;X263,1,IF(W263&lt;X263,-1,0))))</f>
        <v>-2</v>
      </c>
      <c r="AJ263" t="e">
        <f>IF(ABS(SUM(AI263:AI265))&gt;=5,W263,NA())</f>
        <v>#N/A</v>
      </c>
      <c r="AK263">
        <f>IF(W264&gt;W263,1,IF(W264&lt;W263,-1,0))</f>
        <v>0</v>
      </c>
      <c r="AL263" t="e">
        <f>IF(ABS(SUM(AK263:AK268))=6,W263,NA())</f>
        <v>#N/A</v>
      </c>
      <c r="AM263">
        <f>IF(W263&lt;X263,-1,IF(W263&gt;X263,1,0))</f>
        <v>-1</v>
      </c>
      <c r="AN263" t="e">
        <f>IF(ABS(SUM(AM263:AM271))=9,W263,NA())</f>
        <v>#N/A</v>
      </c>
      <c r="AO263">
        <f>_xlfn.PERCENTILE.INC(INDEX($W$4:$W$263,MATCH(SPC!$B$13,IF(Setup!$B$11="Weekly",'SPC Backing (Hide)'!$B$4:$B$263,'SPC Backing (Hide)'!$E$4:$E$263),0),1):INDEX($W$4:$W$263,MATCH(SPC!$B$14,IF(Setup!$B$11="Weekly",'SPC Backing (Hide)'!$B$4:$B$263,'SPC Backing (Hide)'!$E$4:$E$263),0),1),'SPC Backing (Hide)'!$AO$3)</f>
        <v>136.10000000000002</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169.54999999999998</v>
      </c>
      <c r="AQ263">
        <f>AP263-AO263</f>
        <v>33.44999999999996</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workbookViewId="0">
      <selection activeCell="M8" sqref="M8"/>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267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20 Group Sessions</v>
      </c>
      <c r="C5" s="128">
        <v>30</v>
      </c>
      <c r="D5" s="128">
        <v>110</v>
      </c>
      <c r="E5" s="129">
        <v>0</v>
      </c>
      <c r="F5" s="129">
        <v>7</v>
      </c>
      <c r="G5" s="121" t="s">
        <v>159</v>
      </c>
      <c r="H5" s="99">
        <f t="shared" ref="H5:H20" si="0">IF(G5="Weeks",C5*((E5*7)+(F5*7-E5*7)/2),C5*(E5+(F5-E5)/2))</f>
        <v>105</v>
      </c>
      <c r="I5" s="73" t="str">
        <f>IF(H5&lt;&gt;0,TEXT(H5-(H5/100*5),"#")&amp;" - "&amp;TEXT(H5+(H5/100*5),"#"),"")</f>
        <v>100 - 110</v>
      </c>
      <c r="J5" s="24">
        <f>H5-(H5/100*5)</f>
        <v>99.75</v>
      </c>
      <c r="K5" s="24">
        <f>H5+(H5/100*5)</f>
        <v>110.25</v>
      </c>
      <c r="L5" s="24">
        <f>K5-J5</f>
        <v>10.5</v>
      </c>
      <c r="M5" s="196">
        <f>MAX(0,D5-J5)</f>
        <v>10.25</v>
      </c>
      <c r="N5" s="196">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2.9842142857142862</v>
      </c>
      <c r="T5" s="24" t="str">
        <f>IF(TEXT(P5,"#")="",0,TEXT(P5,"#"))&amp;" - "&amp;IF(TEXT(Q5,"#")="",0,TEXT(Q5,"#"))</f>
        <v>0 - 13</v>
      </c>
      <c r="U5" s="24" t="str">
        <f>IF(TEXT(R5,"#")="",0,TEXT(R5,"#"))&amp;" - "&amp;IF(TEXT(S5,"#")="",0,TEXT(S5,"#"))</f>
        <v>0 - 3</v>
      </c>
      <c r="V5" s="24">
        <f>P5+R5</f>
        <v>0</v>
      </c>
      <c r="W5" s="24">
        <f>Q5+S5</f>
        <v>15.796714285714286</v>
      </c>
      <c r="X5" s="24" t="str">
        <f>IF(TEXT(P5+R5,"#")="",0,TEXT(P5+R5,"#"))&amp;" - "&amp;IF(TEXT(Q5+S5,"#")="",0,TEXT(Q5+S5,"#"))</f>
        <v>0 - 16</v>
      </c>
    </row>
    <row r="6" spans="1:24" s="164" customFormat="1" x14ac:dyDescent="0.35">
      <c r="A6"/>
      <c r="B6" s="47" t="str">
        <f>Setup!A21</f>
        <v>40 Group Session</v>
      </c>
      <c r="C6" s="130">
        <v>45</v>
      </c>
      <c r="D6" s="130">
        <v>210</v>
      </c>
      <c r="E6" s="131">
        <v>0</v>
      </c>
      <c r="F6" s="131">
        <v>2</v>
      </c>
      <c r="G6" s="122" t="s">
        <v>160</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96">
        <f t="shared" ref="M6:M20" si="5">MAX(0,D6-J6)</f>
        <v>0</v>
      </c>
      <c r="N6" s="196">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218</v>
      </c>
      <c r="H7" s="100">
        <f t="shared" si="0"/>
        <v>70</v>
      </c>
      <c r="I7" s="74" t="str">
        <f t="shared" si="1"/>
        <v>67 - 74</v>
      </c>
      <c r="J7" s="24">
        <f t="shared" si="2"/>
        <v>66.5</v>
      </c>
      <c r="K7" s="24">
        <f t="shared" si="3"/>
        <v>73.5</v>
      </c>
      <c r="L7" s="24">
        <f t="shared" si="4"/>
        <v>7</v>
      </c>
      <c r="M7" s="196">
        <f t="shared" si="5"/>
        <v>0</v>
      </c>
      <c r="N7" s="196">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218</v>
      </c>
      <c r="H8" s="100">
        <f t="shared" si="0"/>
        <v>73.5</v>
      </c>
      <c r="I8" s="74" t="str">
        <f t="shared" si="1"/>
        <v>70 - 77</v>
      </c>
      <c r="J8" s="24">
        <f t="shared" si="2"/>
        <v>69.825000000000003</v>
      </c>
      <c r="K8" s="24">
        <f t="shared" si="3"/>
        <v>77.174999999999997</v>
      </c>
      <c r="L8" s="24">
        <f t="shared" si="4"/>
        <v>7.3499999999999943</v>
      </c>
      <c r="M8" s="196">
        <f t="shared" si="5"/>
        <v>186.17500000000001</v>
      </c>
      <c r="N8" s="196">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218</v>
      </c>
      <c r="H9" s="100">
        <f t="shared" si="0"/>
        <v>52.5</v>
      </c>
      <c r="I9" s="74" t="str">
        <f t="shared" si="1"/>
        <v>50 - 55</v>
      </c>
      <c r="J9" s="24">
        <f t="shared" si="2"/>
        <v>49.875</v>
      </c>
      <c r="K9" s="24">
        <f t="shared" si="3"/>
        <v>55.125</v>
      </c>
      <c r="L9" s="24">
        <f t="shared" si="4"/>
        <v>5.25</v>
      </c>
      <c r="M9" s="196">
        <f t="shared" si="5"/>
        <v>5.125</v>
      </c>
      <c r="N9" s="196">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96">
        <f t="shared" si="5"/>
        <v>0</v>
      </c>
      <c r="N10" s="196">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96">
        <f t="shared" si="5"/>
        <v>0</v>
      </c>
      <c r="N11" s="196">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96">
        <f t="shared" si="5"/>
        <v>0</v>
      </c>
      <c r="N12" s="196">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96">
        <f t="shared" si="5"/>
        <v>0</v>
      </c>
      <c r="N13" s="196">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96">
        <f t="shared" si="5"/>
        <v>0</v>
      </c>
      <c r="N14" s="196">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96">
        <f t="shared" si="5"/>
        <v>0</v>
      </c>
      <c r="N15" s="196">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96">
        <f t="shared" si="5"/>
        <v>0</v>
      </c>
      <c r="N16" s="196">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96">
        <f t="shared" si="5"/>
        <v>0</v>
      </c>
      <c r="N17" s="196">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96">
        <f t="shared" si="5"/>
        <v>0</v>
      </c>
      <c r="N18" s="196">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96">
        <f t="shared" si="5"/>
        <v>0</v>
      </c>
      <c r="N19" s="196">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v>60</v>
      </c>
      <c r="D20" s="120">
        <v>195</v>
      </c>
      <c r="E20" s="120">
        <v>0</v>
      </c>
      <c r="F20" s="120">
        <v>1</v>
      </c>
      <c r="G20" s="126" t="s">
        <v>160</v>
      </c>
      <c r="H20" s="102">
        <f t="shared" si="0"/>
        <v>210</v>
      </c>
      <c r="I20" s="90" t="str">
        <f t="shared" si="1"/>
        <v>200 - 221</v>
      </c>
      <c r="J20" s="24">
        <f>H20-(H20/100*5)</f>
        <v>199.5</v>
      </c>
      <c r="K20" s="24">
        <f>H20+(H20/100*5)</f>
        <v>220.5</v>
      </c>
      <c r="L20" s="24">
        <f>K20-J20</f>
        <v>21</v>
      </c>
      <c r="M20" s="196">
        <f t="shared" si="5"/>
        <v>0</v>
      </c>
      <c r="N20" s="196">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D8" sqref="D8"/>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20 Group Sessions</v>
      </c>
      <c r="C6" s="136" t="s">
        <v>219</v>
      </c>
      <c r="D6" s="137">
        <v>120</v>
      </c>
      <c r="E6" s="137">
        <v>7</v>
      </c>
      <c r="F6" s="138" t="s">
        <v>83</v>
      </c>
      <c r="G6" s="4">
        <f>INDEX('Data Validation (Hide)'!$K$2:$L$9,MATCH(Service!F6,'Data Validation (Hide)'!$K$2:$K$9,0),2)</f>
        <v>1.9E-2</v>
      </c>
      <c r="H6" s="70">
        <f>IFERROR((G6*D6)/E6,"")</f>
        <v>0.32571428571428568</v>
      </c>
      <c r="I6" s="190">
        <f>SUMIF($E$6:$E$10,1,$H$6:$H$10)</f>
        <v>75</v>
      </c>
      <c r="J6" s="187">
        <f>SUMIF($E$6:$E$10,"&gt;"&amp;1,$H$6:$H$10)</f>
        <v>17.46857142857143</v>
      </c>
    </row>
    <row r="7" spans="1:10" x14ac:dyDescent="0.35">
      <c r="B7" s="95" t="str" cm="1">
        <f t="array" ref="B7">INDEX('Data Validation (Hide)'!$B$2:$B$16,ROUNDUP(ROW(A2)/5,0),1)</f>
        <v>20 Group Sessions</v>
      </c>
      <c r="C7" s="139" t="s">
        <v>220</v>
      </c>
      <c r="D7" s="140">
        <v>15</v>
      </c>
      <c r="E7" s="140">
        <v>1</v>
      </c>
      <c r="F7" s="141" t="s">
        <v>112</v>
      </c>
      <c r="G7" s="18">
        <f>INDEX('Data Validation (Hide)'!$K$2:$L$9,MATCH(Service!F7,'Data Validation (Hide)'!$K$2:$K$9,0),2)</f>
        <v>5</v>
      </c>
      <c r="H7" s="71">
        <f t="shared" ref="H7:H37" si="0">IFERROR((G7*D7)/E7,"")</f>
        <v>75</v>
      </c>
      <c r="I7" s="191"/>
      <c r="J7" s="188"/>
    </row>
    <row r="8" spans="1:10" x14ac:dyDescent="0.35">
      <c r="B8" s="93" t="str" cm="1">
        <f t="array" ref="B8">INDEX('Data Validation (Hide)'!$B$2:$B$16,ROUNDUP(ROW(A3)/5,0),1)</f>
        <v>20 Group Sessions</v>
      </c>
      <c r="C8" s="139" t="s">
        <v>219</v>
      </c>
      <c r="D8" s="140">
        <v>120</v>
      </c>
      <c r="E8" s="140">
        <v>7</v>
      </c>
      <c r="F8" s="141" t="s">
        <v>79</v>
      </c>
      <c r="G8" s="5">
        <f>INDEX('Data Validation (Hide)'!$K$2:$L$9,MATCH(Service!F8,'Data Validation (Hide)'!$K$2:$K$9,0),2)</f>
        <v>1</v>
      </c>
      <c r="H8" s="71">
        <f t="shared" si="0"/>
        <v>17.142857142857142</v>
      </c>
      <c r="I8" s="191"/>
      <c r="J8" s="188"/>
    </row>
    <row r="9" spans="1:10" x14ac:dyDescent="0.35">
      <c r="B9" s="107" t="str" cm="1">
        <f t="array" ref="B9">INDEX('Data Validation (Hide)'!$B$2:$B$16,ROUNDUP(ROW(A4)/5,0),1)</f>
        <v>20 Group Sessions</v>
      </c>
      <c r="C9" s="139"/>
      <c r="D9" s="140"/>
      <c r="E9" s="140"/>
      <c r="F9" s="141"/>
      <c r="G9" s="5" t="e">
        <f>INDEX('Data Validation (Hide)'!$K$2:$L$9,MATCH(Service!F9,'Data Validation (Hide)'!$K$2:$K$9,0),2)</f>
        <v>#N/A</v>
      </c>
      <c r="H9" s="71" t="str">
        <f t="shared" si="0"/>
        <v/>
      </c>
      <c r="I9" s="191"/>
      <c r="J9" s="188"/>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(Hide)'!$K$2:$K$9,0),2)</f>
        <v>#N/A</v>
      </c>
      <c r="H10" s="72" t="str">
        <f t="shared" si="0"/>
        <v/>
      </c>
      <c r="I10" s="192"/>
      <c r="J10" s="189"/>
    </row>
    <row r="11" spans="1:10" x14ac:dyDescent="0.35">
      <c r="B11" s="94" t="str" cm="1">
        <f t="array" ref="B11">INDEX('Data Validation (Hide)'!$B$2:$B$16,ROUNDUP(ROW(A6)/5,0),1)</f>
        <v>40 Group Session</v>
      </c>
      <c r="C11" s="136" t="s">
        <v>221</v>
      </c>
      <c r="D11" s="137">
        <v>120</v>
      </c>
      <c r="E11" s="137">
        <v>7</v>
      </c>
      <c r="F11" s="138" t="s">
        <v>79</v>
      </c>
      <c r="G11" s="4">
        <f>INDEX('Data Validation (Hide)'!$K$2:$L$9,MATCH(Service!F11,'Data Validation (Hide)'!$K$2:$K$9,0),2)</f>
        <v>1</v>
      </c>
      <c r="H11" s="70">
        <f t="shared" si="0"/>
        <v>17.142857142857142</v>
      </c>
      <c r="I11" s="190">
        <f>SUMIF($E$11:$E$15,1,$H$11:$H$15)</f>
        <v>120</v>
      </c>
      <c r="J11" s="190">
        <f>SUMIF($E$11:$E$15,"&gt;"&amp;1,$H$11:$H$15)</f>
        <v>17.142857142857142</v>
      </c>
    </row>
    <row r="12" spans="1:10" x14ac:dyDescent="0.35">
      <c r="B12" s="95" t="str" cm="1">
        <f t="array" ref="B12">INDEX('Data Validation (Hide)'!$B$2:$B$16,ROUNDUP(ROW(A7)/5,0),1)</f>
        <v>40 Group Session</v>
      </c>
      <c r="C12" s="139" t="s">
        <v>222</v>
      </c>
      <c r="D12" s="140">
        <v>120</v>
      </c>
      <c r="E12" s="140">
        <v>1</v>
      </c>
      <c r="F12" s="141" t="s">
        <v>79</v>
      </c>
      <c r="G12" s="5">
        <f>INDEX('Data Validation (Hide)'!$K$2:$L$9,MATCH(Service!F12,'Data Validation (Hide)'!$K$2:$K$9,0),2)</f>
        <v>1</v>
      </c>
      <c r="H12" s="71">
        <f t="shared" si="0"/>
        <v>120</v>
      </c>
      <c r="I12" s="191"/>
      <c r="J12" s="191"/>
    </row>
    <row r="13" spans="1:10" x14ac:dyDescent="0.35">
      <c r="B13" s="93" t="str" cm="1">
        <f t="array" ref="B13">INDEX('Data Validation (Hide)'!$B$2:$B$16,ROUNDUP(ROW(A8)/5,0),1)</f>
        <v>40 Group Session</v>
      </c>
      <c r="C13" s="139"/>
      <c r="D13" s="140"/>
      <c r="E13" s="140"/>
      <c r="F13" s="141"/>
      <c r="G13" s="5" t="e">
        <f>INDEX('Data Validation (Hide)'!$K$2:$L$9,MATCH(Service!F13,'Data Validation (Hide)'!$K$2:$K$9,0),2)</f>
        <v>#N/A</v>
      </c>
      <c r="H13" s="71" t="str">
        <f t="shared" si="0"/>
        <v/>
      </c>
      <c r="I13" s="191"/>
      <c r="J13" s="191"/>
    </row>
    <row r="14" spans="1:10" x14ac:dyDescent="0.35">
      <c r="B14" s="95" t="str" cm="1">
        <f t="array" ref="B14">INDEX('Data Validation (Hide)'!$B$2:$B$16,ROUNDUP(ROW(A9)/5,0),1)</f>
        <v>40 Group Session</v>
      </c>
      <c r="C14" s="139"/>
      <c r="D14" s="140"/>
      <c r="E14" s="140"/>
      <c r="F14" s="141"/>
      <c r="G14" s="5" t="e">
        <f>INDEX('Data Validation (Hide)'!$K$2:$L$9,MATCH(Service!F14,'Data Validation (Hide)'!$K$2:$K$9,0),2)</f>
        <v>#N/A</v>
      </c>
      <c r="H14" s="71" t="str">
        <f t="shared" si="0"/>
        <v/>
      </c>
      <c r="I14" s="191"/>
      <c r="J14" s="191"/>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(Hide)'!$K$2:$K$9,0),2)</f>
        <v>#N/A</v>
      </c>
      <c r="H15" s="72" t="str">
        <f t="shared" si="0"/>
        <v/>
      </c>
      <c r="I15" s="192"/>
      <c r="J15" s="192"/>
    </row>
    <row r="16" spans="1:10" x14ac:dyDescent="0.35">
      <c r="B16" s="94" t="str" cm="1">
        <f t="array" ref="B16">INDEX('Data Validation (Hide)'!$B$2:$B$16,ROUNDUP(ROW(A11)/5,0),1)</f>
        <v>8 Group Session</v>
      </c>
      <c r="C16" s="136" t="s">
        <v>219</v>
      </c>
      <c r="D16" s="137">
        <v>240</v>
      </c>
      <c r="E16" s="137">
        <v>7</v>
      </c>
      <c r="F16" s="138" t="s">
        <v>79</v>
      </c>
      <c r="G16" s="4">
        <f>INDEX('Data Validation (Hide)'!$K$2:$L$9,MATCH(Service!F16,'Data Validation (Hide)'!$K$2:$K$9,0),2)</f>
        <v>1</v>
      </c>
      <c r="H16" s="70">
        <f t="shared" si="0"/>
        <v>34.285714285714285</v>
      </c>
      <c r="I16" s="190">
        <f>SUMIF($E$16:$E$20,1,$H$16:$H$20)</f>
        <v>0</v>
      </c>
      <c r="J16" s="190">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(Hide)'!$K$2:$K$9,0),2)</f>
        <v>#N/A</v>
      </c>
      <c r="H17" s="71" t="str">
        <f t="shared" si="0"/>
        <v/>
      </c>
      <c r="I17" s="191"/>
      <c r="J17" s="191"/>
    </row>
    <row r="18" spans="2:10" x14ac:dyDescent="0.35">
      <c r="B18" s="93" t="str" cm="1">
        <f t="array" ref="B18">INDEX('Data Validation (Hide)'!$B$2:$B$16,ROUNDUP(ROW(A13)/5,0),1)</f>
        <v>8 Group Session</v>
      </c>
      <c r="C18" s="139"/>
      <c r="D18" s="140"/>
      <c r="E18" s="140"/>
      <c r="F18" s="141"/>
      <c r="G18" s="5" t="e">
        <f>INDEX('Data Validation (Hide)'!$K$2:$L$9,MATCH(Service!F18,'Data Validation (Hide)'!$K$2:$K$9,0),2)</f>
        <v>#N/A</v>
      </c>
      <c r="H18" s="71" t="str">
        <f t="shared" si="0"/>
        <v/>
      </c>
      <c r="I18" s="191"/>
      <c r="J18" s="191"/>
    </row>
    <row r="19" spans="2:10" x14ac:dyDescent="0.35">
      <c r="B19" s="95" t="str" cm="1">
        <f t="array" ref="B19">INDEX('Data Validation (Hide)'!$B$2:$B$16,ROUNDUP(ROW(A14)/5,0),1)</f>
        <v>8 Group Session</v>
      </c>
      <c r="C19" s="139"/>
      <c r="D19" s="140"/>
      <c r="E19" s="140"/>
      <c r="F19" s="141"/>
      <c r="G19" s="5" t="e">
        <f>INDEX('Data Validation (Hide)'!$K$2:$L$9,MATCH(Service!F19,'Data Validation (Hide)'!$K$2:$K$9,0),2)</f>
        <v>#N/A</v>
      </c>
      <c r="H19" s="71" t="str">
        <f t="shared" si="0"/>
        <v/>
      </c>
      <c r="I19" s="191"/>
      <c r="J19" s="191"/>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(Hide)'!$K$2:$K$9,0),2)</f>
        <v>#N/A</v>
      </c>
      <c r="H20" s="72" t="str">
        <f t="shared" si="0"/>
        <v/>
      </c>
      <c r="I20" s="192"/>
      <c r="J20" s="192"/>
    </row>
    <row r="21" spans="2:10" x14ac:dyDescent="0.35">
      <c r="B21" s="94" t="str" cm="1">
        <f t="array" ref="B21">INDEX('Data Validation (Hide)'!$B$2:$B$16,ROUNDUP(ROW(A16)/5,0),1)</f>
        <v>20 Individual</v>
      </c>
      <c r="C21" s="136" t="s">
        <v>220</v>
      </c>
      <c r="D21" s="137">
        <v>45</v>
      </c>
      <c r="E21" s="137">
        <v>1</v>
      </c>
      <c r="F21" s="138" t="s">
        <v>79</v>
      </c>
      <c r="G21" s="4">
        <f>INDEX('Data Validation (Hide)'!$K$2:$L$9,MATCH(Service!F21,'Data Validation (Hide)'!$K$2:$K$9,0),2)</f>
        <v>1</v>
      </c>
      <c r="H21" s="70">
        <f t="shared" si="0"/>
        <v>45</v>
      </c>
      <c r="I21" s="190">
        <f>SUMIF($E$21:$E$25,1,$H$21:$H$25)</f>
        <v>45</v>
      </c>
      <c r="J21" s="190">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(Hide)'!$K$2:$K$9,0),2)</f>
        <v>#N/A</v>
      </c>
      <c r="H22" s="71" t="str">
        <f t="shared" si="0"/>
        <v/>
      </c>
      <c r="I22" s="191"/>
      <c r="J22" s="191"/>
    </row>
    <row r="23" spans="2:10" x14ac:dyDescent="0.35">
      <c r="B23" s="93" t="str" cm="1">
        <f t="array" ref="B23">INDEX('Data Validation (Hide)'!$B$2:$B$16,ROUNDUP(ROW(A18)/5,0),1)</f>
        <v>20 Individual</v>
      </c>
      <c r="C23" s="139"/>
      <c r="D23" s="140"/>
      <c r="E23" s="140"/>
      <c r="F23" s="141"/>
      <c r="G23" s="5" t="e">
        <f>INDEX('Data Validation (Hide)'!$K$2:$L$9,MATCH(Service!F23,'Data Validation (Hide)'!$K$2:$K$9,0),2)</f>
        <v>#N/A</v>
      </c>
      <c r="H23" s="71" t="str">
        <f t="shared" si="0"/>
        <v/>
      </c>
      <c r="I23" s="191"/>
      <c r="J23" s="191"/>
    </row>
    <row r="24" spans="2:10" x14ac:dyDescent="0.35">
      <c r="B24" s="95" t="str" cm="1">
        <f t="array" ref="B24">INDEX('Data Validation (Hide)'!$B$2:$B$16,ROUNDUP(ROW(A19)/5,0),1)</f>
        <v>20 Individual</v>
      </c>
      <c r="C24" s="139"/>
      <c r="D24" s="140"/>
      <c r="E24" s="140"/>
      <c r="F24" s="141"/>
      <c r="G24" s="5" t="e">
        <f>INDEX('Data Validation (Hide)'!$K$2:$L$9,MATCH(Service!F24,'Data Validation (Hide)'!$K$2:$K$9,0),2)</f>
        <v>#N/A</v>
      </c>
      <c r="H24" s="71" t="str">
        <f t="shared" si="0"/>
        <v/>
      </c>
      <c r="I24" s="191"/>
      <c r="J24" s="191"/>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(Hide)'!$K$2:$K$9,0),2)</f>
        <v>#N/A</v>
      </c>
      <c r="H25" s="72" t="str">
        <f t="shared" si="0"/>
        <v/>
      </c>
      <c r="I25" s="192"/>
      <c r="J25" s="192"/>
    </row>
    <row r="26" spans="2:10" x14ac:dyDescent="0.35">
      <c r="B26" s="94" t="str" cm="1">
        <f t="array" ref="B26">INDEX('Data Validation (Hide)'!$B$2:$B$16,ROUNDUP(ROW(A21)/5,0),1)</f>
        <v>40 Individual</v>
      </c>
      <c r="C26" s="136" t="s">
        <v>220</v>
      </c>
      <c r="D26" s="137">
        <v>60</v>
      </c>
      <c r="E26" s="137">
        <v>1</v>
      </c>
      <c r="F26" s="138" t="s">
        <v>79</v>
      </c>
      <c r="G26" s="4">
        <f>INDEX('Data Validation (Hide)'!$K$2:$L$9,MATCH(Service!F26,'Data Validation (Hide)'!$K$2:$K$9,0),2)</f>
        <v>1</v>
      </c>
      <c r="H26" s="70">
        <f t="shared" si="0"/>
        <v>60</v>
      </c>
      <c r="I26" s="190">
        <f>SUMIF($E$26:$E$30,1,$H$26:$H$30)</f>
        <v>60</v>
      </c>
      <c r="J26" s="190">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(Hide)'!$K$2:$K$9,0),2)</f>
        <v>#N/A</v>
      </c>
      <c r="H27" s="71" t="str">
        <f t="shared" si="0"/>
        <v/>
      </c>
      <c r="I27" s="191"/>
      <c r="J27" s="191"/>
    </row>
    <row r="28" spans="2:10" x14ac:dyDescent="0.35">
      <c r="B28" s="93" t="str" cm="1">
        <f t="array" ref="B28">INDEX('Data Validation (Hide)'!$B$2:$B$16,ROUNDUP(ROW(A23)/5,0),1)</f>
        <v>40 Individual</v>
      </c>
      <c r="C28" s="139"/>
      <c r="D28" s="140"/>
      <c r="E28" s="140"/>
      <c r="F28" s="141"/>
      <c r="G28" s="5" t="e">
        <f>INDEX('Data Validation (Hide)'!$K$2:$L$9,MATCH(Service!F28,'Data Validation (Hide)'!$K$2:$K$9,0),2)</f>
        <v>#N/A</v>
      </c>
      <c r="H28" s="71" t="str">
        <f t="shared" si="0"/>
        <v/>
      </c>
      <c r="I28" s="191"/>
      <c r="J28" s="191"/>
    </row>
    <row r="29" spans="2:10" x14ac:dyDescent="0.35">
      <c r="B29" s="95" t="str" cm="1">
        <f t="array" ref="B29">INDEX('Data Validation (Hide)'!$B$2:$B$16,ROUNDUP(ROW(A24)/5,0),1)</f>
        <v>40 Individual</v>
      </c>
      <c r="C29" s="139"/>
      <c r="D29" s="140"/>
      <c r="E29" s="140"/>
      <c r="F29" s="141"/>
      <c r="G29" s="5" t="e">
        <f>INDEX('Data Validation (Hide)'!$K$2:$L$9,MATCH(Service!F29,'Data Validation (Hide)'!$K$2:$K$9,0),2)</f>
        <v>#N/A</v>
      </c>
      <c r="H29" s="71" t="str">
        <f t="shared" si="0"/>
        <v/>
      </c>
      <c r="I29" s="191"/>
      <c r="J29" s="191"/>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(Hide)'!$K$2:$K$9,0),2)</f>
        <v>#N/A</v>
      </c>
      <c r="H30" s="72" t="str">
        <f t="shared" si="0"/>
        <v/>
      </c>
      <c r="I30" s="192"/>
      <c r="J30" s="192"/>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4">
        <f>SUMIF($E$31:$E$35,1,$H$31:$H$35)</f>
        <v>0</v>
      </c>
      <c r="J31" s="184">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5"/>
      <c r="J32" s="185"/>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5"/>
      <c r="J33" s="185"/>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5"/>
      <c r="J34" s="185"/>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6"/>
      <c r="J35" s="186"/>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4">
        <f>SUMIF($E$36:$E$40,1,$H$36:$H$40)</f>
        <v>0</v>
      </c>
      <c r="J36" s="184">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5"/>
      <c r="J37" s="185"/>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5"/>
      <c r="J38" s="185"/>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5"/>
      <c r="J39" s="185"/>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6"/>
      <c r="J40" s="186"/>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4">
        <f>SUMIF($E$41:$E$45,1,$H$41:$H$45)</f>
        <v>0</v>
      </c>
      <c r="J41" s="184">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5"/>
      <c r="J42" s="185"/>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5"/>
      <c r="J43" s="185"/>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5"/>
      <c r="J44" s="185"/>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6"/>
      <c r="J45" s="186"/>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4">
        <f>SUMIF($E$46:$E$50,1,$H$46:$H$50)</f>
        <v>0</v>
      </c>
      <c r="J46" s="184">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5"/>
      <c r="J47" s="185"/>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5"/>
      <c r="J48" s="185"/>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5"/>
      <c r="J49" s="185"/>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6"/>
      <c r="J50" s="186"/>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4">
        <f>SUMIF($E$51:$E$55,1,$H$51:$H$55)</f>
        <v>0</v>
      </c>
      <c r="J51" s="184">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5"/>
      <c r="J52" s="185"/>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5"/>
      <c r="J53" s="185"/>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5"/>
      <c r="J54" s="185"/>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6"/>
      <c r="J55" s="186"/>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4">
        <f>SUMIF($E$56:$E$60,1,$H$56:$H$60)</f>
        <v>0</v>
      </c>
      <c r="J56" s="184">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5"/>
      <c r="J57" s="185"/>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5"/>
      <c r="J58" s="185"/>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5"/>
      <c r="J59" s="185"/>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6"/>
      <c r="J60" s="186"/>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4">
        <f>SUMIF($E$61:$E$65,1,$H$61:$H$65)</f>
        <v>0</v>
      </c>
      <c r="J61" s="184">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5"/>
      <c r="J62" s="185"/>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5"/>
      <c r="J63" s="185"/>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5"/>
      <c r="J64" s="185"/>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6"/>
      <c r="J65" s="186"/>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4">
        <f>SUMIF($E$66:$E$70,1,$H$66:$H$70)</f>
        <v>0</v>
      </c>
      <c r="J66" s="184">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5"/>
      <c r="J67" s="185"/>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5"/>
      <c r="J68" s="185"/>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5"/>
      <c r="J69" s="185"/>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6"/>
      <c r="J70" s="186"/>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4">
        <f>SUMIF($E$71:$E$75,1,$H$71:$H$75)</f>
        <v>0</v>
      </c>
      <c r="J71" s="184">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5"/>
      <c r="J72" s="185"/>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5"/>
      <c r="J73" s="185"/>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5"/>
      <c r="J74" s="185"/>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6"/>
      <c r="J75" s="186"/>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4">
        <f>SUMIF($E$76:$E$80,1,$H$76:$H$80)</f>
        <v>0</v>
      </c>
      <c r="J76" s="184">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5"/>
      <c r="J77" s="185"/>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5"/>
      <c r="J78" s="185"/>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5"/>
      <c r="J79" s="185"/>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6"/>
      <c r="J80" s="186"/>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264</v>
      </c>
      <c r="F2" t="s">
        <v>184</v>
      </c>
      <c r="G2" t="s">
        <v>185</v>
      </c>
      <c r="H2" t="s">
        <v>184</v>
      </c>
      <c r="I2" t="s">
        <v>185</v>
      </c>
    </row>
    <row r="3" spans="2:9" x14ac:dyDescent="0.35">
      <c r="B3" t="str">
        <f>Service!B6</f>
        <v>20 Group Sessions</v>
      </c>
      <c r="C3">
        <f>Service!D6</f>
        <v>120</v>
      </c>
      <c r="D3">
        <f>Service!E6</f>
        <v>7</v>
      </c>
      <c r="E3">
        <f>Service!G6</f>
        <v>1.9E-2</v>
      </c>
      <c r="F3">
        <f>IF($D3&gt;1,($C3*(ROUNDUP(INDEX('Required Capacity (Hide)'!$B$5:$C$19,MATCH('Service Backing (H)'!$B3,'Required Capacity (Hide)'!$A$5:$A$19,0),1)/$D3,0))/INDEX('Required Capacity (Hide)'!$B$5:$C$19,MATCH('Service Backing (H)'!$B3,'Required Capacity (Hide)'!$A$5:$A$19,0),1))*E3,0)</f>
        <v>0.39242685025817553</v>
      </c>
      <c r="G3">
        <f>IF($D3&gt;1,($C3*(ROUNDUP(INDEX('Required Capacity (Hide)'!$B$5:$C$19,MATCH('Service Backing (H)'!$B3,'Required Capacity (Hide)'!$A$5:$A$19,0),2)/$D3,0))/INDEX('Required Capacity (Hide)'!$B$5:$C$19,MATCH('Service Backing (H)'!$B3,'Required Capacity (Hide)'!$A$5:$A$19,0),2))*E3,0)</f>
        <v>0.32571428571428568</v>
      </c>
      <c r="H3">
        <f>SUMIF(INDEX($D$3:$D$77,ROW(A1),0):INDEX($D$3:$D$77,ROUNDUP(ROW(A1)/5,0)*5,1),"&gt;"&amp;1,INDEX($F$3:$F$77,ROW(A1),0):INDEX($F$3:$F$77,ROUNDUP(ROW(A1)/5,0)*5,1))</f>
        <v>21.046471600688466</v>
      </c>
      <c r="I3">
        <f>SUMIF(INDEX($D$3:$D$77,ROW(A1),0):INDEX($D$3:$D$77,ROUNDUP(ROW(A1)/5,0)*5,1),"&gt;"&amp;1,INDEX($G$3:$G$77,ROW(A1),0):INDEX($G$3:$G$77,ROUNDUP(ROW(A1)/5,0)*5,1))</f>
        <v>17.46857142857143</v>
      </c>
    </row>
    <row r="4" spans="2:9" x14ac:dyDescent="0.35">
      <c r="B4" t="str">
        <f>Service!B7</f>
        <v>20 Group Sessions</v>
      </c>
      <c r="C4">
        <f>Service!D7</f>
        <v>15</v>
      </c>
      <c r="D4">
        <f>Service!E7</f>
        <v>1</v>
      </c>
      <c r="E4">
        <f>Service!G7</f>
        <v>5</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20.654044750430291</v>
      </c>
      <c r="I4">
        <f>SUMIF(INDEX($D$3:$D$77,ROW(A2),0):INDEX($D$3:$D$77,ROUNDUP(ROW(A2)/5,0)*5,1),"&gt;"&amp;1,INDEX($G$3:$G$77,ROW(A2),0):INDEX($G$3:$G$77,ROUNDUP(ROW(A2)/5,0)*5,1))</f>
        <v>17.142857142857142</v>
      </c>
    </row>
    <row r="5" spans="2:9" x14ac:dyDescent="0.35">
      <c r="B5" t="str">
        <f>Service!B8</f>
        <v>20 Group Sessions</v>
      </c>
      <c r="C5">
        <f>Service!D8</f>
        <v>120</v>
      </c>
      <c r="D5">
        <f>Service!E8</f>
        <v>7</v>
      </c>
      <c r="E5">
        <f>Service!G8</f>
        <v>1</v>
      </c>
      <c r="F5">
        <f>IF($D5&gt;1,($C5*(ROUNDUP(INDEX('Required Capacity (Hide)'!$B$5:$C$19,MATCH('Service Backing (H)'!$B5,'Required Capacity (Hide)'!$A$5:$A$19,0),1)/$D5,0))/INDEX('Required Capacity (Hide)'!$B$5:$C$19,MATCH('Service Backing (H)'!$B5,'Required Capacity (Hide)'!$A$5:$A$19,0),1))*E5,0)</f>
        <v>20.654044750430291</v>
      </c>
      <c r="G5">
        <f>IF($D5&gt;1,($C5*(ROUNDUP(INDEX('Required Capacity (Hide)'!$B$5:$C$19,MATCH('Service Backing (H)'!$B5,'Required Capacity (Hide)'!$A$5:$A$19,0),2)/$D5,0))/INDEX('Required Capacity (Hide)'!$B$5:$C$19,MATCH('Service Backing (H)'!$B5,'Required Capacity (Hide)'!$A$5:$A$19,0),2))*E5,0)</f>
        <v>17.142857142857142</v>
      </c>
      <c r="H5">
        <f>SUMIF(INDEX($D$3:$D$77,ROW(A3),0):INDEX($D$3:$D$77,ROUNDUP(ROW(A3)/5,0)*5,1),"&gt;"&amp;1,INDEX($F$3:$F$77,ROW(A3),0):INDEX($F$3:$F$77,ROUNDUP(ROW(A3)/5,0)*5,1))</f>
        <v>20.654044750430291</v>
      </c>
      <c r="I5">
        <f>SUMIF(INDEX($D$3:$D$77,ROW(A3),0):INDEX($D$3:$D$77,ROUNDUP(ROW(A3)/5,0)*5,1),"&gt;"&amp;1,INDEX($G$3:$G$77,ROW(A3),0):INDEX($G$3:$G$77,ROUNDUP(ROW(A3)/5,0)*5,1))</f>
        <v>17.142857142857142</v>
      </c>
    </row>
    <row r="6" spans="2:9" x14ac:dyDescent="0.35">
      <c r="B6" t="str">
        <f>Service!B9</f>
        <v>20 Group Sessions</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20 Group Sessions</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40 Group Session</v>
      </c>
      <c r="C8">
        <f>Service!D11</f>
        <v>120</v>
      </c>
      <c r="D8">
        <f>Service!E11</f>
        <v>7</v>
      </c>
      <c r="E8">
        <f>Service!G11</f>
        <v>1</v>
      </c>
      <c r="F8">
        <f>IF($D8&gt;1,($C8*(ROUNDUP(INDEX('Required Capacity (Hide)'!$B$5:$C$19,MATCH('Service Backing (H)'!$B8,'Required Capacity (Hide)'!$A$5:$A$19,0),1)/$D8,0))/INDEX('Required Capacity (Hide)'!$B$5:$C$19,MATCH('Service Backing (H)'!$B8,'Required Capacity (Hide)'!$A$5:$A$19,0),1))*E8,0)</f>
        <v>28.235294117647047</v>
      </c>
      <c r="G8">
        <f>IF($D8&gt;1,($C8*(ROUNDUP(INDEX('Required Capacity (Hide)'!$B$5:$C$19,MATCH('Service Backing (H)'!$B8,'Required Capacity (Hide)'!$A$5:$A$19,0),2)/$D8,0))/INDEX('Required Capacity (Hide)'!$B$5:$C$19,MATCH('Service Backing (H)'!$B8,'Required Capacity (Hide)'!$A$5:$A$19,0),2))*E8,0)</f>
        <v>18.181818181818183</v>
      </c>
      <c r="H8">
        <f>SUMIF(INDEX($D$3:$D$77,ROW(A6),0):INDEX($D$3:$D$77,ROUNDUP(ROW(A6)/5,0)*5,1),"&gt;"&amp;1,INDEX($F$3:$F$77,ROW(A6),0):INDEX($F$3:$F$77,ROUNDUP(ROW(A6)/5,0)*5,1))</f>
        <v>28.235294117647047</v>
      </c>
      <c r="I8">
        <f>SUMIF(INDEX($D$3:$D$77,ROW(A6),0):INDEX($D$3:$D$77,ROUNDUP(ROW(A6)/5,0)*5,1),"&gt;"&amp;1,INDEX($G$3:$G$77,ROW(A6),0):INDEX($G$3:$G$77,ROUNDUP(ROW(A6)/5,0)*5,1))</f>
        <v>18.181818181818183</v>
      </c>
    </row>
    <row r="9" spans="2:9" x14ac:dyDescent="0.35">
      <c r="B9" t="str">
        <f>Service!B12</f>
        <v>40 Group Session</v>
      </c>
      <c r="C9">
        <f>Service!D12</f>
        <v>120</v>
      </c>
      <c r="D9">
        <f>Service!E12</f>
        <v>1</v>
      </c>
      <c r="E9">
        <f>Service!G12</f>
        <v>1</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40 Group Session</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40 Group Session</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40 Group Session</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8 Group Session</v>
      </c>
      <c r="C13">
        <f>Service!D16</f>
        <v>240</v>
      </c>
      <c r="D13">
        <f>Service!E16</f>
        <v>7</v>
      </c>
      <c r="E13">
        <f>Service!G16</f>
        <v>1</v>
      </c>
      <c r="F13">
        <f>IF($D13&gt;1,($C13*(ROUNDUP(INDEX('Required Capacity (Hide)'!$B$5:$C$19,MATCH('Service Backing (H)'!$B13,'Required Capacity (Hide)'!$A$5:$A$19,0),1)/$D13,0))/INDEX('Required Capacity (Hide)'!$B$5:$C$19,MATCH('Service Backing (H)'!$B13,'Required Capacity (Hide)'!$A$5:$A$19,0),1))*E13,0)</f>
        <v>40</v>
      </c>
      <c r="G13">
        <f>IF($D13&gt;1,($C13*(ROUNDUP(INDEX('Required Capacity (Hide)'!$B$5:$C$19,MATCH('Service Backing (H)'!$B13,'Required Capacity (Hide)'!$A$5:$A$19,0),2)/$D13,0))/INDEX('Required Capacity (Hide)'!$B$5:$C$19,MATCH('Service Backing (H)'!$B13,'Required Capacity (Hide)'!$A$5:$A$19,0),2))*E13,0)</f>
        <v>37.20930232558139</v>
      </c>
      <c r="H13">
        <f>SUMIF(INDEX($D$3:$D$77,ROW(A11),0):INDEX($D$3:$D$77,ROUNDUP(ROW(A11)/5,0)*5,1),"&gt;"&amp;1,INDEX($F$3:$F$77,ROW(A11),0):INDEX($F$3:$F$77,ROUNDUP(ROW(A11)/5,0)*5,1))</f>
        <v>40</v>
      </c>
      <c r="I13">
        <f>SUMIF(INDEX($D$3:$D$77,ROW(A11),0):INDEX($D$3:$D$77,ROUNDUP(ROW(A11)/5,0)*5,1),"&gt;"&amp;1,INDEX($G$3:$G$77,ROW(A11),0):INDEX($G$3:$G$77,ROUNDUP(ROW(A11)/5,0)*5,1))</f>
        <v>37.20930232558139</v>
      </c>
    </row>
    <row r="14" spans="2:9" x14ac:dyDescent="0.35">
      <c r="B14" t="str">
        <f>Service!B17</f>
        <v>8 Group Session</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8 Group Session</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8 Group Session</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8 Group Session</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20 Individual</v>
      </c>
      <c r="C18">
        <f>Service!D21</f>
        <v>45</v>
      </c>
      <c r="D18">
        <f>Service!E21</f>
        <v>1</v>
      </c>
      <c r="E18">
        <f>Service!G21</f>
        <v>1</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20 Individual</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20 Individual</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20 Individual</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20 Individual</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40 Individual</v>
      </c>
      <c r="C23">
        <f>Service!D26</f>
        <v>60</v>
      </c>
      <c r="D23">
        <f>Service!E26</f>
        <v>1</v>
      </c>
      <c r="E23">
        <f>Service!G26</f>
        <v>1</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40 Individual</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40 Individual</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40 Individual</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40 Individual</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(H)'!$H$3:$I$77,MATCH('Required Capacity (Hide)'!H$1,'Service Backing (H)'!$B$3:$B$75,0),1)/IF(Summary!$B$7="Minutes",1,60))</f>
        <v>0.35077452667814113</v>
      </c>
      <c r="I3" s="28">
        <f>IF(Service!$C$3="Yes",INDEX(Service!$I$6:$J$80,MATCH('Required Capacity (Hide)'!I$1,Service!$B$6:$B$80,0),2)/IF(Summary!$B$7="Minutes",1,60),INDEX('Service Backing (H)'!$H$3:$I$77,MATCH('Required Capacity (Hide)'!I$1,'Service Backing (H)'!$B$3:$B$75,0),2)/IF(Summary!$B$7="Minutes",1,60))</f>
        <v>0.29114285714285715</v>
      </c>
      <c r="J3" s="27"/>
      <c r="K3" s="28"/>
      <c r="L3" s="26">
        <f>INDEX(Service!$I$6:$J$80,MATCH('Required Capacity (Hide)'!L$1,Service!$B$6:$B$80,0),1)/IF(Summary!$B$7="Minutes",1,60)</f>
        <v>2</v>
      </c>
      <c r="M3" s="28"/>
      <c r="N3" s="26">
        <f>IF(Service!$C$3="Yes",INDEX(Service!$I$6:$J$80,MATCH('Required Capacity (Hide)'!N$1,Service!$B$6:$B$80,0),2)/IF(Summary!$B$7="Minutes",1,60),INDEX('Service Backing (H)'!$H$3:$I$77,MATCH('Required Capacity (Hide)'!N$1,'Service Backing (H)'!$B$3:$B$75,0),1)/IF(Summary!$B$7="Minutes",1,60))</f>
        <v>0.47058823529411747</v>
      </c>
      <c r="O3" s="28">
        <f>IF(Service!$C$3="Yes",INDEX(Service!$I$6:$J$80,MATCH('Required Capacity (Hide)'!O$1,Service!$B$6:$B$80,0),2)/IF(Summary!$B$7="Minutes",1,60),INDEX('Service Backing (H)'!$H$3:$I$77,MATCH('Required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0.66666666666666663</v>
      </c>
      <c r="U3" s="28">
        <f>IF(Service!$C$3="Yes",INDEX(Service!$I$6:$J$80,MATCH('Required Capacity (Hide)'!U$1,Service!$B$6:$B$80,0),2)/IF(Summary!$B$7="Minutes",1,60),INDEX('Service Backing (H)'!$H$3:$I$77,MATCH('Required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10.190000000000001</v>
      </c>
      <c r="I5" s="15">
        <f>INDEX($B$5:$C$19,MATCH(F$1,$A$5:$A$19,0),2)*I$3</f>
        <v>10.19</v>
      </c>
      <c r="J5" s="5">
        <f>SUMIF(F$4:I$4,J$4,F5:I5)</f>
        <v>46.502500000000012</v>
      </c>
      <c r="K5" s="6">
        <f>SUMIF(F$4:I$4,K$4,F5:I5)</f>
        <v>53.94</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26.19</v>
      </c>
      <c r="CU5" s="7">
        <f>SUMIFS($F5:$CQ5,$F$2:$CQ$2,CU$2,$F$4:$CQ$4,CU$4)</f>
        <v>28.189999999999998</v>
      </c>
      <c r="CV5" s="5">
        <f>SUM(CR5,CT5)</f>
        <v>157.54000000000002</v>
      </c>
      <c r="CW5" s="6">
        <f>SUM(CS5,CU5)</f>
        <v>195.04</v>
      </c>
      <c r="CY5" s="7">
        <f t="array" ref="CY5:CY56">Summary_LowerBound</f>
        <v>157.54000000000002</v>
      </c>
      <c r="CZ5" s="5">
        <f t="array" ref="CZ5">Summary_UpperBound</f>
        <v>195.04</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10.190000000000001</v>
      </c>
      <c r="I6" s="6">
        <f t="shared" ref="I6:I56" si="3">INDEX($B$5:$C$19,MATCH(F$1,$A$5:$A$19,0),2)*I$3</f>
        <v>10.19</v>
      </c>
      <c r="J6" s="5">
        <f t="shared" ref="J6:J56" si="4">SUMIF(F$4:I$4,J$4,F6:I6)</f>
        <v>46.502500000000012</v>
      </c>
      <c r="K6" s="6">
        <f t="shared" ref="K6:K56" si="5">SUMIF(F$4:I$4,K$4,F6:I6)</f>
        <v>53.94</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26.19</v>
      </c>
      <c r="CU6" s="7">
        <f t="shared" si="90"/>
        <v>28.189999999999998</v>
      </c>
      <c r="CV6" s="5">
        <f t="shared" ref="CV6:CV56" si="91">SUM(CR6,CT6)</f>
        <v>157.54000000000002</v>
      </c>
      <c r="CW6" s="6">
        <f t="shared" ref="CW6:CW56" si="92">SUM(CS6,CU6)</f>
        <v>195.04</v>
      </c>
      <c r="CY6" s="7">
        <v>157.54000000000002</v>
      </c>
      <c r="CZ6" s="5">
        <f t="array" ref="CZ6">Summary_UpperBound</f>
        <v>195.04</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10.190000000000001</v>
      </c>
      <c r="I7" s="6">
        <f t="shared" si="3"/>
        <v>10.19</v>
      </c>
      <c r="J7" s="5">
        <f t="shared" si="4"/>
        <v>46.502500000000012</v>
      </c>
      <c r="K7" s="6">
        <f t="shared" si="5"/>
        <v>53.94</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26.19</v>
      </c>
      <c r="CU7" s="7">
        <f t="shared" si="90"/>
        <v>28.189999999999998</v>
      </c>
      <c r="CV7" s="5">
        <f t="shared" si="91"/>
        <v>157.54000000000002</v>
      </c>
      <c r="CW7" s="6">
        <f t="shared" si="92"/>
        <v>195.04</v>
      </c>
      <c r="CY7" s="7">
        <v>157.54000000000002</v>
      </c>
      <c r="CZ7" s="5">
        <f t="array" ref="CZ7">Summary_UpperBound</f>
        <v>195.04</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10.190000000000001</v>
      </c>
      <c r="I8" s="6">
        <f t="shared" si="3"/>
        <v>10.19</v>
      </c>
      <c r="J8" s="5">
        <f t="shared" si="4"/>
        <v>46.502500000000012</v>
      </c>
      <c r="K8" s="6">
        <f t="shared" si="5"/>
        <v>53.94</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26.19</v>
      </c>
      <c r="CU8" s="7">
        <f t="shared" si="90"/>
        <v>28.189999999999998</v>
      </c>
      <c r="CV8" s="5">
        <f t="shared" si="91"/>
        <v>157.54000000000002</v>
      </c>
      <c r="CW8" s="6">
        <f t="shared" si="92"/>
        <v>195.04</v>
      </c>
      <c r="CY8" s="7">
        <v>157.54000000000002</v>
      </c>
      <c r="CZ8" s="5">
        <f t="array" ref="CZ8">Summary_UpperBound</f>
        <v>195.04</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10.190000000000001</v>
      </c>
      <c r="I9" s="6">
        <f t="shared" si="3"/>
        <v>10.19</v>
      </c>
      <c r="J9" s="5">
        <f t="shared" si="4"/>
        <v>46.502500000000012</v>
      </c>
      <c r="K9" s="6">
        <f t="shared" si="5"/>
        <v>53.94</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26.19</v>
      </c>
      <c r="CU9" s="7">
        <f t="shared" si="90"/>
        <v>28.189999999999998</v>
      </c>
      <c r="CV9" s="5">
        <f t="shared" si="91"/>
        <v>157.54000000000002</v>
      </c>
      <c r="CW9" s="6">
        <f t="shared" si="92"/>
        <v>195.04</v>
      </c>
      <c r="CY9" s="7">
        <v>157.54000000000002</v>
      </c>
      <c r="CZ9" s="5">
        <f t="array" ref="CZ9">Summary_UpperBound</f>
        <v>195.04</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10.190000000000001</v>
      </c>
      <c r="I10" s="6">
        <f t="shared" si="3"/>
        <v>10.19</v>
      </c>
      <c r="J10" s="5">
        <f t="shared" si="4"/>
        <v>46.502500000000012</v>
      </c>
      <c r="K10" s="6">
        <f t="shared" si="5"/>
        <v>53.94</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26.19</v>
      </c>
      <c r="CU10" s="7">
        <f t="shared" si="90"/>
        <v>28.189999999999998</v>
      </c>
      <c r="CV10" s="5">
        <f t="shared" si="91"/>
        <v>157.54000000000002</v>
      </c>
      <c r="CW10" s="6">
        <f t="shared" si="92"/>
        <v>195.04</v>
      </c>
      <c r="CY10" s="7">
        <v>157.54000000000002</v>
      </c>
      <c r="CZ10" s="5">
        <f t="array" ref="CZ10">Summary_UpperBound</f>
        <v>195.04</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10.190000000000001</v>
      </c>
      <c r="I11" s="6">
        <f t="shared" si="3"/>
        <v>10.19</v>
      </c>
      <c r="J11" s="5">
        <f t="shared" si="4"/>
        <v>46.502500000000012</v>
      </c>
      <c r="K11" s="6">
        <f t="shared" si="5"/>
        <v>53.94</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26.19</v>
      </c>
      <c r="CU11" s="7">
        <f t="shared" si="90"/>
        <v>28.189999999999998</v>
      </c>
      <c r="CV11" s="5">
        <f t="shared" si="91"/>
        <v>157.54000000000002</v>
      </c>
      <c r="CW11" s="6">
        <f t="shared" si="92"/>
        <v>195.04</v>
      </c>
      <c r="CY11" s="7">
        <v>157.54000000000002</v>
      </c>
      <c r="CZ11" s="5">
        <f t="array" ref="CZ11">Summary_UpperBound</f>
        <v>195.04</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10.190000000000001</v>
      </c>
      <c r="I12" s="6">
        <f t="shared" si="3"/>
        <v>10.19</v>
      </c>
      <c r="J12" s="5">
        <f t="shared" si="4"/>
        <v>46.502500000000012</v>
      </c>
      <c r="K12" s="6">
        <f t="shared" si="5"/>
        <v>53.94</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26.19</v>
      </c>
      <c r="CU12" s="7">
        <f t="shared" si="90"/>
        <v>28.189999999999998</v>
      </c>
      <c r="CV12" s="5">
        <f t="shared" si="91"/>
        <v>157.54000000000002</v>
      </c>
      <c r="CW12" s="6">
        <f t="shared" si="92"/>
        <v>195.04</v>
      </c>
      <c r="CY12" s="7">
        <v>157.54000000000002</v>
      </c>
      <c r="CZ12" s="5">
        <f t="array" ref="CZ12">Summary_UpperBound</f>
        <v>195.04</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10.190000000000001</v>
      </c>
      <c r="I13" s="6">
        <f t="shared" si="3"/>
        <v>10.19</v>
      </c>
      <c r="J13" s="5">
        <f t="shared" si="4"/>
        <v>46.502500000000012</v>
      </c>
      <c r="K13" s="6">
        <f t="shared" si="5"/>
        <v>53.94</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26.19</v>
      </c>
      <c r="CU13" s="7">
        <f t="shared" si="90"/>
        <v>28.189999999999998</v>
      </c>
      <c r="CV13" s="5">
        <f t="shared" si="91"/>
        <v>157.54000000000002</v>
      </c>
      <c r="CW13" s="6">
        <f t="shared" si="92"/>
        <v>195.04</v>
      </c>
      <c r="CY13" s="7">
        <v>157.54000000000002</v>
      </c>
      <c r="CZ13" s="5">
        <f t="array" ref="CZ13">Summary_UpperBound</f>
        <v>195.04</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10.190000000000001</v>
      </c>
      <c r="I14" s="6">
        <f t="shared" si="3"/>
        <v>10.19</v>
      </c>
      <c r="J14" s="5">
        <f t="shared" si="4"/>
        <v>46.502500000000012</v>
      </c>
      <c r="K14" s="6">
        <f t="shared" si="5"/>
        <v>53.94</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26.19</v>
      </c>
      <c r="CU14" s="7">
        <f t="shared" si="90"/>
        <v>28.189999999999998</v>
      </c>
      <c r="CV14" s="5">
        <f t="shared" si="91"/>
        <v>157.54000000000002</v>
      </c>
      <c r="CW14" s="6">
        <f t="shared" si="92"/>
        <v>195.04</v>
      </c>
      <c r="CY14" s="7">
        <v>157.54000000000002</v>
      </c>
      <c r="CZ14" s="5">
        <f t="array" ref="CZ14">Summary_UpperBound</f>
        <v>195.04</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10.190000000000001</v>
      </c>
      <c r="I15" s="6">
        <f t="shared" si="3"/>
        <v>10.19</v>
      </c>
      <c r="J15" s="5">
        <f t="shared" si="4"/>
        <v>46.502500000000012</v>
      </c>
      <c r="K15" s="6">
        <f t="shared" si="5"/>
        <v>53.94</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26.19</v>
      </c>
      <c r="CU15" s="7">
        <f t="shared" si="90"/>
        <v>28.189999999999998</v>
      </c>
      <c r="CV15" s="5">
        <f t="shared" si="91"/>
        <v>157.54000000000002</v>
      </c>
      <c r="CW15" s="6">
        <f t="shared" si="92"/>
        <v>195.04</v>
      </c>
      <c r="CY15" s="7">
        <v>157.54000000000002</v>
      </c>
      <c r="CZ15" s="5">
        <f t="array" ref="CZ15">Summary_UpperBound</f>
        <v>195.04</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10.190000000000001</v>
      </c>
      <c r="I16" s="6">
        <f t="shared" si="3"/>
        <v>10.19</v>
      </c>
      <c r="J16" s="5">
        <f t="shared" si="4"/>
        <v>46.502500000000012</v>
      </c>
      <c r="K16" s="6">
        <f t="shared" si="5"/>
        <v>53.94</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26.19</v>
      </c>
      <c r="CU16" s="7">
        <f t="shared" si="90"/>
        <v>28.189999999999998</v>
      </c>
      <c r="CV16" s="5">
        <f t="shared" si="91"/>
        <v>157.54000000000002</v>
      </c>
      <c r="CW16" s="6">
        <f t="shared" si="92"/>
        <v>195.04</v>
      </c>
      <c r="CY16" s="7">
        <v>157.54000000000002</v>
      </c>
      <c r="CZ16" s="5">
        <f t="array" ref="CZ16">Summary_UpperBound</f>
        <v>195.04</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10.190000000000001</v>
      </c>
      <c r="I17" s="6">
        <f t="shared" si="3"/>
        <v>10.19</v>
      </c>
      <c r="J17" s="5">
        <f t="shared" si="4"/>
        <v>46.502500000000012</v>
      </c>
      <c r="K17" s="6">
        <f t="shared" si="5"/>
        <v>53.94</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26.19</v>
      </c>
      <c r="CU17" s="7">
        <f t="shared" si="90"/>
        <v>28.189999999999998</v>
      </c>
      <c r="CV17" s="5">
        <f t="shared" si="91"/>
        <v>157.54000000000002</v>
      </c>
      <c r="CW17" s="6">
        <f t="shared" si="92"/>
        <v>195.04</v>
      </c>
      <c r="CY17" s="7">
        <v>157.54000000000002</v>
      </c>
      <c r="CZ17" s="5">
        <f t="array" ref="CZ17">Summary_UpperBound</f>
        <v>195.04</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10.190000000000001</v>
      </c>
      <c r="I18" s="6">
        <f t="shared" si="3"/>
        <v>10.19</v>
      </c>
      <c r="J18" s="5">
        <f t="shared" si="4"/>
        <v>46.502500000000012</v>
      </c>
      <c r="K18" s="6">
        <f t="shared" si="5"/>
        <v>53.94</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26.19</v>
      </c>
      <c r="CU18" s="7">
        <f t="shared" si="90"/>
        <v>28.189999999999998</v>
      </c>
      <c r="CV18" s="5">
        <f t="shared" si="91"/>
        <v>157.54000000000002</v>
      </c>
      <c r="CW18" s="6">
        <f t="shared" si="92"/>
        <v>195.04</v>
      </c>
      <c r="CY18" s="7">
        <v>157.54000000000002</v>
      </c>
      <c r="CZ18" s="5">
        <f t="array" ref="CZ18">Summary_UpperBound</f>
        <v>195.04</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10.190000000000001</v>
      </c>
      <c r="I19" s="6">
        <f t="shared" si="3"/>
        <v>10.19</v>
      </c>
      <c r="J19" s="5">
        <f t="shared" si="4"/>
        <v>46.502500000000012</v>
      </c>
      <c r="K19" s="6">
        <f t="shared" si="5"/>
        <v>53.94</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26.19</v>
      </c>
      <c r="CU19" s="7">
        <f t="shared" si="90"/>
        <v>28.189999999999998</v>
      </c>
      <c r="CV19" s="5">
        <f t="shared" si="91"/>
        <v>157.54000000000002</v>
      </c>
      <c r="CW19" s="6">
        <f t="shared" si="92"/>
        <v>195.04</v>
      </c>
      <c r="CY19" s="7">
        <v>157.54000000000002</v>
      </c>
      <c r="CZ19" s="5">
        <f t="array" ref="CZ19">Summary_UpperBound</f>
        <v>195.04</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10.190000000000001</v>
      </c>
      <c r="I20" s="6">
        <f t="shared" si="3"/>
        <v>10.19</v>
      </c>
      <c r="J20" s="5">
        <f t="shared" si="4"/>
        <v>46.502500000000012</v>
      </c>
      <c r="K20" s="6">
        <f t="shared" si="5"/>
        <v>53.94</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26.19</v>
      </c>
      <c r="CU20" s="7">
        <f t="shared" si="90"/>
        <v>28.189999999999998</v>
      </c>
      <c r="CV20" s="5">
        <f t="shared" si="91"/>
        <v>157.54000000000002</v>
      </c>
      <c r="CW20" s="6">
        <f t="shared" si="92"/>
        <v>195.04</v>
      </c>
      <c r="CY20" s="7">
        <v>157.54000000000002</v>
      </c>
      <c r="CZ20" s="5">
        <f t="array" ref="CZ20">Summary_UpperBound</f>
        <v>195.04</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10.190000000000001</v>
      </c>
      <c r="I21" s="6">
        <f t="shared" si="3"/>
        <v>10.19</v>
      </c>
      <c r="J21" s="5">
        <f t="shared" si="4"/>
        <v>46.502500000000012</v>
      </c>
      <c r="K21" s="6">
        <f t="shared" si="5"/>
        <v>53.94</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26.19</v>
      </c>
      <c r="CU21" s="7">
        <f t="shared" si="90"/>
        <v>28.189999999999998</v>
      </c>
      <c r="CV21" s="5">
        <f t="shared" si="91"/>
        <v>157.54000000000002</v>
      </c>
      <c r="CW21" s="6">
        <f t="shared" si="92"/>
        <v>195.04</v>
      </c>
      <c r="CY21" s="7">
        <v>157.54000000000002</v>
      </c>
      <c r="CZ21" s="5">
        <f t="array" ref="CZ21">Summary_UpperBound</f>
        <v>195.04</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10.190000000000001</v>
      </c>
      <c r="I22" s="6">
        <f t="shared" si="3"/>
        <v>10.19</v>
      </c>
      <c r="J22" s="5">
        <f t="shared" si="4"/>
        <v>46.502500000000012</v>
      </c>
      <c r="K22" s="6">
        <f t="shared" si="5"/>
        <v>53.94</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26.19</v>
      </c>
      <c r="CU22" s="7">
        <f t="shared" si="90"/>
        <v>28.189999999999998</v>
      </c>
      <c r="CV22" s="5">
        <f t="shared" si="91"/>
        <v>157.54000000000002</v>
      </c>
      <c r="CW22" s="6">
        <f t="shared" si="92"/>
        <v>195.04</v>
      </c>
      <c r="CY22" s="7">
        <v>157.54000000000002</v>
      </c>
      <c r="CZ22" s="5">
        <f t="array" ref="CZ22">Summary_UpperBound</f>
        <v>195.04</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10.190000000000001</v>
      </c>
      <c r="I23" s="6">
        <f t="shared" si="3"/>
        <v>10.19</v>
      </c>
      <c r="J23" s="5">
        <f t="shared" si="4"/>
        <v>46.502500000000012</v>
      </c>
      <c r="K23" s="6">
        <f t="shared" si="5"/>
        <v>53.94</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26.19</v>
      </c>
      <c r="CU23" s="7">
        <f t="shared" si="90"/>
        <v>28.189999999999998</v>
      </c>
      <c r="CV23" s="5">
        <f t="shared" si="91"/>
        <v>157.54000000000002</v>
      </c>
      <c r="CW23" s="6">
        <f t="shared" si="92"/>
        <v>195.04</v>
      </c>
      <c r="CY23" s="7">
        <v>157.54000000000002</v>
      </c>
      <c r="CZ23" s="5">
        <f t="array" ref="CZ23">Summary_UpperBound</f>
        <v>195.04</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10.190000000000001</v>
      </c>
      <c r="I24" s="6">
        <f t="shared" si="3"/>
        <v>10.19</v>
      </c>
      <c r="J24" s="5">
        <f t="shared" si="4"/>
        <v>46.502500000000012</v>
      </c>
      <c r="K24" s="6">
        <f t="shared" si="5"/>
        <v>53.94</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26.19</v>
      </c>
      <c r="CU24" s="7">
        <f t="shared" si="90"/>
        <v>28.189999999999998</v>
      </c>
      <c r="CV24" s="5">
        <f t="shared" si="91"/>
        <v>157.54000000000002</v>
      </c>
      <c r="CW24" s="6">
        <f t="shared" si="92"/>
        <v>195.04</v>
      </c>
      <c r="CY24" s="7">
        <v>157.54000000000002</v>
      </c>
      <c r="CZ24" s="5">
        <f t="array" ref="CZ24">Summary_UpperBound</f>
        <v>195.04</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10.190000000000001</v>
      </c>
      <c r="I25" s="6">
        <f t="shared" si="3"/>
        <v>10.19</v>
      </c>
      <c r="J25" s="5">
        <f t="shared" si="4"/>
        <v>46.502500000000012</v>
      </c>
      <c r="K25" s="6">
        <f t="shared" si="5"/>
        <v>53.94</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26.19</v>
      </c>
      <c r="CU25" s="7">
        <f t="shared" si="90"/>
        <v>28.189999999999998</v>
      </c>
      <c r="CV25" s="5">
        <f t="shared" si="91"/>
        <v>157.54000000000002</v>
      </c>
      <c r="CW25" s="6">
        <f t="shared" si="92"/>
        <v>195.04</v>
      </c>
      <c r="CY25" s="7">
        <v>157.54000000000002</v>
      </c>
      <c r="CZ25" s="5">
        <f t="array" ref="CZ25">Summary_UpperBound</f>
        <v>195.04</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10.190000000000001</v>
      </c>
      <c r="I26" s="6">
        <f t="shared" si="3"/>
        <v>10.19</v>
      </c>
      <c r="J26" s="5">
        <f t="shared" si="4"/>
        <v>46.502500000000012</v>
      </c>
      <c r="K26" s="6">
        <f t="shared" si="5"/>
        <v>53.94</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26.19</v>
      </c>
      <c r="CU26" s="7">
        <f t="shared" si="90"/>
        <v>28.189999999999998</v>
      </c>
      <c r="CV26" s="5">
        <f t="shared" si="91"/>
        <v>157.54000000000002</v>
      </c>
      <c r="CW26" s="6">
        <f t="shared" si="92"/>
        <v>195.04</v>
      </c>
      <c r="CY26" s="7">
        <v>157.54000000000002</v>
      </c>
      <c r="CZ26" s="5">
        <f t="array" ref="CZ26">Summary_UpperBound</f>
        <v>195.04</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10.190000000000001</v>
      </c>
      <c r="I27" s="6">
        <f t="shared" si="3"/>
        <v>10.19</v>
      </c>
      <c r="J27" s="5">
        <f t="shared" si="4"/>
        <v>46.502500000000012</v>
      </c>
      <c r="K27" s="6">
        <f t="shared" si="5"/>
        <v>53.94</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26.19</v>
      </c>
      <c r="CU27" s="7">
        <f t="shared" si="90"/>
        <v>28.189999999999998</v>
      </c>
      <c r="CV27" s="5">
        <f t="shared" si="91"/>
        <v>157.54000000000002</v>
      </c>
      <c r="CW27" s="6">
        <f t="shared" si="92"/>
        <v>195.04</v>
      </c>
      <c r="CY27" s="7">
        <v>157.54000000000002</v>
      </c>
      <c r="CZ27" s="5">
        <f t="array" ref="CZ27">Summary_UpperBound</f>
        <v>195.04</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10.190000000000001</v>
      </c>
      <c r="I28" s="6">
        <f t="shared" si="3"/>
        <v>10.19</v>
      </c>
      <c r="J28" s="5">
        <f t="shared" si="4"/>
        <v>46.502500000000012</v>
      </c>
      <c r="K28" s="6">
        <f t="shared" si="5"/>
        <v>53.94</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26.19</v>
      </c>
      <c r="CU28" s="7">
        <f t="shared" si="90"/>
        <v>28.189999999999998</v>
      </c>
      <c r="CV28" s="5">
        <f t="shared" si="91"/>
        <v>157.54000000000002</v>
      </c>
      <c r="CW28" s="6">
        <f t="shared" si="92"/>
        <v>195.04</v>
      </c>
      <c r="CY28" s="7">
        <v>157.54000000000002</v>
      </c>
      <c r="CZ28" s="5">
        <f t="array" ref="CZ28">Summary_UpperBound</f>
        <v>195.04</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10.190000000000001</v>
      </c>
      <c r="I29" s="6">
        <f t="shared" si="3"/>
        <v>10.19</v>
      </c>
      <c r="J29" s="5">
        <f t="shared" si="4"/>
        <v>46.502500000000012</v>
      </c>
      <c r="K29" s="6">
        <f t="shared" si="5"/>
        <v>53.94</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26.19</v>
      </c>
      <c r="CU29" s="7">
        <f t="shared" si="90"/>
        <v>28.189999999999998</v>
      </c>
      <c r="CV29" s="5">
        <f t="shared" si="91"/>
        <v>157.54000000000002</v>
      </c>
      <c r="CW29" s="6">
        <f t="shared" si="92"/>
        <v>195.04</v>
      </c>
      <c r="CY29" s="7">
        <v>157.54000000000002</v>
      </c>
      <c r="CZ29" s="5">
        <f t="array" ref="CZ29">Summary_UpperBound</f>
        <v>195.04</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10.190000000000001</v>
      </c>
      <c r="I30" s="6">
        <f t="shared" si="3"/>
        <v>10.19</v>
      </c>
      <c r="J30" s="5">
        <f t="shared" si="4"/>
        <v>46.502500000000012</v>
      </c>
      <c r="K30" s="6">
        <f t="shared" si="5"/>
        <v>53.94</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26.19</v>
      </c>
      <c r="CU30" s="7">
        <f t="shared" si="90"/>
        <v>28.189999999999998</v>
      </c>
      <c r="CV30" s="5">
        <f t="shared" si="91"/>
        <v>157.54000000000002</v>
      </c>
      <c r="CW30" s="6">
        <f t="shared" si="92"/>
        <v>195.04</v>
      </c>
      <c r="CY30" s="7">
        <v>157.54000000000002</v>
      </c>
      <c r="CZ30" s="5">
        <f t="array" ref="CZ30">Summary_UpperBound</f>
        <v>195.04</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10.190000000000001</v>
      </c>
      <c r="I31" s="6">
        <f t="shared" si="3"/>
        <v>10.19</v>
      </c>
      <c r="J31" s="5">
        <f t="shared" si="4"/>
        <v>46.502500000000012</v>
      </c>
      <c r="K31" s="6">
        <f t="shared" si="5"/>
        <v>53.94</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26.19</v>
      </c>
      <c r="CU31" s="7">
        <f t="shared" si="90"/>
        <v>28.189999999999998</v>
      </c>
      <c r="CV31" s="5">
        <f t="shared" si="91"/>
        <v>157.54000000000002</v>
      </c>
      <c r="CW31" s="6">
        <f t="shared" si="92"/>
        <v>195.04</v>
      </c>
      <c r="CY31" s="7">
        <v>157.54000000000002</v>
      </c>
      <c r="CZ31" s="5">
        <f t="array" ref="CZ31">Summary_UpperBound</f>
        <v>195.04</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10.190000000000001</v>
      </c>
      <c r="I32" s="6">
        <f t="shared" si="3"/>
        <v>10.19</v>
      </c>
      <c r="J32" s="5">
        <f t="shared" si="4"/>
        <v>46.502500000000012</v>
      </c>
      <c r="K32" s="6">
        <f t="shared" si="5"/>
        <v>53.94</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26.19</v>
      </c>
      <c r="CU32" s="7">
        <f t="shared" si="90"/>
        <v>28.189999999999998</v>
      </c>
      <c r="CV32" s="5">
        <f t="shared" si="91"/>
        <v>157.54000000000002</v>
      </c>
      <c r="CW32" s="6">
        <f t="shared" si="92"/>
        <v>195.04</v>
      </c>
      <c r="CY32" s="7">
        <v>157.54000000000002</v>
      </c>
      <c r="CZ32" s="5">
        <f t="array" ref="CZ32">Summary_UpperBound</f>
        <v>195.04</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10.190000000000001</v>
      </c>
      <c r="I33" s="6">
        <f t="shared" si="3"/>
        <v>10.19</v>
      </c>
      <c r="J33" s="5">
        <f t="shared" si="4"/>
        <v>46.502500000000012</v>
      </c>
      <c r="K33" s="6">
        <f t="shared" si="5"/>
        <v>53.94</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26.19</v>
      </c>
      <c r="CU33" s="7">
        <f t="shared" si="90"/>
        <v>28.189999999999998</v>
      </c>
      <c r="CV33" s="5">
        <f t="shared" si="91"/>
        <v>157.54000000000002</v>
      </c>
      <c r="CW33" s="6">
        <f t="shared" si="92"/>
        <v>195.04</v>
      </c>
      <c r="CY33" s="7">
        <v>157.54000000000002</v>
      </c>
      <c r="CZ33" s="5">
        <f t="array" ref="CZ33">Summary_UpperBound</f>
        <v>195.04</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10.190000000000001</v>
      </c>
      <c r="I34" s="6">
        <f t="shared" si="3"/>
        <v>10.19</v>
      </c>
      <c r="J34" s="5">
        <f t="shared" si="4"/>
        <v>46.502500000000012</v>
      </c>
      <c r="K34" s="6">
        <f t="shared" si="5"/>
        <v>53.94</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26.19</v>
      </c>
      <c r="CU34" s="7">
        <f t="shared" si="90"/>
        <v>28.189999999999998</v>
      </c>
      <c r="CV34" s="5">
        <f t="shared" si="91"/>
        <v>157.54000000000002</v>
      </c>
      <c r="CW34" s="6">
        <f t="shared" si="92"/>
        <v>195.04</v>
      </c>
      <c r="CY34" s="7">
        <v>157.54000000000002</v>
      </c>
      <c r="CZ34" s="5">
        <f t="array" ref="CZ34">Summary_UpperBound</f>
        <v>195.04</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10.190000000000001</v>
      </c>
      <c r="I35" s="6">
        <f t="shared" si="3"/>
        <v>10.19</v>
      </c>
      <c r="J35" s="5">
        <f t="shared" si="4"/>
        <v>46.502500000000012</v>
      </c>
      <c r="K35" s="6">
        <f t="shared" si="5"/>
        <v>53.94</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26.19</v>
      </c>
      <c r="CU35" s="7">
        <f t="shared" si="90"/>
        <v>28.189999999999998</v>
      </c>
      <c r="CV35" s="5">
        <f t="shared" si="91"/>
        <v>157.54000000000002</v>
      </c>
      <c r="CW35" s="6">
        <f t="shared" si="92"/>
        <v>195.04</v>
      </c>
      <c r="CY35" s="7">
        <v>157.54000000000002</v>
      </c>
      <c r="CZ35" s="5">
        <f t="array" ref="CZ35">Summary_UpperBound</f>
        <v>195.04</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10.190000000000001</v>
      </c>
      <c r="I36" s="6">
        <f t="shared" si="3"/>
        <v>10.19</v>
      </c>
      <c r="J36" s="5">
        <f t="shared" si="4"/>
        <v>46.502500000000012</v>
      </c>
      <c r="K36" s="6">
        <f t="shared" si="5"/>
        <v>53.94</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26.19</v>
      </c>
      <c r="CU36" s="7">
        <f t="shared" si="90"/>
        <v>28.189999999999998</v>
      </c>
      <c r="CV36" s="5">
        <f t="shared" si="91"/>
        <v>157.54000000000002</v>
      </c>
      <c r="CW36" s="6">
        <f t="shared" si="92"/>
        <v>195.04</v>
      </c>
      <c r="CY36" s="7">
        <v>157.54000000000002</v>
      </c>
      <c r="CZ36" s="5">
        <f t="array" ref="CZ36">Summary_UpperBound</f>
        <v>195.04</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10.190000000000001</v>
      </c>
      <c r="I37" s="6">
        <f t="shared" si="3"/>
        <v>10.19</v>
      </c>
      <c r="J37" s="5">
        <f t="shared" si="4"/>
        <v>46.502500000000012</v>
      </c>
      <c r="K37" s="6">
        <f t="shared" si="5"/>
        <v>53.94</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26.19</v>
      </c>
      <c r="CU37" s="7">
        <f t="shared" si="90"/>
        <v>28.189999999999998</v>
      </c>
      <c r="CV37" s="5">
        <f t="shared" si="91"/>
        <v>157.54000000000002</v>
      </c>
      <c r="CW37" s="6">
        <f t="shared" si="92"/>
        <v>195.04</v>
      </c>
      <c r="CY37" s="7">
        <v>157.54000000000002</v>
      </c>
      <c r="CZ37" s="5">
        <f t="array" ref="CZ37">Summary_UpperBound</f>
        <v>195.04</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10.190000000000001</v>
      </c>
      <c r="I38" s="6">
        <f t="shared" si="3"/>
        <v>10.19</v>
      </c>
      <c r="J38" s="5">
        <f t="shared" si="4"/>
        <v>46.502500000000012</v>
      </c>
      <c r="K38" s="6">
        <f t="shared" si="5"/>
        <v>53.94</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26.19</v>
      </c>
      <c r="CU38" s="7">
        <f t="shared" si="90"/>
        <v>28.189999999999998</v>
      </c>
      <c r="CV38" s="5">
        <f t="shared" si="91"/>
        <v>157.54000000000002</v>
      </c>
      <c r="CW38" s="6">
        <f t="shared" si="92"/>
        <v>195.04</v>
      </c>
      <c r="CY38" s="7">
        <v>157.54000000000002</v>
      </c>
      <c r="CZ38" s="5">
        <f t="array" ref="CZ38">Summary_UpperBound</f>
        <v>195.04</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10.190000000000001</v>
      </c>
      <c r="I39" s="6">
        <f t="shared" si="3"/>
        <v>10.19</v>
      </c>
      <c r="J39" s="5">
        <f t="shared" si="4"/>
        <v>46.502500000000012</v>
      </c>
      <c r="K39" s="6">
        <f t="shared" si="5"/>
        <v>53.94</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26.19</v>
      </c>
      <c r="CU39" s="7">
        <f t="shared" si="90"/>
        <v>28.189999999999998</v>
      </c>
      <c r="CV39" s="5">
        <f t="shared" si="91"/>
        <v>157.54000000000002</v>
      </c>
      <c r="CW39" s="6">
        <f t="shared" si="92"/>
        <v>195.04</v>
      </c>
      <c r="CY39" s="7">
        <v>157.54000000000002</v>
      </c>
      <c r="CZ39" s="5">
        <f t="array" ref="CZ39">Summary_UpperBound</f>
        <v>195.04</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10.190000000000001</v>
      </c>
      <c r="I40" s="6">
        <f t="shared" si="3"/>
        <v>10.19</v>
      </c>
      <c r="J40" s="5">
        <f t="shared" si="4"/>
        <v>46.502500000000012</v>
      </c>
      <c r="K40" s="6">
        <f t="shared" si="5"/>
        <v>53.94</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26.19</v>
      </c>
      <c r="CU40" s="7">
        <f t="shared" si="90"/>
        <v>28.189999999999998</v>
      </c>
      <c r="CV40" s="5">
        <f t="shared" si="91"/>
        <v>157.54000000000002</v>
      </c>
      <c r="CW40" s="6">
        <f t="shared" si="92"/>
        <v>195.04</v>
      </c>
      <c r="CY40" s="7">
        <v>157.54000000000002</v>
      </c>
      <c r="CZ40" s="5">
        <f t="array" ref="CZ40">Summary_UpperBound</f>
        <v>195.04</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10.190000000000001</v>
      </c>
      <c r="I41" s="6">
        <f t="shared" si="3"/>
        <v>10.19</v>
      </c>
      <c r="J41" s="5">
        <f t="shared" si="4"/>
        <v>46.502500000000012</v>
      </c>
      <c r="K41" s="6">
        <f t="shared" si="5"/>
        <v>53.94</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26.19</v>
      </c>
      <c r="CU41" s="7">
        <f t="shared" si="90"/>
        <v>28.189999999999998</v>
      </c>
      <c r="CV41" s="5">
        <f t="shared" si="91"/>
        <v>157.54000000000002</v>
      </c>
      <c r="CW41" s="6">
        <f t="shared" si="92"/>
        <v>195.04</v>
      </c>
      <c r="CY41" s="7">
        <v>157.54000000000002</v>
      </c>
      <c r="CZ41" s="5">
        <f t="array" ref="CZ41">Summary_UpperBound</f>
        <v>195.04</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10.190000000000001</v>
      </c>
      <c r="I42" s="6">
        <f t="shared" si="3"/>
        <v>10.19</v>
      </c>
      <c r="J42" s="5">
        <f t="shared" si="4"/>
        <v>46.502500000000012</v>
      </c>
      <c r="K42" s="6">
        <f t="shared" si="5"/>
        <v>53.94</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26.19</v>
      </c>
      <c r="CU42" s="7">
        <f t="shared" si="90"/>
        <v>28.189999999999998</v>
      </c>
      <c r="CV42" s="5">
        <f t="shared" si="91"/>
        <v>157.54000000000002</v>
      </c>
      <c r="CW42" s="6">
        <f t="shared" si="92"/>
        <v>195.04</v>
      </c>
      <c r="CY42" s="7">
        <v>157.54000000000002</v>
      </c>
      <c r="CZ42" s="5">
        <f t="array" ref="CZ42">Summary_UpperBound</f>
        <v>195.04</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10.190000000000001</v>
      </c>
      <c r="I43" s="6">
        <f t="shared" si="3"/>
        <v>10.19</v>
      </c>
      <c r="J43" s="5">
        <f t="shared" si="4"/>
        <v>46.502500000000012</v>
      </c>
      <c r="K43" s="6">
        <f t="shared" si="5"/>
        <v>53.94</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26.19</v>
      </c>
      <c r="CU43" s="7">
        <f t="shared" si="90"/>
        <v>28.189999999999998</v>
      </c>
      <c r="CV43" s="5">
        <f t="shared" si="91"/>
        <v>157.54000000000002</v>
      </c>
      <c r="CW43" s="6">
        <f t="shared" si="92"/>
        <v>195.04</v>
      </c>
      <c r="CY43" s="7">
        <v>157.54000000000002</v>
      </c>
      <c r="CZ43" s="5">
        <f t="array" ref="CZ43">Summary_UpperBound</f>
        <v>195.04</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10.190000000000001</v>
      </c>
      <c r="I44" s="6">
        <f t="shared" si="3"/>
        <v>10.19</v>
      </c>
      <c r="J44" s="5">
        <f t="shared" si="4"/>
        <v>46.502500000000012</v>
      </c>
      <c r="K44" s="6">
        <f t="shared" si="5"/>
        <v>53.94</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26.19</v>
      </c>
      <c r="CU44" s="7">
        <f t="shared" si="90"/>
        <v>28.189999999999998</v>
      </c>
      <c r="CV44" s="5">
        <f t="shared" si="91"/>
        <v>157.54000000000002</v>
      </c>
      <c r="CW44" s="6">
        <f t="shared" si="92"/>
        <v>195.04</v>
      </c>
      <c r="CY44" s="7">
        <v>157.54000000000002</v>
      </c>
      <c r="CZ44" s="5">
        <f t="array" ref="CZ44">Summary_UpperBound</f>
        <v>195.04</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10.190000000000001</v>
      </c>
      <c r="I45" s="6">
        <f t="shared" si="3"/>
        <v>10.19</v>
      </c>
      <c r="J45" s="5">
        <f t="shared" si="4"/>
        <v>46.502500000000012</v>
      </c>
      <c r="K45" s="6">
        <f t="shared" si="5"/>
        <v>53.94</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26.19</v>
      </c>
      <c r="CU45" s="7">
        <f t="shared" si="90"/>
        <v>28.189999999999998</v>
      </c>
      <c r="CV45" s="5">
        <f t="shared" si="91"/>
        <v>157.54000000000002</v>
      </c>
      <c r="CW45" s="6">
        <f t="shared" si="92"/>
        <v>195.04</v>
      </c>
      <c r="CY45" s="7">
        <v>157.54000000000002</v>
      </c>
      <c r="CZ45" s="5">
        <f t="array" ref="CZ45">Summary_UpperBound</f>
        <v>195.04</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10.190000000000001</v>
      </c>
      <c r="I46" s="6">
        <f t="shared" si="3"/>
        <v>10.19</v>
      </c>
      <c r="J46" s="5">
        <f t="shared" si="4"/>
        <v>46.502500000000012</v>
      </c>
      <c r="K46" s="6">
        <f t="shared" si="5"/>
        <v>53.94</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26.19</v>
      </c>
      <c r="CU46" s="7">
        <f t="shared" si="90"/>
        <v>28.189999999999998</v>
      </c>
      <c r="CV46" s="5">
        <f t="shared" si="91"/>
        <v>157.54000000000002</v>
      </c>
      <c r="CW46" s="6">
        <f t="shared" si="92"/>
        <v>195.04</v>
      </c>
      <c r="CY46" s="7">
        <v>157.54000000000002</v>
      </c>
      <c r="CZ46" s="5">
        <f t="array" ref="CZ46">Summary_UpperBound</f>
        <v>195.04</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10.190000000000001</v>
      </c>
      <c r="I47" s="6">
        <f t="shared" si="3"/>
        <v>10.19</v>
      </c>
      <c r="J47" s="5">
        <f t="shared" si="4"/>
        <v>46.502500000000012</v>
      </c>
      <c r="K47" s="6">
        <f t="shared" si="5"/>
        <v>53.94</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26.19</v>
      </c>
      <c r="CU47" s="7">
        <f t="shared" si="90"/>
        <v>28.189999999999998</v>
      </c>
      <c r="CV47" s="5">
        <f t="shared" si="91"/>
        <v>157.54000000000002</v>
      </c>
      <c r="CW47" s="6">
        <f t="shared" si="92"/>
        <v>195.04</v>
      </c>
      <c r="CY47" s="7">
        <v>157.54000000000002</v>
      </c>
      <c r="CZ47" s="5">
        <f t="array" ref="CZ47">Summary_UpperBound</f>
        <v>195.04</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10.190000000000001</v>
      </c>
      <c r="I48" s="6">
        <f t="shared" si="3"/>
        <v>10.19</v>
      </c>
      <c r="J48" s="5">
        <f t="shared" si="4"/>
        <v>46.502500000000012</v>
      </c>
      <c r="K48" s="6">
        <f t="shared" si="5"/>
        <v>53.94</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26.19</v>
      </c>
      <c r="CU48" s="7">
        <f t="shared" si="90"/>
        <v>28.189999999999998</v>
      </c>
      <c r="CV48" s="5">
        <f t="shared" si="91"/>
        <v>157.54000000000002</v>
      </c>
      <c r="CW48" s="6">
        <f t="shared" si="92"/>
        <v>195.04</v>
      </c>
      <c r="CY48" s="7">
        <v>157.54000000000002</v>
      </c>
      <c r="CZ48" s="5">
        <f t="array" ref="CZ48">Summary_UpperBound</f>
        <v>195.04</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10.190000000000001</v>
      </c>
      <c r="I49" s="6">
        <f t="shared" si="3"/>
        <v>10.19</v>
      </c>
      <c r="J49" s="5">
        <f t="shared" si="4"/>
        <v>46.502500000000012</v>
      </c>
      <c r="K49" s="6">
        <f t="shared" si="5"/>
        <v>53.94</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26.19</v>
      </c>
      <c r="CU49" s="7">
        <f t="shared" si="90"/>
        <v>28.189999999999998</v>
      </c>
      <c r="CV49" s="5">
        <f t="shared" si="91"/>
        <v>157.54000000000002</v>
      </c>
      <c r="CW49" s="6">
        <f t="shared" si="92"/>
        <v>195.04</v>
      </c>
      <c r="CY49" s="7">
        <v>157.54000000000002</v>
      </c>
      <c r="CZ49" s="5">
        <f t="array" ref="CZ49">Summary_UpperBound</f>
        <v>195.04</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10.190000000000001</v>
      </c>
      <c r="I50" s="6">
        <f t="shared" si="3"/>
        <v>10.19</v>
      </c>
      <c r="J50" s="5">
        <f t="shared" si="4"/>
        <v>46.502500000000012</v>
      </c>
      <c r="K50" s="6">
        <f t="shared" si="5"/>
        <v>53.94</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26.19</v>
      </c>
      <c r="CU50" s="7">
        <f t="shared" si="90"/>
        <v>28.189999999999998</v>
      </c>
      <c r="CV50" s="5">
        <f t="shared" si="91"/>
        <v>157.54000000000002</v>
      </c>
      <c r="CW50" s="6">
        <f t="shared" si="92"/>
        <v>195.04</v>
      </c>
      <c r="CY50" s="7">
        <v>157.54000000000002</v>
      </c>
      <c r="CZ50" s="5">
        <f t="array" ref="CZ50">Summary_UpperBound</f>
        <v>195.04</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10.190000000000001</v>
      </c>
      <c r="I51" s="6">
        <f t="shared" si="3"/>
        <v>10.19</v>
      </c>
      <c r="J51" s="5">
        <f t="shared" si="4"/>
        <v>46.502500000000012</v>
      </c>
      <c r="K51" s="6">
        <f t="shared" si="5"/>
        <v>53.94</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26.19</v>
      </c>
      <c r="CU51" s="7">
        <f t="shared" si="90"/>
        <v>28.189999999999998</v>
      </c>
      <c r="CV51" s="5">
        <f t="shared" si="91"/>
        <v>157.54000000000002</v>
      </c>
      <c r="CW51" s="6">
        <f t="shared" si="92"/>
        <v>195.04</v>
      </c>
      <c r="CY51" s="7">
        <v>157.54000000000002</v>
      </c>
      <c r="CZ51" s="5">
        <f t="array" ref="CZ51">Summary_UpperBound</f>
        <v>195.04</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10.190000000000001</v>
      </c>
      <c r="I52" s="6">
        <f t="shared" si="3"/>
        <v>10.19</v>
      </c>
      <c r="J52" s="5">
        <f t="shared" si="4"/>
        <v>46.502500000000012</v>
      </c>
      <c r="K52" s="6">
        <f t="shared" si="5"/>
        <v>53.94</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26.19</v>
      </c>
      <c r="CU52" s="7">
        <f t="shared" si="90"/>
        <v>28.189999999999998</v>
      </c>
      <c r="CV52" s="5">
        <f t="shared" si="91"/>
        <v>157.54000000000002</v>
      </c>
      <c r="CW52" s="6">
        <f t="shared" si="92"/>
        <v>195.04</v>
      </c>
      <c r="CY52" s="7">
        <v>157.54000000000002</v>
      </c>
      <c r="CZ52" s="5">
        <f t="array" ref="CZ52">Summary_UpperBound</f>
        <v>195.04</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10.190000000000001</v>
      </c>
      <c r="I53" s="6">
        <f t="shared" si="3"/>
        <v>10.19</v>
      </c>
      <c r="J53" s="5">
        <f t="shared" si="4"/>
        <v>46.502500000000012</v>
      </c>
      <c r="K53" s="6">
        <f t="shared" si="5"/>
        <v>53.94</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26.19</v>
      </c>
      <c r="CU53" s="7">
        <f t="shared" si="90"/>
        <v>28.189999999999998</v>
      </c>
      <c r="CV53" s="5">
        <f t="shared" si="91"/>
        <v>157.54000000000002</v>
      </c>
      <c r="CW53" s="6">
        <f t="shared" si="92"/>
        <v>195.04</v>
      </c>
      <c r="CY53" s="7">
        <v>157.54000000000002</v>
      </c>
      <c r="CZ53" s="5">
        <f t="array" ref="CZ53">Summary_UpperBound</f>
        <v>195.04</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10.190000000000001</v>
      </c>
      <c r="I54" s="6">
        <f t="shared" si="3"/>
        <v>10.19</v>
      </c>
      <c r="J54" s="5">
        <f t="shared" si="4"/>
        <v>46.502500000000012</v>
      </c>
      <c r="K54" s="6">
        <f t="shared" si="5"/>
        <v>53.94</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26.19</v>
      </c>
      <c r="CU54" s="7">
        <f t="shared" si="90"/>
        <v>28.189999999999998</v>
      </c>
      <c r="CV54" s="5">
        <f t="shared" si="91"/>
        <v>157.54000000000002</v>
      </c>
      <c r="CW54" s="6">
        <f t="shared" si="92"/>
        <v>195.04</v>
      </c>
      <c r="CY54" s="7">
        <v>157.54000000000002</v>
      </c>
      <c r="CZ54" s="5">
        <f t="array" ref="CZ54">Summary_UpperBound</f>
        <v>195.04</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10.190000000000001</v>
      </c>
      <c r="I55" s="6">
        <f t="shared" si="3"/>
        <v>10.19</v>
      </c>
      <c r="J55" s="5">
        <f t="shared" si="4"/>
        <v>46.502500000000012</v>
      </c>
      <c r="K55" s="6">
        <f t="shared" si="5"/>
        <v>53.94</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26.19</v>
      </c>
      <c r="CU55" s="7">
        <f t="shared" si="90"/>
        <v>28.189999999999998</v>
      </c>
      <c r="CV55" s="5">
        <f t="shared" si="91"/>
        <v>157.54000000000002</v>
      </c>
      <c r="CW55" s="6">
        <f t="shared" si="92"/>
        <v>195.04</v>
      </c>
      <c r="CY55" s="7">
        <v>157.54000000000002</v>
      </c>
      <c r="CZ55" s="5">
        <f t="array" ref="CZ55">Summary_UpperBound</f>
        <v>195.04</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10.190000000000001</v>
      </c>
      <c r="I56" s="10">
        <f t="shared" si="3"/>
        <v>10.19</v>
      </c>
      <c r="J56" s="9">
        <f t="shared" si="4"/>
        <v>46.502500000000012</v>
      </c>
      <c r="K56" s="10">
        <f t="shared" si="5"/>
        <v>53.94</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26.19</v>
      </c>
      <c r="CU56" s="7">
        <f t="shared" si="90"/>
        <v>28.189999999999998</v>
      </c>
      <c r="CV56" s="9">
        <f t="shared" si="91"/>
        <v>157.54000000000002</v>
      </c>
      <c r="CW56" s="10">
        <f t="shared" si="92"/>
        <v>195.04</v>
      </c>
      <c r="CY56" s="8">
        <v>157.54000000000002</v>
      </c>
      <c r="CZ56" s="9">
        <f t="array" ref="CZ56">Summary_UpperBound</f>
        <v>195.04</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f>AVERAGE(F5:F56)</f>
        <v>36.312500000000007</v>
      </c>
      <c r="G59" s="5">
        <f>AVERAGE(G5:G56)-F59</f>
        <v>7.4374999999999929</v>
      </c>
      <c r="H59" s="5">
        <f t="shared" ref="H59:BR59" si="94">AVERAGE(H5:H56)</f>
        <v>10.19</v>
      </c>
      <c r="I59" s="5">
        <f>AVERAGE(I5:I56)-H59</f>
        <v>0</v>
      </c>
      <c r="J59" s="5">
        <f t="shared" si="94"/>
        <v>46.50250000000004</v>
      </c>
      <c r="K59" s="5">
        <f>AVERAGE(K5:K56)-J59</f>
        <v>7.4375</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20 Group Sessions</v>
      </c>
      <c r="F63" s="5" cm="1">
        <f t="array" ref="F63">INDEX($F$59:$CW$60,1,MATCH(1,($E63=$F$1:$CQ$1)*($F$62=$F$4:$CQ$4)*(Summary!$B$5='Required Capacity (Hide)'!$F$2:$CQ$2),0))</f>
        <v>46.50250000000004</v>
      </c>
      <c r="G63" s="5" cm="1">
        <f t="array" ref="G63">IF(AND(INDEX($F$59:$CW$60,1,MATCH(1,($E63=$F$1:$CQ$1)*($G$62=$F$58:$CQ$58)*(Summary!$B$5='Required Capacity (Hide)'!$F$2:$CQ$2),0))=0,F63&gt;0),IF(Summary!$B$7="minutes",1,1/60),INDEX($F$59:$CW$60,1,MATCH(1,($E63=$F$1:$CQ$1)*($G$62=$F$58:$CQ$58)*(Summary!$B$5='Required Capacity (Hide)'!$F$2:$CQ$2),0)))</f>
        <v>7.4375</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f>SUM(F63:F77)</f>
        <v>157.54</v>
      </c>
      <c r="G78" s="18">
        <f>SUM(G63:G77)</f>
        <v>37.516666666666666</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workbookViewId="0">
      <selection activeCell="B13" sqref="B13"/>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211</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210</v>
      </c>
      <c r="W9" s="77" t="str">
        <f>"Avg. mins per week (52 weeks) per "&amp;LEFT(LOWER(GroupName),LEN(GroupName)-1)</f>
        <v>Avg. mins per week (52 weeks) per cluster</v>
      </c>
      <c r="X9" s="5"/>
      <c r="Y9" s="77" t="s">
        <v>97</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210</v>
      </c>
      <c r="AT9" s="77" t="str">
        <f>"Avg. mins per week (52 weeks) per "&amp;LEFT(LOWER(GroupName),LEN(GroupName)-1)</f>
        <v>Avg. mins per week (52 weeks) per cluster</v>
      </c>
    </row>
    <row r="10" spans="1:46" x14ac:dyDescent="0.35">
      <c r="B10" s="121" t="s">
        <v>223</v>
      </c>
      <c r="C10" s="136" t="s">
        <v>224</v>
      </c>
      <c r="D10" s="145"/>
      <c r="E10" s="145"/>
      <c r="F10" s="145"/>
      <c r="G10" s="145"/>
      <c r="H10" s="145"/>
      <c r="I10" s="145"/>
      <c r="J10" s="145"/>
      <c r="K10" s="145"/>
      <c r="L10" s="145"/>
      <c r="M10" s="145"/>
      <c r="N10" s="145"/>
      <c r="O10" s="145"/>
      <c r="P10" s="145"/>
      <c r="Q10" s="138"/>
      <c r="R10" s="121" t="s">
        <v>225</v>
      </c>
      <c r="S10" s="121">
        <v>52</v>
      </c>
      <c r="T10" s="121">
        <v>3600</v>
      </c>
      <c r="U10" s="37">
        <f>IF(T10*S10=0,"",T10*S10)</f>
        <v>187200</v>
      </c>
      <c r="V10" s="161">
        <f>IFERROR(U10/52,"")</f>
        <v>3600</v>
      </c>
      <c r="W10" s="161">
        <f>IFERROR(V10/COUNTIF(C10:Q10,"="&amp;"x"),"")</f>
        <v>3600</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226</v>
      </c>
      <c r="C11" s="139"/>
      <c r="D11" s="124" t="s">
        <v>227</v>
      </c>
      <c r="E11" s="124"/>
      <c r="F11" s="124"/>
      <c r="G11" s="124"/>
      <c r="H11" s="124"/>
      <c r="I11" s="124"/>
      <c r="J11" s="124"/>
      <c r="K11" s="124"/>
      <c r="L11" s="124"/>
      <c r="M11" s="124"/>
      <c r="N11" s="124"/>
      <c r="O11" s="124"/>
      <c r="P11" s="124"/>
      <c r="Q11" s="141"/>
      <c r="R11" s="122" t="s">
        <v>225</v>
      </c>
      <c r="S11" s="122">
        <v>52</v>
      </c>
      <c r="T11" s="122">
        <v>3600</v>
      </c>
      <c r="U11" s="47">
        <f t="shared" ref="U11:U74" si="1">IF(T11*S11=0,"",T11*S11)</f>
        <v>187200</v>
      </c>
      <c r="V11" s="162">
        <f t="shared" ref="V11:V73" si="2">IFERROR(U11/52,"")</f>
        <v>3600</v>
      </c>
      <c r="W11" s="162">
        <f t="shared" ref="W11:W74" si="3">IFERROR(V11/COUNTIF(C11:Q11,"="&amp;"x"),"")</f>
        <v>3600</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228</v>
      </c>
      <c r="C12" s="139"/>
      <c r="D12" s="124"/>
      <c r="E12" s="124" t="s">
        <v>227</v>
      </c>
      <c r="F12" s="124"/>
      <c r="G12" s="124"/>
      <c r="H12" s="124"/>
      <c r="I12" s="124"/>
      <c r="J12" s="124"/>
      <c r="K12" s="124"/>
      <c r="L12" s="124"/>
      <c r="M12" s="124"/>
      <c r="N12" s="124"/>
      <c r="O12" s="124"/>
      <c r="P12" s="124"/>
      <c r="Q12" s="141"/>
      <c r="R12" s="122" t="s">
        <v>225</v>
      </c>
      <c r="S12" s="122">
        <v>52</v>
      </c>
      <c r="T12" s="122">
        <v>3600</v>
      </c>
      <c r="U12" s="47">
        <f t="shared" si="1"/>
        <v>187200</v>
      </c>
      <c r="V12" s="162">
        <f t="shared" si="2"/>
        <v>3600</v>
      </c>
      <c r="W12" s="162">
        <f t="shared" si="3"/>
        <v>3600</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A109" workbookViewId="0">
      <selection activeCell="E113" sqref="E113"/>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212</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212</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ca="1">C261+F261</f>
        <v>60</v>
      </c>
      <c r="J261">
        <f ca="1">D261+G261</f>
        <v>60</v>
      </c>
    </row>
    <row r="262" spans="1:55" x14ac:dyDescent="0.35">
      <c r="A262" t="str" cm="1">
        <f t="array" ref="A262">INDEX('Data Validation (Hide)'!$B$2:$B$16,ROW(A2),1)</f>
        <v>40 Group Session</v>
      </c>
      <c r="B262">
        <f t="shared" ref="B262:B275" ca="1" si="61">BC77</f>
        <v>0</v>
      </c>
      <c r="C262">
        <f t="shared" ref="C262:C275" ca="1" si="62">BC95</f>
        <v>60</v>
      </c>
      <c r="D262">
        <f t="shared" ref="D262:D275" ca="1" si="63">BC113</f>
        <v>60</v>
      </c>
      <c r="E262">
        <f t="shared" ref="E262:E275" ca="1" si="64">BC207</f>
        <v>0</v>
      </c>
      <c r="F262">
        <f t="shared" ref="F262:F275" ca="1" si="65">BC225</f>
        <v>0</v>
      </c>
      <c r="G262">
        <f t="shared" ref="G262:G275" ca="1" si="66">BC243</f>
        <v>0</v>
      </c>
      <c r="H262">
        <f t="shared" ref="H262:H275" ca="1" si="67">B262+E262</f>
        <v>0</v>
      </c>
      <c r="I262">
        <f t="shared" ref="I262:I275" ca="1" si="68">C262+F262</f>
        <v>60</v>
      </c>
      <c r="J262">
        <f t="shared" ref="J262:J275" ca="1" si="69">D262+G262</f>
        <v>60</v>
      </c>
    </row>
    <row r="263" spans="1:55" x14ac:dyDescent="0.35">
      <c r="A263" t="str" cm="1">
        <f t="array" ref="A263">INDEX('Data Validation (Hide)'!$B$2:$B$16,ROW(A3),1)</f>
        <v>8 Group Session</v>
      </c>
      <c r="B263">
        <f t="shared" ca="1" si="61"/>
        <v>0</v>
      </c>
      <c r="C263">
        <f t="shared" ca="1" si="62"/>
        <v>60</v>
      </c>
      <c r="D263">
        <f t="shared" ca="1" si="63"/>
        <v>60</v>
      </c>
      <c r="E263">
        <f t="shared" ca="1" si="64"/>
        <v>0</v>
      </c>
      <c r="F263">
        <f t="shared" ca="1" si="65"/>
        <v>0</v>
      </c>
      <c r="G263">
        <f t="shared" ca="1" si="66"/>
        <v>0</v>
      </c>
      <c r="H263">
        <f t="shared" ca="1" si="67"/>
        <v>0</v>
      </c>
      <c r="I263">
        <f t="shared" ca="1" si="68"/>
        <v>60</v>
      </c>
      <c r="J263">
        <f t="shared" ca="1" si="69"/>
        <v>60</v>
      </c>
    </row>
    <row r="264" spans="1:55" x14ac:dyDescent="0.35">
      <c r="A264" t="str" cm="1">
        <f t="array" ref="A264">INDEX('Data Validation (Hide)'!$B$2:$B$16,ROW(A4),1)</f>
        <v>20 Individual</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40 Individual</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180</v>
      </c>
      <c r="D276">
        <f ca="1">SUM(D261:D275)</f>
        <v>180</v>
      </c>
      <c r="E276">
        <f t="shared" ca="1" si="70"/>
        <v>0</v>
      </c>
      <c r="F276">
        <f t="shared" ca="1" si="70"/>
        <v>0</v>
      </c>
      <c r="G276">
        <f t="shared" ca="1" si="70"/>
        <v>0</v>
      </c>
      <c r="H276">
        <f ca="1">SUM(H261:H275)</f>
        <v>0</v>
      </c>
      <c r="I276">
        <f ca="1">SUM(I261:I275)</f>
        <v>180</v>
      </c>
      <c r="J276">
        <f ca="1">SUM(J261:J275)</f>
        <v>180</v>
      </c>
    </row>
    <row r="277" spans="1:10" x14ac:dyDescent="0.35">
      <c r="A277" t="s">
        <v>124</v>
      </c>
      <c r="B277" t="s">
        <v>122</v>
      </c>
      <c r="C277" t="s">
        <v>123</v>
      </c>
    </row>
    <row r="278" spans="1:10"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topLeftCell="A3" zoomScaleNormal="100" workbookViewId="0">
      <selection activeCell="I36" sqref="I36"/>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201</v>
      </c>
      <c r="C3" s="5"/>
      <c r="D3" s="5"/>
      <c r="E3" s="5"/>
      <c r="F3" s="5"/>
      <c r="G3" s="5"/>
      <c r="H3" s="5"/>
      <c r="I3" t="str">
        <f>"Capacity summary ("&amp;LOWER(Summary!B7)&amp;") for "&amp;B3&amp;", "&amp;IF(B4="Total","all types of session", LOWER(B4)&amp;" sessions")</f>
        <v>Capacity summary (hours) for 40 Group Session,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1" ht="15" thickBot="1" x14ac:dyDescent="0.4"/>
    <row r="34" spans="1:71" ht="15" thickBot="1" x14ac:dyDescent="0.4">
      <c r="C34" s="193" t="s">
        <v>192</v>
      </c>
      <c r="D34" s="194"/>
      <c r="E34" s="193" t="s">
        <v>193</v>
      </c>
      <c r="F34" s="195"/>
      <c r="G34" s="19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197</v>
      </c>
      <c r="B35" s="88" t="s">
        <v>190</v>
      </c>
      <c r="C35" s="89" t="s">
        <v>191</v>
      </c>
      <c r="D35" s="89" t="s">
        <v>194</v>
      </c>
      <c r="E35" s="168" t="s">
        <v>191</v>
      </c>
      <c r="F35" s="168" t="s">
        <v>194</v>
      </c>
      <c r="G35" s="89" t="s">
        <v>213</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52</v>
      </c>
      <c r="D36" s="113">
        <f>IF(C36="","",Capacity!T10)</f>
        <v>3600</v>
      </c>
      <c r="E36" s="29">
        <f>IF(B36="","",IF(COUNTBLANK($I36:$BH36)=52,52,COUNTA($I$36:$BH$36)))</f>
        <v>52</v>
      </c>
      <c r="F36" s="113">
        <f>IF(E36&gt;C36,Capacity!U10/'Capacity Summary'!E36,IF(Capacity!T10=0,"",Capacity!T10))</f>
        <v>3600</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52</v>
      </c>
      <c r="D37" s="113">
        <f>IF(C37="","",Capacity!T11)</f>
        <v>3600</v>
      </c>
      <c r="E37" s="29">
        <f>IF(B37="","",IF(COUNTBLANK($I37:$BH37)=52,52,COUNTA(I37:BH37)))</f>
        <v>52</v>
      </c>
      <c r="F37" s="113">
        <f>IF(E37&gt;C37,Capacity!U11/'Capacity Summary'!E37,IF(Capacity!T11=0,"",Capacity!T11))</f>
        <v>3600</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52</v>
      </c>
      <c r="D38" s="113">
        <f>IF(C38="","",Capacity!T12)</f>
        <v>3600</v>
      </c>
      <c r="E38" s="29">
        <f t="shared" ref="E38:E101" si="0">IF(B38="","",IF(COUNTBLANK($I38:$BH38)=52,52,COUNTA(I38:BH38)))</f>
        <v>52</v>
      </c>
      <c r="F38" s="113">
        <f>IF(E38&gt;C38,Capacity!U12/'Capacity Summary'!E38,IF(Capacity!T12=0,"",Capacity!T12))</f>
        <v>3600</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3" t="s">
        <v>209</v>
      </c>
      <c r="D137" s="194"/>
      <c r="E137" s="193" t="s">
        <v>193</v>
      </c>
      <c r="F137" s="195"/>
      <c r="G137" s="19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198</v>
      </c>
      <c r="B138" s="56" t="s">
        <v>190</v>
      </c>
      <c r="C138" s="77" t="s">
        <v>191</v>
      </c>
      <c r="D138" s="77" t="s">
        <v>194</v>
      </c>
      <c r="E138" s="168" t="s">
        <v>191</v>
      </c>
      <c r="F138" s="168" t="s">
        <v>194</v>
      </c>
      <c r="G138" s="89" t="s">
        <v>213</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5BsCizOCwpkqibkXmPjrVVTqMefaKdcNOEiTkiD0Oyw+OSmemUAd42b5wDMJ7s1T+w/Ap8vsY1j+Qd03kWF7Cg==" saltValue="LiUSHEbT9dndo0CQiS3Okg=="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44" sqref="B44"/>
    </sheetView>
  </sheetViews>
  <sheetFormatPr defaultColWidth="0" defaultRowHeight="14.5" x14ac:dyDescent="0.35"/>
  <cols>
    <col min="1" max="1" width="22.36328125" customWidth="1"/>
    <col min="2" max="2" width="15.6328125" customWidth="1"/>
    <col min="3" max="6" width="12.6328125" customWidth="1"/>
    <col min="7" max="16" width="12.6328125" hidden="1" customWidth="1"/>
    <col min="17" max="17" width="12.81640625"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250</v>
      </c>
    </row>
    <row r="4" spans="1:4" ht="15" thickBot="1" x14ac:dyDescent="0.4">
      <c r="A4" s="56" t="s">
        <v>58</v>
      </c>
      <c r="B4" s="126" t="s">
        <v>242</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20 Group Sessions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54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47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20 Group Sessions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60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207</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208</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205</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206</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181</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0 - 3</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0 - 16</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266</v>
      </c>
      <c r="B77" s="105">
        <v>5</v>
      </c>
    </row>
    <row r="78" spans="1:17" ht="15" thickBot="1" x14ac:dyDescent="0.4"/>
    <row r="79" spans="1:17" ht="44" thickBot="1" x14ac:dyDescent="0.4">
      <c r="A79" s="89" t="str">
        <f>"Additional caseload capacity ("&amp;LOWER(B7)&amp;" per week):"</f>
        <v>Additional caseload capacity (hours per week):</v>
      </c>
      <c r="B79" s="105" t="str">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0 - 3</v>
      </c>
      <c r="C79" s="105" t="str">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0 - 0</v>
      </c>
      <c r="D79" s="105" t="str">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0 - 0</v>
      </c>
      <c r="E79" s="105" t="str">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27 - 28</v>
      </c>
      <c r="F79" s="105" t="str">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0 - 1</v>
      </c>
      <c r="G79" s="105" t="str">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0 - 0</v>
      </c>
      <c r="H79" s="105" t="str">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0 - 0</v>
      </c>
      <c r="I79" s="105" t="str">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0 - 0</v>
      </c>
      <c r="J79" s="105" t="str">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0 - 0</v>
      </c>
      <c r="K79" s="105" t="str">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0 - 0</v>
      </c>
      <c r="L79" s="105" t="str">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0 - 0</v>
      </c>
      <c r="M79" s="105" t="str">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0 - 0</v>
      </c>
      <c r="N79" s="105" t="str">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0 - 0</v>
      </c>
      <c r="O79" s="105" t="str">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0 - 0</v>
      </c>
      <c r="P79" s="105" t="str">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0 - 0</v>
      </c>
    </row>
  </sheetData>
  <sheetProtection algorithmName="SHA-512" hashValue="Q/r9wQBNXGDKzNH6ArfslQu9DB8zgLS0QOugTjuQdzkI8aky/RxerCLGLmRyfQBQ6uX9apvK6Zd1Tr3q6VhX4A==" saltValue="T/41aQJ9QsdHloPT6Scl9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D25" sqref="D25"/>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214</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17.46857142857143</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8uoRgCeB/UMB0rHQDNWti75/uTr4mdHAfTUdhxRrbVkrh8v7RZ9iDcFRFjLUs5ZIqEX0etBLfPIKRN78kuIgA==" saltValue="RzpahFMDFFeJYXyEtYYa1w=="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251</v>
      </c>
    </row>
    <row r="6" spans="1:4" x14ac:dyDescent="0.35">
      <c r="A6" t="s">
        <v>172</v>
      </c>
      <c r="D6">
        <f>INDEX('Waiting List Config'!C5:D20,MATCH('Waiting List Modelling'!B2,'Waiting List Config'!B5:B20,0),2)</f>
        <v>110</v>
      </c>
    </row>
    <row r="7" spans="1:4" x14ac:dyDescent="0.35">
      <c r="A7" t="s">
        <v>252</v>
      </c>
      <c r="D7">
        <f>INDEX('Waiting List Config'!C5:D20,MATCH('Waiting List Modelling'!B2,'Waiting List Config'!B5:B20,0),1)</f>
        <v>30</v>
      </c>
    </row>
    <row r="9" spans="1:4" x14ac:dyDescent="0.35">
      <c r="A9" t="str">
        <f>"Based on the service's average capacity, we can expect the waiting list to "&amp;IF('WL Modelling (Hide)'!F2&lt;0,"reduce","grow")&amp;" by "&amp;TEXT(ABS('WL Modelling (Hide)'!F2),"#")&amp;" patients per week"</f>
        <v>Based on the service's average capacity, we can expect the waiting list to grow by 28 patients per week</v>
      </c>
    </row>
    <row r="10" spans="1:4" x14ac:dyDescent="0.35">
      <c r="A10" t="str">
        <f>IF('WL Modelling (Hide)'!F2&lt;0,"The waiting list should reach it's sustainable size between "&amp;'WL Modelling (Hide)'!K2&amp;" - "&amp;'WL Modelling (Hide)'!J2&amp;" weeks.","With the current capacity, the waiting list size will not reach the sustainable size.")</f>
        <v>With the current capacity, the waiting list size will not reach the sustainable size.</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248</v>
      </c>
      <c r="C1" t="s">
        <v>249</v>
      </c>
      <c r="D1" t="s">
        <v>253</v>
      </c>
      <c r="E1" t="s">
        <v>254</v>
      </c>
      <c r="F1" t="s">
        <v>255</v>
      </c>
      <c r="G1" t="s">
        <v>256</v>
      </c>
      <c r="H1" t="s">
        <v>257</v>
      </c>
      <c r="I1" t="s">
        <v>41</v>
      </c>
      <c r="J1" t="s">
        <v>258</v>
      </c>
      <c r="K1" t="s">
        <v>259</v>
      </c>
    </row>
    <row r="2" spans="1:11" x14ac:dyDescent="0.35">
      <c r="A2" t="s">
        <v>15</v>
      </c>
      <c r="B2" s="174">
        <f>'Waiting List Config'!D5</f>
        <v>110</v>
      </c>
      <c r="C2" s="174">
        <f>'Waiting List Config'!C5</f>
        <v>30</v>
      </c>
      <c r="D2">
        <v>221</v>
      </c>
      <c r="E2">
        <f>D2/SUM(Service!I6:J10)</f>
        <v>2.3900012359411691</v>
      </c>
      <c r="F2" s="174">
        <f>C2-E2</f>
        <v>27.60999876405883</v>
      </c>
      <c r="G2">
        <f>'Waiting List Config'!$J$5</f>
        <v>99.75</v>
      </c>
      <c r="H2">
        <f>'Waiting List Config'!$K$5</f>
        <v>110.25</v>
      </c>
      <c r="J2">
        <f>COUNTIF(B3:B54,"&gt;="&amp;G2)</f>
        <v>52</v>
      </c>
      <c r="K2">
        <f>COUNTIF(B3:B54,"&gt;="&amp;H2)</f>
        <v>52</v>
      </c>
    </row>
    <row r="3" spans="1:11" x14ac:dyDescent="0.35">
      <c r="A3" s="2">
        <f ca="1">'Capacity Backing (Hide)'!A5</f>
        <v>44228</v>
      </c>
      <c r="B3" s="174">
        <f>MAX(0,B2+$C$2-$E$2)</f>
        <v>137.60999876405884</v>
      </c>
      <c r="G3">
        <f>'Waiting List Config'!$J$5</f>
        <v>99.75</v>
      </c>
      <c r="H3">
        <f>'Waiting List Config'!$K$5</f>
        <v>110.25</v>
      </c>
      <c r="I3">
        <f>H3-G3</f>
        <v>10.5</v>
      </c>
    </row>
    <row r="4" spans="1:11" x14ac:dyDescent="0.35">
      <c r="A4" s="2">
        <f ca="1">'Capacity Backing (Hide)'!A6</f>
        <v>44235</v>
      </c>
      <c r="B4" s="174">
        <f t="shared" ref="B4:B54" si="0">MAX(0,B3+$C$2-$E$2)</f>
        <v>165.21999752811769</v>
      </c>
      <c r="G4">
        <f>'Waiting List Config'!$J$5</f>
        <v>99.75</v>
      </c>
      <c r="H4">
        <f>'Waiting List Config'!$K$5</f>
        <v>110.25</v>
      </c>
      <c r="I4">
        <f t="shared" ref="I4:I54" si="1">H4-G4</f>
        <v>10.5</v>
      </c>
    </row>
    <row r="5" spans="1:11" x14ac:dyDescent="0.35">
      <c r="A5" s="2">
        <f ca="1">'Capacity Backing (Hide)'!A7</f>
        <v>44242</v>
      </c>
      <c r="B5" s="174">
        <f t="shared" si="0"/>
        <v>192.82999629217653</v>
      </c>
      <c r="G5">
        <f>'Waiting List Config'!$J$5</f>
        <v>99.75</v>
      </c>
      <c r="H5">
        <f>'Waiting List Config'!$K$5</f>
        <v>110.25</v>
      </c>
      <c r="I5">
        <f t="shared" si="1"/>
        <v>10.5</v>
      </c>
    </row>
    <row r="6" spans="1:11" x14ac:dyDescent="0.35">
      <c r="A6" s="2">
        <f ca="1">'Capacity Backing (Hide)'!A8</f>
        <v>44249</v>
      </c>
      <c r="B6" s="174">
        <f t="shared" si="0"/>
        <v>220.43999505623538</v>
      </c>
      <c r="G6">
        <f>'Waiting List Config'!$J$5</f>
        <v>99.75</v>
      </c>
      <c r="H6">
        <f>'Waiting List Config'!$K$5</f>
        <v>110.25</v>
      </c>
      <c r="I6">
        <f t="shared" si="1"/>
        <v>10.5</v>
      </c>
    </row>
    <row r="7" spans="1:11" x14ac:dyDescent="0.35">
      <c r="A7" s="2">
        <f ca="1">'Capacity Backing (Hide)'!A9</f>
        <v>44256</v>
      </c>
      <c r="B7" s="174">
        <f t="shared" si="0"/>
        <v>248.04999382029422</v>
      </c>
      <c r="G7">
        <f>'Waiting List Config'!$J$5</f>
        <v>99.75</v>
      </c>
      <c r="H7">
        <f>'Waiting List Config'!$K$5</f>
        <v>110.25</v>
      </c>
      <c r="I7">
        <f t="shared" si="1"/>
        <v>10.5</v>
      </c>
    </row>
    <row r="8" spans="1:11" x14ac:dyDescent="0.35">
      <c r="A8" s="2">
        <f ca="1">'Capacity Backing (Hide)'!A10</f>
        <v>44263</v>
      </c>
      <c r="B8" s="174">
        <f t="shared" si="0"/>
        <v>275.65999258435306</v>
      </c>
      <c r="G8">
        <f>'Waiting List Config'!$J$5</f>
        <v>99.75</v>
      </c>
      <c r="H8">
        <f>'Waiting List Config'!$K$5</f>
        <v>110.25</v>
      </c>
      <c r="I8">
        <f t="shared" si="1"/>
        <v>10.5</v>
      </c>
    </row>
    <row r="9" spans="1:11" x14ac:dyDescent="0.35">
      <c r="A9" s="2">
        <f ca="1">'Capacity Backing (Hide)'!A11</f>
        <v>44270</v>
      </c>
      <c r="B9" s="174">
        <f t="shared" si="0"/>
        <v>303.26999134841191</v>
      </c>
      <c r="G9">
        <f>'Waiting List Config'!$J$5</f>
        <v>99.75</v>
      </c>
      <c r="H9">
        <f>'Waiting List Config'!$K$5</f>
        <v>110.25</v>
      </c>
      <c r="I9">
        <f t="shared" si="1"/>
        <v>10.5</v>
      </c>
    </row>
    <row r="10" spans="1:11" x14ac:dyDescent="0.35">
      <c r="A10" s="2">
        <f ca="1">'Capacity Backing (Hide)'!A12</f>
        <v>44277</v>
      </c>
      <c r="B10" s="174">
        <f t="shared" si="0"/>
        <v>330.87999011247075</v>
      </c>
      <c r="G10">
        <f>'Waiting List Config'!$J$5</f>
        <v>99.75</v>
      </c>
      <c r="H10">
        <f>'Waiting List Config'!$K$5</f>
        <v>110.25</v>
      </c>
      <c r="I10">
        <f t="shared" si="1"/>
        <v>10.5</v>
      </c>
    </row>
    <row r="11" spans="1:11" x14ac:dyDescent="0.35">
      <c r="A11" s="2">
        <f ca="1">'Capacity Backing (Hide)'!A13</f>
        <v>44284</v>
      </c>
      <c r="B11" s="174">
        <f t="shared" si="0"/>
        <v>358.48998887652959</v>
      </c>
      <c r="G11">
        <f>'Waiting List Config'!$J$5</f>
        <v>99.75</v>
      </c>
      <c r="H11">
        <f>'Waiting List Config'!$K$5</f>
        <v>110.25</v>
      </c>
      <c r="I11">
        <f t="shared" si="1"/>
        <v>10.5</v>
      </c>
    </row>
    <row r="12" spans="1:11" x14ac:dyDescent="0.35">
      <c r="A12" s="2">
        <f ca="1">'Capacity Backing (Hide)'!A14</f>
        <v>44291</v>
      </c>
      <c r="B12" s="174">
        <f t="shared" si="0"/>
        <v>386.09998764058844</v>
      </c>
      <c r="G12">
        <f>'Waiting List Config'!$J$5</f>
        <v>99.75</v>
      </c>
      <c r="H12">
        <f>'Waiting List Config'!$K$5</f>
        <v>110.25</v>
      </c>
      <c r="I12">
        <f t="shared" si="1"/>
        <v>10.5</v>
      </c>
    </row>
    <row r="13" spans="1:11" x14ac:dyDescent="0.35">
      <c r="A13" s="2">
        <f ca="1">'Capacity Backing (Hide)'!A15</f>
        <v>44298</v>
      </c>
      <c r="B13" s="174">
        <f t="shared" si="0"/>
        <v>413.70998640464728</v>
      </c>
      <c r="G13">
        <f>'Waiting List Config'!$J$5</f>
        <v>99.75</v>
      </c>
      <c r="H13">
        <f>'Waiting List Config'!$K$5</f>
        <v>110.25</v>
      </c>
      <c r="I13">
        <f t="shared" si="1"/>
        <v>10.5</v>
      </c>
    </row>
    <row r="14" spans="1:11" x14ac:dyDescent="0.35">
      <c r="A14" s="2">
        <f ca="1">'Capacity Backing (Hide)'!A16</f>
        <v>44305</v>
      </c>
      <c r="B14" s="174">
        <f t="shared" si="0"/>
        <v>441.31998516870613</v>
      </c>
      <c r="G14">
        <f>'Waiting List Config'!$J$5</f>
        <v>99.75</v>
      </c>
      <c r="H14">
        <f>'Waiting List Config'!$K$5</f>
        <v>110.25</v>
      </c>
      <c r="I14">
        <f t="shared" si="1"/>
        <v>10.5</v>
      </c>
    </row>
    <row r="15" spans="1:11" x14ac:dyDescent="0.35">
      <c r="A15" s="2">
        <f ca="1">'Capacity Backing (Hide)'!A17</f>
        <v>44312</v>
      </c>
      <c r="B15" s="174">
        <f t="shared" si="0"/>
        <v>468.92998393276497</v>
      </c>
      <c r="G15">
        <f>'Waiting List Config'!$J$5</f>
        <v>99.75</v>
      </c>
      <c r="H15">
        <f>'Waiting List Config'!$K$5</f>
        <v>110.25</v>
      </c>
      <c r="I15">
        <f t="shared" si="1"/>
        <v>10.5</v>
      </c>
    </row>
    <row r="16" spans="1:11" x14ac:dyDescent="0.35">
      <c r="A16" s="2">
        <f ca="1">'Capacity Backing (Hide)'!A18</f>
        <v>44319</v>
      </c>
      <c r="B16" s="174">
        <f t="shared" si="0"/>
        <v>496.53998269682381</v>
      </c>
      <c r="G16">
        <f>'Waiting List Config'!$J$5</f>
        <v>99.75</v>
      </c>
      <c r="H16">
        <f>'Waiting List Config'!$K$5</f>
        <v>110.25</v>
      </c>
      <c r="I16">
        <f t="shared" si="1"/>
        <v>10.5</v>
      </c>
    </row>
    <row r="17" spans="1:9" x14ac:dyDescent="0.35">
      <c r="A17" s="2">
        <f ca="1">'Capacity Backing (Hide)'!A19</f>
        <v>44326</v>
      </c>
      <c r="B17" s="174">
        <f t="shared" si="0"/>
        <v>524.1499814608826</v>
      </c>
      <c r="G17">
        <f>'Waiting List Config'!$J$5</f>
        <v>99.75</v>
      </c>
      <c r="H17">
        <f>'Waiting List Config'!$K$5</f>
        <v>110.25</v>
      </c>
      <c r="I17">
        <f t="shared" si="1"/>
        <v>10.5</v>
      </c>
    </row>
    <row r="18" spans="1:9" x14ac:dyDescent="0.35">
      <c r="A18" s="2">
        <f ca="1">'Capacity Backing (Hide)'!A20</f>
        <v>44333</v>
      </c>
      <c r="B18" s="174">
        <f t="shared" si="0"/>
        <v>551.75998022494139</v>
      </c>
      <c r="G18">
        <f>'Waiting List Config'!$J$5</f>
        <v>99.75</v>
      </c>
      <c r="H18">
        <f>'Waiting List Config'!$K$5</f>
        <v>110.25</v>
      </c>
      <c r="I18">
        <f t="shared" si="1"/>
        <v>10.5</v>
      </c>
    </row>
    <row r="19" spans="1:9" x14ac:dyDescent="0.35">
      <c r="A19" s="2">
        <f ca="1">'Capacity Backing (Hide)'!A21</f>
        <v>44340</v>
      </c>
      <c r="B19" s="174">
        <f t="shared" si="0"/>
        <v>579.36997898900017</v>
      </c>
      <c r="G19">
        <f>'Waiting List Config'!$J$5</f>
        <v>99.75</v>
      </c>
      <c r="H19">
        <f>'Waiting List Config'!$K$5</f>
        <v>110.25</v>
      </c>
      <c r="I19">
        <f t="shared" si="1"/>
        <v>10.5</v>
      </c>
    </row>
    <row r="20" spans="1:9" x14ac:dyDescent="0.35">
      <c r="A20" s="2">
        <f ca="1">'Capacity Backing (Hide)'!A22</f>
        <v>44347</v>
      </c>
      <c r="B20" s="174">
        <f t="shared" si="0"/>
        <v>606.97997775305896</v>
      </c>
      <c r="G20">
        <f>'Waiting List Config'!$J$5</f>
        <v>99.75</v>
      </c>
      <c r="H20">
        <f>'Waiting List Config'!$K$5</f>
        <v>110.25</v>
      </c>
      <c r="I20">
        <f t="shared" si="1"/>
        <v>10.5</v>
      </c>
    </row>
    <row r="21" spans="1:9" x14ac:dyDescent="0.35">
      <c r="A21" s="2">
        <f ca="1">'Capacity Backing (Hide)'!A23</f>
        <v>44354</v>
      </c>
      <c r="B21" s="174">
        <f t="shared" si="0"/>
        <v>634.58997651711775</v>
      </c>
      <c r="G21">
        <f>'Waiting List Config'!$J$5</f>
        <v>99.75</v>
      </c>
      <c r="H21">
        <f>'Waiting List Config'!$K$5</f>
        <v>110.25</v>
      </c>
      <c r="I21">
        <f t="shared" si="1"/>
        <v>10.5</v>
      </c>
    </row>
    <row r="22" spans="1:9" x14ac:dyDescent="0.35">
      <c r="A22" s="2">
        <f ca="1">'Capacity Backing (Hide)'!A24</f>
        <v>44361</v>
      </c>
      <c r="B22" s="174">
        <f t="shared" si="0"/>
        <v>662.19997528117653</v>
      </c>
      <c r="G22">
        <f>'Waiting List Config'!$J$5</f>
        <v>99.75</v>
      </c>
      <c r="H22">
        <f>'Waiting List Config'!$K$5</f>
        <v>110.25</v>
      </c>
      <c r="I22">
        <f t="shared" si="1"/>
        <v>10.5</v>
      </c>
    </row>
    <row r="23" spans="1:9" x14ac:dyDescent="0.35">
      <c r="A23" s="2">
        <f ca="1">'Capacity Backing (Hide)'!A25</f>
        <v>44368</v>
      </c>
      <c r="B23" s="174">
        <f t="shared" si="0"/>
        <v>689.80997404523532</v>
      </c>
      <c r="G23">
        <f>'Waiting List Config'!$J$5</f>
        <v>99.75</v>
      </c>
      <c r="H23">
        <f>'Waiting List Config'!$K$5</f>
        <v>110.25</v>
      </c>
      <c r="I23">
        <f t="shared" si="1"/>
        <v>10.5</v>
      </c>
    </row>
    <row r="24" spans="1:9" x14ac:dyDescent="0.35">
      <c r="A24" s="2">
        <f ca="1">'Capacity Backing (Hide)'!A26</f>
        <v>44375</v>
      </c>
      <c r="B24" s="174">
        <f t="shared" si="0"/>
        <v>717.41997280929411</v>
      </c>
      <c r="G24">
        <f>'Waiting List Config'!$J$5</f>
        <v>99.75</v>
      </c>
      <c r="H24">
        <f>'Waiting List Config'!$K$5</f>
        <v>110.25</v>
      </c>
      <c r="I24">
        <f t="shared" si="1"/>
        <v>10.5</v>
      </c>
    </row>
    <row r="25" spans="1:9" x14ac:dyDescent="0.35">
      <c r="A25" s="2">
        <f ca="1">'Capacity Backing (Hide)'!A27</f>
        <v>44382</v>
      </c>
      <c r="B25" s="174">
        <f t="shared" si="0"/>
        <v>745.0299715733529</v>
      </c>
      <c r="G25">
        <f>'Waiting List Config'!$J$5</f>
        <v>99.75</v>
      </c>
      <c r="H25">
        <f>'Waiting List Config'!$K$5</f>
        <v>110.25</v>
      </c>
      <c r="I25">
        <f t="shared" si="1"/>
        <v>10.5</v>
      </c>
    </row>
    <row r="26" spans="1:9" x14ac:dyDescent="0.35">
      <c r="A26" s="2">
        <f ca="1">'Capacity Backing (Hide)'!A28</f>
        <v>44389</v>
      </c>
      <c r="B26" s="174">
        <f t="shared" si="0"/>
        <v>772.63997033741168</v>
      </c>
      <c r="G26">
        <f>'Waiting List Config'!$J$5</f>
        <v>99.75</v>
      </c>
      <c r="H26">
        <f>'Waiting List Config'!$K$5</f>
        <v>110.25</v>
      </c>
      <c r="I26">
        <f t="shared" si="1"/>
        <v>10.5</v>
      </c>
    </row>
    <row r="27" spans="1:9" x14ac:dyDescent="0.35">
      <c r="A27" s="2">
        <f ca="1">'Capacity Backing (Hide)'!A29</f>
        <v>44396</v>
      </c>
      <c r="B27" s="174">
        <f t="shared" si="0"/>
        <v>800.24996910147047</v>
      </c>
      <c r="G27">
        <f>'Waiting List Config'!$J$5</f>
        <v>99.75</v>
      </c>
      <c r="H27">
        <f>'Waiting List Config'!$K$5</f>
        <v>110.25</v>
      </c>
      <c r="I27">
        <f t="shared" si="1"/>
        <v>10.5</v>
      </c>
    </row>
    <row r="28" spans="1:9" x14ac:dyDescent="0.35">
      <c r="A28" s="2">
        <f ca="1">'Capacity Backing (Hide)'!A30</f>
        <v>44403</v>
      </c>
      <c r="B28" s="174">
        <f t="shared" si="0"/>
        <v>827.85996786552926</v>
      </c>
      <c r="G28">
        <f>'Waiting List Config'!$J$5</f>
        <v>99.75</v>
      </c>
      <c r="H28">
        <f>'Waiting List Config'!$K$5</f>
        <v>110.25</v>
      </c>
      <c r="I28">
        <f t="shared" si="1"/>
        <v>10.5</v>
      </c>
    </row>
    <row r="29" spans="1:9" x14ac:dyDescent="0.35">
      <c r="A29" s="2">
        <f ca="1">'Capacity Backing (Hide)'!A31</f>
        <v>44410</v>
      </c>
      <c r="B29" s="174">
        <f t="shared" si="0"/>
        <v>855.46996662958804</v>
      </c>
      <c r="G29">
        <f>'Waiting List Config'!$J$5</f>
        <v>99.75</v>
      </c>
      <c r="H29">
        <f>'Waiting List Config'!$K$5</f>
        <v>110.25</v>
      </c>
      <c r="I29">
        <f t="shared" si="1"/>
        <v>10.5</v>
      </c>
    </row>
    <row r="30" spans="1:9" x14ac:dyDescent="0.35">
      <c r="A30" s="2">
        <f ca="1">'Capacity Backing (Hide)'!A32</f>
        <v>44417</v>
      </c>
      <c r="B30" s="174">
        <f t="shared" si="0"/>
        <v>883.07996539364683</v>
      </c>
      <c r="G30">
        <f>'Waiting List Config'!$J$5</f>
        <v>99.75</v>
      </c>
      <c r="H30">
        <f>'Waiting List Config'!$K$5</f>
        <v>110.25</v>
      </c>
      <c r="I30">
        <f t="shared" si="1"/>
        <v>10.5</v>
      </c>
    </row>
    <row r="31" spans="1:9" x14ac:dyDescent="0.35">
      <c r="A31" s="2">
        <f ca="1">'Capacity Backing (Hide)'!A33</f>
        <v>44424</v>
      </c>
      <c r="B31" s="174">
        <f t="shared" si="0"/>
        <v>910.68996415770562</v>
      </c>
      <c r="G31">
        <f>'Waiting List Config'!$J$5</f>
        <v>99.75</v>
      </c>
      <c r="H31">
        <f>'Waiting List Config'!$K$5</f>
        <v>110.25</v>
      </c>
      <c r="I31">
        <f t="shared" si="1"/>
        <v>10.5</v>
      </c>
    </row>
    <row r="32" spans="1:9" x14ac:dyDescent="0.35">
      <c r="A32" s="2">
        <f ca="1">'Capacity Backing (Hide)'!A34</f>
        <v>44431</v>
      </c>
      <c r="B32" s="174">
        <f t="shared" si="0"/>
        <v>938.2999629217644</v>
      </c>
      <c r="G32">
        <f>'Waiting List Config'!$J$5</f>
        <v>99.75</v>
      </c>
      <c r="H32">
        <f>'Waiting List Config'!$K$5</f>
        <v>110.25</v>
      </c>
      <c r="I32">
        <f t="shared" si="1"/>
        <v>10.5</v>
      </c>
    </row>
    <row r="33" spans="1:9" x14ac:dyDescent="0.35">
      <c r="A33" s="2">
        <f ca="1">'Capacity Backing (Hide)'!A35</f>
        <v>44438</v>
      </c>
      <c r="B33" s="174">
        <f t="shared" si="0"/>
        <v>965.90996168582319</v>
      </c>
      <c r="G33">
        <f>'Waiting List Config'!$J$5</f>
        <v>99.75</v>
      </c>
      <c r="H33">
        <f>'Waiting List Config'!$K$5</f>
        <v>110.25</v>
      </c>
      <c r="I33">
        <f t="shared" si="1"/>
        <v>10.5</v>
      </c>
    </row>
    <row r="34" spans="1:9" x14ac:dyDescent="0.35">
      <c r="A34" s="2">
        <f ca="1">'Capacity Backing (Hide)'!A36</f>
        <v>44445</v>
      </c>
      <c r="B34" s="174">
        <f t="shared" si="0"/>
        <v>993.51996044988198</v>
      </c>
      <c r="G34">
        <f>'Waiting List Config'!$J$5</f>
        <v>99.75</v>
      </c>
      <c r="H34">
        <f>'Waiting List Config'!$K$5</f>
        <v>110.25</v>
      </c>
      <c r="I34">
        <f t="shared" si="1"/>
        <v>10.5</v>
      </c>
    </row>
    <row r="35" spans="1:9" x14ac:dyDescent="0.35">
      <c r="A35" s="2">
        <f ca="1">'Capacity Backing (Hide)'!A37</f>
        <v>44452</v>
      </c>
      <c r="B35" s="174">
        <f t="shared" si="0"/>
        <v>1021.1299592139408</v>
      </c>
      <c r="G35">
        <f>'Waiting List Config'!$J$5</f>
        <v>99.75</v>
      </c>
      <c r="H35">
        <f>'Waiting List Config'!$K$5</f>
        <v>110.25</v>
      </c>
      <c r="I35">
        <f t="shared" si="1"/>
        <v>10.5</v>
      </c>
    </row>
    <row r="36" spans="1:9" x14ac:dyDescent="0.35">
      <c r="A36" s="2">
        <f ca="1">'Capacity Backing (Hide)'!A38</f>
        <v>44459</v>
      </c>
      <c r="B36" s="174">
        <f t="shared" si="0"/>
        <v>1048.7399579779997</v>
      </c>
      <c r="G36">
        <f>'Waiting List Config'!$J$5</f>
        <v>99.75</v>
      </c>
      <c r="H36">
        <f>'Waiting List Config'!$K$5</f>
        <v>110.25</v>
      </c>
      <c r="I36">
        <f t="shared" si="1"/>
        <v>10.5</v>
      </c>
    </row>
    <row r="37" spans="1:9" x14ac:dyDescent="0.35">
      <c r="A37" s="2">
        <f ca="1">'Capacity Backing (Hide)'!A39</f>
        <v>44466</v>
      </c>
      <c r="B37" s="174">
        <f t="shared" si="0"/>
        <v>1076.3499567420586</v>
      </c>
      <c r="G37">
        <f>'Waiting List Config'!$J$5</f>
        <v>99.75</v>
      </c>
      <c r="H37">
        <f>'Waiting List Config'!$K$5</f>
        <v>110.25</v>
      </c>
      <c r="I37">
        <f t="shared" si="1"/>
        <v>10.5</v>
      </c>
    </row>
    <row r="38" spans="1:9" x14ac:dyDescent="0.35">
      <c r="A38" s="2">
        <f ca="1">'Capacity Backing (Hide)'!A40</f>
        <v>44473</v>
      </c>
      <c r="B38" s="174">
        <f t="shared" si="0"/>
        <v>1103.9599555061175</v>
      </c>
      <c r="G38">
        <f>'Waiting List Config'!$J$5</f>
        <v>99.75</v>
      </c>
      <c r="H38">
        <f>'Waiting List Config'!$K$5</f>
        <v>110.25</v>
      </c>
      <c r="I38">
        <f t="shared" si="1"/>
        <v>10.5</v>
      </c>
    </row>
    <row r="39" spans="1:9" x14ac:dyDescent="0.35">
      <c r="A39" s="2">
        <f ca="1">'Capacity Backing (Hide)'!A41</f>
        <v>44480</v>
      </c>
      <c r="B39" s="174">
        <f t="shared" si="0"/>
        <v>1131.5699542701764</v>
      </c>
      <c r="G39">
        <f>'Waiting List Config'!$J$5</f>
        <v>99.75</v>
      </c>
      <c r="H39">
        <f>'Waiting List Config'!$K$5</f>
        <v>110.25</v>
      </c>
      <c r="I39">
        <f t="shared" si="1"/>
        <v>10.5</v>
      </c>
    </row>
    <row r="40" spans="1:9" x14ac:dyDescent="0.35">
      <c r="A40" s="2">
        <f ca="1">'Capacity Backing (Hide)'!A42</f>
        <v>44487</v>
      </c>
      <c r="B40" s="174">
        <f t="shared" si="0"/>
        <v>1159.1799530342353</v>
      </c>
      <c r="G40">
        <f>'Waiting List Config'!$J$5</f>
        <v>99.75</v>
      </c>
      <c r="H40">
        <f>'Waiting List Config'!$K$5</f>
        <v>110.25</v>
      </c>
      <c r="I40">
        <f t="shared" si="1"/>
        <v>10.5</v>
      </c>
    </row>
    <row r="41" spans="1:9" x14ac:dyDescent="0.35">
      <c r="A41" s="2">
        <f ca="1">'Capacity Backing (Hide)'!A43</f>
        <v>44494</v>
      </c>
      <c r="B41" s="174">
        <f t="shared" si="0"/>
        <v>1186.7899517982942</v>
      </c>
      <c r="G41">
        <f>'Waiting List Config'!$J$5</f>
        <v>99.75</v>
      </c>
      <c r="H41">
        <f>'Waiting List Config'!$K$5</f>
        <v>110.25</v>
      </c>
      <c r="I41">
        <f t="shared" si="1"/>
        <v>10.5</v>
      </c>
    </row>
    <row r="42" spans="1:9" x14ac:dyDescent="0.35">
      <c r="A42" s="2">
        <f ca="1">'Capacity Backing (Hide)'!A44</f>
        <v>44501</v>
      </c>
      <c r="B42" s="174">
        <f t="shared" si="0"/>
        <v>1214.3999505623531</v>
      </c>
      <c r="G42">
        <f>'Waiting List Config'!$J$5</f>
        <v>99.75</v>
      </c>
      <c r="H42">
        <f>'Waiting List Config'!$K$5</f>
        <v>110.25</v>
      </c>
      <c r="I42">
        <f t="shared" si="1"/>
        <v>10.5</v>
      </c>
    </row>
    <row r="43" spans="1:9" x14ac:dyDescent="0.35">
      <c r="A43" s="2">
        <f ca="1">'Capacity Backing (Hide)'!A45</f>
        <v>44508</v>
      </c>
      <c r="B43" s="174">
        <f t="shared" si="0"/>
        <v>1242.009949326412</v>
      </c>
      <c r="G43">
        <f>'Waiting List Config'!$J$5</f>
        <v>99.75</v>
      </c>
      <c r="H43">
        <f>'Waiting List Config'!$K$5</f>
        <v>110.25</v>
      </c>
      <c r="I43">
        <f t="shared" si="1"/>
        <v>10.5</v>
      </c>
    </row>
    <row r="44" spans="1:9" x14ac:dyDescent="0.35">
      <c r="A44" s="2">
        <f ca="1">'Capacity Backing (Hide)'!A46</f>
        <v>44515</v>
      </c>
      <c r="B44" s="174">
        <f t="shared" si="0"/>
        <v>1269.6199480904709</v>
      </c>
      <c r="G44">
        <f>'Waiting List Config'!$J$5</f>
        <v>99.75</v>
      </c>
      <c r="H44">
        <f>'Waiting List Config'!$K$5</f>
        <v>110.25</v>
      </c>
      <c r="I44">
        <f t="shared" si="1"/>
        <v>10.5</v>
      </c>
    </row>
    <row r="45" spans="1:9" x14ac:dyDescent="0.35">
      <c r="A45" s="2">
        <f ca="1">'Capacity Backing (Hide)'!A47</f>
        <v>44522</v>
      </c>
      <c r="B45" s="174">
        <f t="shared" si="0"/>
        <v>1297.2299468545298</v>
      </c>
      <c r="G45">
        <f>'Waiting List Config'!$J$5</f>
        <v>99.75</v>
      </c>
      <c r="H45">
        <f>'Waiting List Config'!$K$5</f>
        <v>110.25</v>
      </c>
      <c r="I45">
        <f t="shared" si="1"/>
        <v>10.5</v>
      </c>
    </row>
    <row r="46" spans="1:9" x14ac:dyDescent="0.35">
      <c r="A46" s="2">
        <f ca="1">'Capacity Backing (Hide)'!A48</f>
        <v>44529</v>
      </c>
      <c r="B46" s="174">
        <f t="shared" si="0"/>
        <v>1324.8399456185887</v>
      </c>
      <c r="G46">
        <f>'Waiting List Config'!$J$5</f>
        <v>99.75</v>
      </c>
      <c r="H46">
        <f>'Waiting List Config'!$K$5</f>
        <v>110.25</v>
      </c>
      <c r="I46">
        <f t="shared" si="1"/>
        <v>10.5</v>
      </c>
    </row>
    <row r="47" spans="1:9" x14ac:dyDescent="0.35">
      <c r="A47" s="2">
        <f ca="1">'Capacity Backing (Hide)'!A49</f>
        <v>44536</v>
      </c>
      <c r="B47" s="174">
        <f t="shared" si="0"/>
        <v>1352.4499443826476</v>
      </c>
      <c r="G47">
        <f>'Waiting List Config'!$J$5</f>
        <v>99.75</v>
      </c>
      <c r="H47">
        <f>'Waiting List Config'!$K$5</f>
        <v>110.25</v>
      </c>
      <c r="I47">
        <f t="shared" si="1"/>
        <v>10.5</v>
      </c>
    </row>
    <row r="48" spans="1:9" x14ac:dyDescent="0.35">
      <c r="A48" s="2">
        <f ca="1">'Capacity Backing (Hide)'!A50</f>
        <v>44543</v>
      </c>
      <c r="B48" s="174">
        <f t="shared" si="0"/>
        <v>1380.0599431467065</v>
      </c>
      <c r="G48">
        <f>'Waiting List Config'!$J$5</f>
        <v>99.75</v>
      </c>
      <c r="H48">
        <f>'Waiting List Config'!$K$5</f>
        <v>110.25</v>
      </c>
      <c r="I48">
        <f t="shared" si="1"/>
        <v>10.5</v>
      </c>
    </row>
    <row r="49" spans="1:9" x14ac:dyDescent="0.35">
      <c r="A49" s="2">
        <f ca="1">'Capacity Backing (Hide)'!A51</f>
        <v>44550</v>
      </c>
      <c r="B49" s="174">
        <f t="shared" si="0"/>
        <v>1407.6699419107654</v>
      </c>
      <c r="G49">
        <f>'Waiting List Config'!$J$5</f>
        <v>99.75</v>
      </c>
      <c r="H49">
        <f>'Waiting List Config'!$K$5</f>
        <v>110.25</v>
      </c>
      <c r="I49">
        <f t="shared" si="1"/>
        <v>10.5</v>
      </c>
    </row>
    <row r="50" spans="1:9" x14ac:dyDescent="0.35">
      <c r="A50" s="2">
        <f ca="1">'Capacity Backing (Hide)'!A52</f>
        <v>44557</v>
      </c>
      <c r="B50" s="174">
        <f t="shared" si="0"/>
        <v>1435.2799406748243</v>
      </c>
      <c r="G50">
        <f>'Waiting List Config'!$J$5</f>
        <v>99.75</v>
      </c>
      <c r="H50">
        <f>'Waiting List Config'!$K$5</f>
        <v>110.25</v>
      </c>
      <c r="I50">
        <f t="shared" si="1"/>
        <v>10.5</v>
      </c>
    </row>
    <row r="51" spans="1:9" x14ac:dyDescent="0.35">
      <c r="A51" s="2">
        <f ca="1">'Capacity Backing (Hide)'!A53</f>
        <v>44564</v>
      </c>
      <c r="B51" s="174">
        <f t="shared" si="0"/>
        <v>1462.8899394388832</v>
      </c>
      <c r="G51">
        <f>'Waiting List Config'!$J$5</f>
        <v>99.75</v>
      </c>
      <c r="H51">
        <f>'Waiting List Config'!$K$5</f>
        <v>110.25</v>
      </c>
      <c r="I51">
        <f t="shared" si="1"/>
        <v>10.5</v>
      </c>
    </row>
    <row r="52" spans="1:9" x14ac:dyDescent="0.35">
      <c r="A52" s="2">
        <f ca="1">'Capacity Backing (Hide)'!A54</f>
        <v>44571</v>
      </c>
      <c r="B52" s="174">
        <f t="shared" si="0"/>
        <v>1490.4999382029421</v>
      </c>
      <c r="G52">
        <f>'Waiting List Config'!$J$5</f>
        <v>99.75</v>
      </c>
      <c r="H52">
        <f>'Waiting List Config'!$K$5</f>
        <v>110.25</v>
      </c>
      <c r="I52">
        <f t="shared" si="1"/>
        <v>10.5</v>
      </c>
    </row>
    <row r="53" spans="1:9" x14ac:dyDescent="0.35">
      <c r="A53" s="2">
        <f ca="1">'Capacity Backing (Hide)'!A55</f>
        <v>44578</v>
      </c>
      <c r="B53" s="174">
        <f t="shared" si="0"/>
        <v>1518.109936967001</v>
      </c>
      <c r="G53">
        <f>'Waiting List Config'!$J$5</f>
        <v>99.75</v>
      </c>
      <c r="H53">
        <f>'Waiting List Config'!$K$5</f>
        <v>110.25</v>
      </c>
      <c r="I53">
        <f t="shared" si="1"/>
        <v>10.5</v>
      </c>
    </row>
    <row r="54" spans="1:9" x14ac:dyDescent="0.35">
      <c r="A54" s="2">
        <f ca="1">'Capacity Backing (Hide)'!A56</f>
        <v>44585</v>
      </c>
      <c r="B54" s="174">
        <f t="shared" si="0"/>
        <v>1545.7199357310599</v>
      </c>
      <c r="G54">
        <f>'Waiting List Config'!$J$5</f>
        <v>99.75</v>
      </c>
      <c r="H54">
        <f>'Waiting List Config'!$K$5</f>
        <v>110.25</v>
      </c>
      <c r="I54">
        <f t="shared" si="1"/>
        <v>10.5</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C21" sqref="C21"/>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75</v>
      </c>
      <c r="K3" s="28"/>
      <c r="L3" s="26">
        <f>INDEX($D$21:$E$35,MATCH(J$1,$A$21:$A$35,0),2)/IF(Planning!$P$2="Minutes",1,60)</f>
        <v>17.46857142857143</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507.4620000000001</v>
      </c>
      <c r="M5">
        <f>INDEX($D$4:$E$18,MATCH(L$1,$A$4:$A$18,0),2)*L$3</f>
        <v>611.40000000000009</v>
      </c>
      <c r="N5">
        <f>SUMIF(J$4:M$4,N$4,J5:M5)</f>
        <v>2686.2120000000004</v>
      </c>
      <c r="O5">
        <f>SUMIF(J$4:M$4,O$4,J5:M5)</f>
        <v>3236.4</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7881.0000000000009</v>
      </c>
      <c r="CW5">
        <f t="shared" si="0"/>
        <v>10011</v>
      </c>
      <c r="CX5">
        <f t="shared" si="0"/>
        <v>1270.3191428571431</v>
      </c>
      <c r="CY5">
        <f t="shared" si="0"/>
        <v>1614.2571428571428</v>
      </c>
      <c r="CZ5">
        <f t="shared" si="0"/>
        <v>9151.3191428571445</v>
      </c>
      <c r="DA5">
        <f t="shared" si="0"/>
        <v>11625.257142857143</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507.4620000000001</v>
      </c>
      <c r="M6">
        <f t="shared" ref="M6:M56" si="4">INDEX($D$4:$E$18,MATCH(L$1,$A$4:$A$18,0),2)*L$3</f>
        <v>611.40000000000009</v>
      </c>
      <c r="N6">
        <f t="shared" ref="N6:N56" si="5">SUMIF(J$4:M$4,N$4,J6:M6)</f>
        <v>2686.2120000000004</v>
      </c>
      <c r="O6">
        <f t="shared" ref="O6:O56" si="6">SUMIF(J$4:M$4,O$4,J6:M6)</f>
        <v>3236.4</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1270.3191428571431</v>
      </c>
      <c r="CY6">
        <f t="shared" si="92"/>
        <v>1614.2571428571428</v>
      </c>
      <c r="CZ6">
        <f t="shared" ref="CZ6:DA56" si="93">SUMIFS($J6:$CU6,$J$2:$CU$2,CZ$2,$J$4:$CU$4,CZ$4)</f>
        <v>9151.3191428571445</v>
      </c>
      <c r="DA6">
        <f t="shared" si="93"/>
        <v>11625.257142857143</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507.4620000000001</v>
      </c>
      <c r="M7">
        <f t="shared" si="4"/>
        <v>611.40000000000009</v>
      </c>
      <c r="N7">
        <f t="shared" si="5"/>
        <v>2686.2120000000004</v>
      </c>
      <c r="O7">
        <f t="shared" si="6"/>
        <v>3236.4</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1270.3191428571431</v>
      </c>
      <c r="CY7">
        <f t="shared" si="92"/>
        <v>1614.2571428571428</v>
      </c>
      <c r="CZ7">
        <f t="shared" si="93"/>
        <v>9151.3191428571445</v>
      </c>
      <c r="DA7">
        <f t="shared" si="93"/>
        <v>11625.257142857143</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507.4620000000001</v>
      </c>
      <c r="M8">
        <f t="shared" si="4"/>
        <v>611.40000000000009</v>
      </c>
      <c r="N8">
        <f t="shared" si="5"/>
        <v>2686.2120000000004</v>
      </c>
      <c r="O8">
        <f t="shared" si="6"/>
        <v>3236.4</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1270.3191428571431</v>
      </c>
      <c r="CY8">
        <f t="shared" si="92"/>
        <v>1614.2571428571428</v>
      </c>
      <c r="CZ8">
        <f t="shared" si="93"/>
        <v>9151.3191428571445</v>
      </c>
      <c r="DA8">
        <f t="shared" si="93"/>
        <v>11625.257142857143</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507.4620000000001</v>
      </c>
      <c r="M9">
        <f t="shared" si="4"/>
        <v>611.40000000000009</v>
      </c>
      <c r="N9">
        <f t="shared" si="5"/>
        <v>2686.2120000000004</v>
      </c>
      <c r="O9">
        <f t="shared" si="6"/>
        <v>3236.4</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1270.3191428571431</v>
      </c>
      <c r="CY9">
        <f t="shared" si="92"/>
        <v>1614.2571428571428</v>
      </c>
      <c r="CZ9">
        <f t="shared" si="93"/>
        <v>9151.3191428571445</v>
      </c>
      <c r="DA9">
        <f t="shared" si="93"/>
        <v>11625.257142857143</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507.4620000000001</v>
      </c>
      <c r="M10">
        <f t="shared" si="4"/>
        <v>611.40000000000009</v>
      </c>
      <c r="N10">
        <f t="shared" si="5"/>
        <v>2686.2120000000004</v>
      </c>
      <c r="O10">
        <f t="shared" si="6"/>
        <v>3236.4</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1270.3191428571431</v>
      </c>
      <c r="CY10">
        <f t="shared" si="92"/>
        <v>1614.2571428571428</v>
      </c>
      <c r="CZ10">
        <f t="shared" si="93"/>
        <v>9151.3191428571445</v>
      </c>
      <c r="DA10">
        <f t="shared" si="93"/>
        <v>11625.257142857143</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507.4620000000001</v>
      </c>
      <c r="M11">
        <f t="shared" si="4"/>
        <v>611.40000000000009</v>
      </c>
      <c r="N11">
        <f t="shared" si="5"/>
        <v>2686.2120000000004</v>
      </c>
      <c r="O11">
        <f t="shared" si="6"/>
        <v>3236.4</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1270.3191428571431</v>
      </c>
      <c r="CY11">
        <f t="shared" si="92"/>
        <v>1614.2571428571428</v>
      </c>
      <c r="CZ11">
        <f t="shared" si="93"/>
        <v>9151.3191428571445</v>
      </c>
      <c r="DA11">
        <f t="shared" si="93"/>
        <v>11625.257142857143</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507.4620000000001</v>
      </c>
      <c r="M12">
        <f t="shared" si="4"/>
        <v>611.40000000000009</v>
      </c>
      <c r="N12">
        <f t="shared" si="5"/>
        <v>2686.2120000000004</v>
      </c>
      <c r="O12">
        <f t="shared" si="6"/>
        <v>3236.4</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1270.3191428571431</v>
      </c>
      <c r="CY12">
        <f t="shared" si="92"/>
        <v>1614.2571428571428</v>
      </c>
      <c r="CZ12">
        <f t="shared" si="93"/>
        <v>9151.3191428571445</v>
      </c>
      <c r="DA12">
        <f t="shared" si="93"/>
        <v>11625.257142857143</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507.4620000000001</v>
      </c>
      <c r="M13">
        <f t="shared" si="4"/>
        <v>611.40000000000009</v>
      </c>
      <c r="N13">
        <f t="shared" si="5"/>
        <v>2686.2120000000004</v>
      </c>
      <c r="O13">
        <f t="shared" si="6"/>
        <v>3236.4</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1270.3191428571431</v>
      </c>
      <c r="CY13">
        <f t="shared" si="92"/>
        <v>1614.2571428571428</v>
      </c>
      <c r="CZ13">
        <f t="shared" si="93"/>
        <v>9151.3191428571445</v>
      </c>
      <c r="DA13">
        <f t="shared" si="93"/>
        <v>11625.257142857143</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507.4620000000001</v>
      </c>
      <c r="M14">
        <f t="shared" si="4"/>
        <v>611.40000000000009</v>
      </c>
      <c r="N14">
        <f t="shared" si="5"/>
        <v>2686.2120000000004</v>
      </c>
      <c r="O14">
        <f t="shared" si="6"/>
        <v>3236.4</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1270.3191428571431</v>
      </c>
      <c r="CY14">
        <f t="shared" si="92"/>
        <v>1614.2571428571428</v>
      </c>
      <c r="CZ14">
        <f t="shared" si="93"/>
        <v>9151.3191428571445</v>
      </c>
      <c r="DA14">
        <f t="shared" si="93"/>
        <v>11625.257142857143</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507.4620000000001</v>
      </c>
      <c r="M15">
        <f t="shared" si="4"/>
        <v>611.40000000000009</v>
      </c>
      <c r="N15">
        <f t="shared" si="5"/>
        <v>2686.2120000000004</v>
      </c>
      <c r="O15">
        <f t="shared" si="6"/>
        <v>3236.4</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1270.3191428571431</v>
      </c>
      <c r="CY15">
        <f t="shared" si="92"/>
        <v>1614.2571428571428</v>
      </c>
      <c r="CZ15">
        <f t="shared" si="93"/>
        <v>9151.3191428571445</v>
      </c>
      <c r="DA15">
        <f t="shared" si="93"/>
        <v>11625.257142857143</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507.4620000000001</v>
      </c>
      <c r="M16">
        <f t="shared" si="4"/>
        <v>611.40000000000009</v>
      </c>
      <c r="N16">
        <f t="shared" si="5"/>
        <v>2686.2120000000004</v>
      </c>
      <c r="O16">
        <f t="shared" si="6"/>
        <v>3236.4</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1270.3191428571431</v>
      </c>
      <c r="CY16">
        <f t="shared" si="92"/>
        <v>1614.2571428571428</v>
      </c>
      <c r="CZ16">
        <f t="shared" si="93"/>
        <v>9151.3191428571445</v>
      </c>
      <c r="DA16">
        <f t="shared" si="93"/>
        <v>11625.257142857143</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507.4620000000001</v>
      </c>
      <c r="M17">
        <f t="shared" si="4"/>
        <v>611.40000000000009</v>
      </c>
      <c r="N17">
        <f t="shared" si="5"/>
        <v>2686.2120000000004</v>
      </c>
      <c r="O17">
        <f t="shared" si="6"/>
        <v>3236.4</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1270.3191428571431</v>
      </c>
      <c r="CY17">
        <f t="shared" si="92"/>
        <v>1614.2571428571428</v>
      </c>
      <c r="CZ17">
        <f t="shared" si="93"/>
        <v>9151.3191428571445</v>
      </c>
      <c r="DA17">
        <f t="shared" si="93"/>
        <v>11625.257142857143</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507.4620000000001</v>
      </c>
      <c r="M18">
        <f t="shared" si="4"/>
        <v>611.40000000000009</v>
      </c>
      <c r="N18">
        <f t="shared" si="5"/>
        <v>2686.2120000000004</v>
      </c>
      <c r="O18">
        <f t="shared" si="6"/>
        <v>3236.4</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1270.3191428571431</v>
      </c>
      <c r="CY18">
        <f t="shared" si="92"/>
        <v>1614.2571428571428</v>
      </c>
      <c r="CZ18">
        <f t="shared" si="93"/>
        <v>9151.3191428571445</v>
      </c>
      <c r="DA18">
        <f t="shared" si="93"/>
        <v>11625.257142857143</v>
      </c>
    </row>
    <row r="19" spans="1:105" x14ac:dyDescent="0.35">
      <c r="I19" s="12">
        <f ca="1">'Required Capacity (Hide)'!E19</f>
        <v>44326</v>
      </c>
      <c r="J19">
        <f t="shared" si="1"/>
        <v>2178.7500000000005</v>
      </c>
      <c r="K19">
        <f t="shared" si="2"/>
        <v>2625</v>
      </c>
      <c r="L19">
        <f t="shared" si="3"/>
        <v>507.4620000000001</v>
      </c>
      <c r="M19">
        <f t="shared" si="4"/>
        <v>611.40000000000009</v>
      </c>
      <c r="N19">
        <f t="shared" si="5"/>
        <v>2686.2120000000004</v>
      </c>
      <c r="O19">
        <f t="shared" si="6"/>
        <v>3236.4</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1270.3191428571431</v>
      </c>
      <c r="CY19">
        <f t="shared" si="92"/>
        <v>1614.2571428571428</v>
      </c>
      <c r="CZ19">
        <f t="shared" si="93"/>
        <v>9151.3191428571445</v>
      </c>
      <c r="DA19">
        <f t="shared" si="93"/>
        <v>11625.257142857143</v>
      </c>
    </row>
    <row r="20" spans="1:105" ht="87" x14ac:dyDescent="0.35">
      <c r="A20" t="s">
        <v>42</v>
      </c>
      <c r="B20" s="64" t="s">
        <v>147</v>
      </c>
      <c r="C20" s="64" t="s">
        <v>148</v>
      </c>
      <c r="D20" s="64" t="s">
        <v>149</v>
      </c>
      <c r="E20" s="64" t="s">
        <v>150</v>
      </c>
      <c r="F20" s="64" t="s">
        <v>151</v>
      </c>
      <c r="G20" s="64" t="s">
        <v>152</v>
      </c>
      <c r="I20" s="12">
        <f ca="1">'Required Capacity (Hide)'!E20</f>
        <v>44333</v>
      </c>
      <c r="J20">
        <f t="shared" si="1"/>
        <v>2178.7500000000005</v>
      </c>
      <c r="K20">
        <f t="shared" si="2"/>
        <v>2625</v>
      </c>
      <c r="L20">
        <f t="shared" si="3"/>
        <v>507.4620000000001</v>
      </c>
      <c r="M20">
        <f t="shared" si="4"/>
        <v>611.40000000000009</v>
      </c>
      <c r="N20">
        <f t="shared" si="5"/>
        <v>2686.2120000000004</v>
      </c>
      <c r="O20">
        <f t="shared" si="6"/>
        <v>3236.4</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1270.3191428571431</v>
      </c>
      <c r="CY20">
        <f t="shared" si="92"/>
        <v>1614.2571428571428</v>
      </c>
      <c r="CZ20">
        <f t="shared" si="93"/>
        <v>9151.3191428571445</v>
      </c>
      <c r="DA20">
        <f t="shared" si="93"/>
        <v>11625.257142857143</v>
      </c>
    </row>
    <row r="21" spans="1:105" x14ac:dyDescent="0.35">
      <c r="A21" t="str">
        <f>Setup!A20</f>
        <v>20 Group Sessions</v>
      </c>
      <c r="B21">
        <f>INDEX($H$100:$H$174,MATCH(A21,$A$100:$A$174,0),1)</f>
        <v>75</v>
      </c>
      <c r="C21">
        <f>INDEX($I$100:$I$174,MATCH(A21,$A$100:$A$174,0),1)</f>
        <v>17.46857142857143</v>
      </c>
      <c r="D21">
        <f>IF(Planning!D25="",'Planning Backing (Hide)'!B21,Planning!D25)</f>
        <v>75</v>
      </c>
      <c r="E21">
        <f>IF(Planning!E25="",'Planning Backing (Hide)'!C21,Planning!E25)</f>
        <v>17.46857142857143</v>
      </c>
      <c r="F21">
        <f>IFERROR($D$21/$B$21,"")</f>
        <v>1</v>
      </c>
      <c r="G21">
        <f>IFERROR($E$21/$C$21,"")</f>
        <v>1</v>
      </c>
      <c r="I21" s="12">
        <f ca="1">'Required Capacity (Hide)'!E21</f>
        <v>44340</v>
      </c>
      <c r="J21">
        <f t="shared" si="1"/>
        <v>2178.7500000000005</v>
      </c>
      <c r="K21">
        <f t="shared" si="2"/>
        <v>2625</v>
      </c>
      <c r="L21">
        <f t="shared" si="3"/>
        <v>507.4620000000001</v>
      </c>
      <c r="M21">
        <f t="shared" si="4"/>
        <v>611.40000000000009</v>
      </c>
      <c r="N21">
        <f t="shared" si="5"/>
        <v>2686.2120000000004</v>
      </c>
      <c r="O21">
        <f t="shared" si="6"/>
        <v>3236.4</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1270.3191428571431</v>
      </c>
      <c r="CY21">
        <f t="shared" si="91"/>
        <v>1614.2571428571428</v>
      </c>
      <c r="CZ21">
        <f t="shared" si="93"/>
        <v>9151.3191428571445</v>
      </c>
      <c r="DA21">
        <f t="shared" si="93"/>
        <v>11625.257142857143</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507.4620000000001</v>
      </c>
      <c r="M22">
        <f t="shared" si="4"/>
        <v>611.40000000000009</v>
      </c>
      <c r="N22">
        <f t="shared" si="5"/>
        <v>2686.2120000000004</v>
      </c>
      <c r="O22">
        <f t="shared" si="6"/>
        <v>3236.4</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1270.3191428571431</v>
      </c>
      <c r="CY22">
        <f t="shared" si="91"/>
        <v>1614.2571428571428</v>
      </c>
      <c r="CZ22">
        <f t="shared" si="93"/>
        <v>9151.3191428571445</v>
      </c>
      <c r="DA22">
        <f t="shared" si="93"/>
        <v>11625.257142857143</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507.4620000000001</v>
      </c>
      <c r="M23">
        <f t="shared" si="4"/>
        <v>611.40000000000009</v>
      </c>
      <c r="N23">
        <f t="shared" si="5"/>
        <v>2686.2120000000004</v>
      </c>
      <c r="O23">
        <f t="shared" si="6"/>
        <v>3236.4</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1270.3191428571431</v>
      </c>
      <c r="CY23">
        <f t="shared" si="91"/>
        <v>1614.2571428571428</v>
      </c>
      <c r="CZ23">
        <f t="shared" si="93"/>
        <v>9151.3191428571445</v>
      </c>
      <c r="DA23">
        <f t="shared" si="93"/>
        <v>11625.257142857143</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507.4620000000001</v>
      </c>
      <c r="M24">
        <f t="shared" si="4"/>
        <v>611.40000000000009</v>
      </c>
      <c r="N24">
        <f t="shared" si="5"/>
        <v>2686.2120000000004</v>
      </c>
      <c r="O24">
        <f t="shared" si="6"/>
        <v>3236.4</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1270.3191428571431</v>
      </c>
      <c r="CY24">
        <f t="shared" si="91"/>
        <v>1614.2571428571428</v>
      </c>
      <c r="CZ24">
        <f t="shared" si="93"/>
        <v>9151.3191428571445</v>
      </c>
      <c r="DA24">
        <f t="shared" si="93"/>
        <v>11625.257142857143</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507.4620000000001</v>
      </c>
      <c r="M25">
        <f t="shared" si="4"/>
        <v>611.40000000000009</v>
      </c>
      <c r="N25">
        <f t="shared" si="5"/>
        <v>2686.2120000000004</v>
      </c>
      <c r="O25">
        <f t="shared" si="6"/>
        <v>3236.4</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1270.3191428571431</v>
      </c>
      <c r="CY25">
        <f t="shared" si="91"/>
        <v>1614.2571428571428</v>
      </c>
      <c r="CZ25">
        <f t="shared" si="93"/>
        <v>9151.3191428571445</v>
      </c>
      <c r="DA25">
        <f t="shared" si="93"/>
        <v>11625.257142857143</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507.4620000000001</v>
      </c>
      <c r="M26">
        <f t="shared" si="4"/>
        <v>611.40000000000009</v>
      </c>
      <c r="N26">
        <f t="shared" si="5"/>
        <v>2686.2120000000004</v>
      </c>
      <c r="O26">
        <f t="shared" si="6"/>
        <v>3236.4</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1270.3191428571431</v>
      </c>
      <c r="CY26">
        <f t="shared" si="91"/>
        <v>1614.2571428571428</v>
      </c>
      <c r="CZ26">
        <f t="shared" si="93"/>
        <v>9151.3191428571445</v>
      </c>
      <c r="DA26">
        <f t="shared" si="93"/>
        <v>11625.257142857143</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507.4620000000001</v>
      </c>
      <c r="M27">
        <f t="shared" si="4"/>
        <v>611.40000000000009</v>
      </c>
      <c r="N27">
        <f t="shared" si="5"/>
        <v>2686.2120000000004</v>
      </c>
      <c r="O27">
        <f t="shared" si="6"/>
        <v>3236.4</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1270.3191428571431</v>
      </c>
      <c r="CY27">
        <f t="shared" si="91"/>
        <v>1614.2571428571428</v>
      </c>
      <c r="CZ27">
        <f t="shared" si="93"/>
        <v>9151.3191428571445</v>
      </c>
      <c r="DA27">
        <f t="shared" si="93"/>
        <v>11625.257142857143</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507.4620000000001</v>
      </c>
      <c r="M28">
        <f t="shared" si="4"/>
        <v>611.40000000000009</v>
      </c>
      <c r="N28">
        <f t="shared" si="5"/>
        <v>2686.2120000000004</v>
      </c>
      <c r="O28">
        <f t="shared" si="6"/>
        <v>3236.4</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1270.3191428571431</v>
      </c>
      <c r="CY28">
        <f t="shared" si="91"/>
        <v>1614.2571428571428</v>
      </c>
      <c r="CZ28">
        <f t="shared" si="93"/>
        <v>9151.3191428571445</v>
      </c>
      <c r="DA28">
        <f t="shared" si="93"/>
        <v>11625.257142857143</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507.4620000000001</v>
      </c>
      <c r="M29">
        <f t="shared" si="4"/>
        <v>611.40000000000009</v>
      </c>
      <c r="N29">
        <f t="shared" si="5"/>
        <v>2686.2120000000004</v>
      </c>
      <c r="O29">
        <f t="shared" si="6"/>
        <v>3236.4</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1270.3191428571431</v>
      </c>
      <c r="CY29">
        <f t="shared" si="91"/>
        <v>1614.2571428571428</v>
      </c>
      <c r="CZ29">
        <f t="shared" si="93"/>
        <v>9151.3191428571445</v>
      </c>
      <c r="DA29">
        <f t="shared" si="93"/>
        <v>11625.257142857143</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507.4620000000001</v>
      </c>
      <c r="M30">
        <f t="shared" si="4"/>
        <v>611.40000000000009</v>
      </c>
      <c r="N30">
        <f t="shared" si="5"/>
        <v>2686.2120000000004</v>
      </c>
      <c r="O30">
        <f t="shared" si="6"/>
        <v>3236.4</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1270.3191428571431</v>
      </c>
      <c r="CY30">
        <f t="shared" si="91"/>
        <v>1614.2571428571428</v>
      </c>
      <c r="CZ30">
        <f t="shared" si="93"/>
        <v>9151.3191428571445</v>
      </c>
      <c r="DA30">
        <f t="shared" si="93"/>
        <v>11625.257142857143</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507.4620000000001</v>
      </c>
      <c r="M31">
        <f t="shared" si="4"/>
        <v>611.40000000000009</v>
      </c>
      <c r="N31">
        <f t="shared" si="5"/>
        <v>2686.2120000000004</v>
      </c>
      <c r="O31">
        <f t="shared" si="6"/>
        <v>3236.4</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1270.3191428571431</v>
      </c>
      <c r="CY31">
        <f t="shared" si="91"/>
        <v>1614.2571428571428</v>
      </c>
      <c r="CZ31">
        <f t="shared" si="93"/>
        <v>9151.3191428571445</v>
      </c>
      <c r="DA31">
        <f t="shared" si="93"/>
        <v>11625.257142857143</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507.4620000000001</v>
      </c>
      <c r="M32">
        <f t="shared" si="4"/>
        <v>611.40000000000009</v>
      </c>
      <c r="N32">
        <f t="shared" si="5"/>
        <v>2686.2120000000004</v>
      </c>
      <c r="O32">
        <f t="shared" si="6"/>
        <v>3236.4</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1270.3191428571431</v>
      </c>
      <c r="CY32">
        <f t="shared" si="91"/>
        <v>1614.2571428571428</v>
      </c>
      <c r="CZ32">
        <f t="shared" si="93"/>
        <v>9151.3191428571445</v>
      </c>
      <c r="DA32">
        <f t="shared" si="93"/>
        <v>11625.257142857143</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507.4620000000001</v>
      </c>
      <c r="M33">
        <f t="shared" si="4"/>
        <v>611.40000000000009</v>
      </c>
      <c r="N33">
        <f t="shared" si="5"/>
        <v>2686.2120000000004</v>
      </c>
      <c r="O33">
        <f t="shared" si="6"/>
        <v>3236.4</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1270.3191428571431</v>
      </c>
      <c r="CY33">
        <f t="shared" si="91"/>
        <v>1614.2571428571428</v>
      </c>
      <c r="CZ33">
        <f t="shared" si="93"/>
        <v>9151.3191428571445</v>
      </c>
      <c r="DA33">
        <f t="shared" si="93"/>
        <v>11625.257142857143</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507.4620000000001</v>
      </c>
      <c r="M34">
        <f t="shared" si="4"/>
        <v>611.40000000000009</v>
      </c>
      <c r="N34">
        <f t="shared" si="5"/>
        <v>2686.2120000000004</v>
      </c>
      <c r="O34">
        <f t="shared" si="6"/>
        <v>3236.4</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1270.3191428571431</v>
      </c>
      <c r="CY34">
        <f t="shared" si="91"/>
        <v>1614.2571428571428</v>
      </c>
      <c r="CZ34">
        <f t="shared" si="93"/>
        <v>9151.3191428571445</v>
      </c>
      <c r="DA34">
        <f t="shared" si="93"/>
        <v>11625.257142857143</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507.4620000000001</v>
      </c>
      <c r="M35">
        <f t="shared" si="4"/>
        <v>611.40000000000009</v>
      </c>
      <c r="N35">
        <f t="shared" si="5"/>
        <v>2686.2120000000004</v>
      </c>
      <c r="O35">
        <f t="shared" si="6"/>
        <v>3236.4</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1270.3191428571431</v>
      </c>
      <c r="CY35">
        <f t="shared" si="91"/>
        <v>1614.2571428571428</v>
      </c>
      <c r="CZ35">
        <f t="shared" si="93"/>
        <v>9151.3191428571445</v>
      </c>
      <c r="DA35">
        <f t="shared" si="93"/>
        <v>11625.257142857143</v>
      </c>
    </row>
    <row r="36" spans="1:105" x14ac:dyDescent="0.35">
      <c r="I36" s="12">
        <f ca="1">'Required Capacity (Hide)'!E36</f>
        <v>44445</v>
      </c>
      <c r="J36">
        <f t="shared" si="1"/>
        <v>2178.7500000000005</v>
      </c>
      <c r="K36">
        <f t="shared" si="2"/>
        <v>2625</v>
      </c>
      <c r="L36">
        <f t="shared" si="3"/>
        <v>507.4620000000001</v>
      </c>
      <c r="M36">
        <f t="shared" si="4"/>
        <v>611.40000000000009</v>
      </c>
      <c r="N36">
        <f t="shared" si="5"/>
        <v>2686.2120000000004</v>
      </c>
      <c r="O36">
        <f t="shared" si="6"/>
        <v>3236.4</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1270.3191428571431</v>
      </c>
      <c r="CY36">
        <f t="shared" si="91"/>
        <v>1614.2571428571428</v>
      </c>
      <c r="CZ36">
        <f t="shared" si="93"/>
        <v>9151.3191428571445</v>
      </c>
      <c r="DA36">
        <f t="shared" si="93"/>
        <v>11625.257142857143</v>
      </c>
    </row>
    <row r="37" spans="1:105" x14ac:dyDescent="0.35">
      <c r="I37" s="12">
        <f ca="1">'Required Capacity (Hide)'!E37</f>
        <v>44452</v>
      </c>
      <c r="J37">
        <f t="shared" si="1"/>
        <v>2178.7500000000005</v>
      </c>
      <c r="K37">
        <f t="shared" si="2"/>
        <v>2625</v>
      </c>
      <c r="L37">
        <f t="shared" si="3"/>
        <v>507.4620000000001</v>
      </c>
      <c r="M37">
        <f t="shared" si="4"/>
        <v>611.40000000000009</v>
      </c>
      <c r="N37">
        <f t="shared" si="5"/>
        <v>2686.2120000000004</v>
      </c>
      <c r="O37">
        <f t="shared" si="6"/>
        <v>3236.4</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1270.3191428571431</v>
      </c>
      <c r="CY37">
        <f t="shared" si="91"/>
        <v>1614.2571428571428</v>
      </c>
      <c r="CZ37">
        <f t="shared" si="93"/>
        <v>9151.3191428571445</v>
      </c>
      <c r="DA37">
        <f t="shared" si="93"/>
        <v>11625.257142857143</v>
      </c>
    </row>
    <row r="38" spans="1:105" x14ac:dyDescent="0.35">
      <c r="I38" s="12">
        <f ca="1">'Required Capacity (Hide)'!E38</f>
        <v>44459</v>
      </c>
      <c r="J38">
        <f t="shared" si="1"/>
        <v>2178.7500000000005</v>
      </c>
      <c r="K38">
        <f t="shared" si="2"/>
        <v>2625</v>
      </c>
      <c r="L38">
        <f t="shared" si="3"/>
        <v>507.4620000000001</v>
      </c>
      <c r="M38">
        <f t="shared" si="4"/>
        <v>611.40000000000009</v>
      </c>
      <c r="N38">
        <f t="shared" si="5"/>
        <v>2686.2120000000004</v>
      </c>
      <c r="O38">
        <f t="shared" si="6"/>
        <v>3236.4</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1270.3191428571431</v>
      </c>
      <c r="CY38">
        <f t="shared" si="91"/>
        <v>1614.2571428571428</v>
      </c>
      <c r="CZ38">
        <f t="shared" si="93"/>
        <v>9151.3191428571445</v>
      </c>
      <c r="DA38">
        <f t="shared" si="93"/>
        <v>11625.257142857143</v>
      </c>
    </row>
    <row r="39" spans="1:105" x14ac:dyDescent="0.35">
      <c r="I39" s="12">
        <f ca="1">'Required Capacity (Hide)'!E39</f>
        <v>44466</v>
      </c>
      <c r="J39">
        <f t="shared" si="1"/>
        <v>2178.7500000000005</v>
      </c>
      <c r="K39">
        <f t="shared" si="2"/>
        <v>2625</v>
      </c>
      <c r="L39">
        <f t="shared" si="3"/>
        <v>507.4620000000001</v>
      </c>
      <c r="M39">
        <f t="shared" si="4"/>
        <v>611.40000000000009</v>
      </c>
      <c r="N39">
        <f t="shared" si="5"/>
        <v>2686.2120000000004</v>
      </c>
      <c r="O39">
        <f t="shared" si="6"/>
        <v>3236.4</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1270.3191428571431</v>
      </c>
      <c r="CY39">
        <f t="shared" si="91"/>
        <v>1614.2571428571428</v>
      </c>
      <c r="CZ39">
        <f t="shared" si="93"/>
        <v>9151.3191428571445</v>
      </c>
      <c r="DA39">
        <f t="shared" si="93"/>
        <v>11625.257142857143</v>
      </c>
    </row>
    <row r="40" spans="1:105" x14ac:dyDescent="0.35">
      <c r="I40" s="12">
        <f ca="1">'Required Capacity (Hide)'!E40</f>
        <v>44473</v>
      </c>
      <c r="J40">
        <f t="shared" si="1"/>
        <v>2178.7500000000005</v>
      </c>
      <c r="K40">
        <f t="shared" si="2"/>
        <v>2625</v>
      </c>
      <c r="L40">
        <f t="shared" si="3"/>
        <v>507.4620000000001</v>
      </c>
      <c r="M40">
        <f t="shared" si="4"/>
        <v>611.40000000000009</v>
      </c>
      <c r="N40">
        <f t="shared" si="5"/>
        <v>2686.2120000000004</v>
      </c>
      <c r="O40">
        <f t="shared" si="6"/>
        <v>3236.4</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1270.3191428571431</v>
      </c>
      <c r="CY40">
        <f t="shared" si="91"/>
        <v>1614.2571428571428</v>
      </c>
      <c r="CZ40">
        <f t="shared" si="93"/>
        <v>9151.3191428571445</v>
      </c>
      <c r="DA40">
        <f t="shared" si="93"/>
        <v>11625.257142857143</v>
      </c>
    </row>
    <row r="41" spans="1:105" x14ac:dyDescent="0.35">
      <c r="I41" s="12">
        <f ca="1">'Required Capacity (Hide)'!E41</f>
        <v>44480</v>
      </c>
      <c r="J41">
        <f t="shared" si="1"/>
        <v>2178.7500000000005</v>
      </c>
      <c r="K41">
        <f t="shared" si="2"/>
        <v>2625</v>
      </c>
      <c r="L41">
        <f t="shared" si="3"/>
        <v>507.4620000000001</v>
      </c>
      <c r="M41">
        <f t="shared" si="4"/>
        <v>611.40000000000009</v>
      </c>
      <c r="N41">
        <f t="shared" si="5"/>
        <v>2686.2120000000004</v>
      </c>
      <c r="O41">
        <f t="shared" si="6"/>
        <v>3236.4</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1270.3191428571431</v>
      </c>
      <c r="CY41">
        <f t="shared" si="91"/>
        <v>1614.2571428571428</v>
      </c>
      <c r="CZ41">
        <f t="shared" si="93"/>
        <v>9151.3191428571445</v>
      </c>
      <c r="DA41">
        <f t="shared" si="93"/>
        <v>11625.257142857143</v>
      </c>
    </row>
    <row r="42" spans="1:105" x14ac:dyDescent="0.35">
      <c r="I42" s="12">
        <f ca="1">'Required Capacity (Hide)'!E42</f>
        <v>44487</v>
      </c>
      <c r="J42">
        <f t="shared" si="1"/>
        <v>2178.7500000000005</v>
      </c>
      <c r="K42">
        <f t="shared" si="2"/>
        <v>2625</v>
      </c>
      <c r="L42">
        <f t="shared" si="3"/>
        <v>507.4620000000001</v>
      </c>
      <c r="M42">
        <f t="shared" si="4"/>
        <v>611.40000000000009</v>
      </c>
      <c r="N42">
        <f t="shared" si="5"/>
        <v>2686.2120000000004</v>
      </c>
      <c r="O42">
        <f t="shared" si="6"/>
        <v>3236.4</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1270.3191428571431</v>
      </c>
      <c r="CY42">
        <f t="shared" si="91"/>
        <v>1614.2571428571428</v>
      </c>
      <c r="CZ42">
        <f t="shared" si="93"/>
        <v>9151.3191428571445</v>
      </c>
      <c r="DA42">
        <f t="shared" si="93"/>
        <v>11625.257142857143</v>
      </c>
    </row>
    <row r="43" spans="1:105" x14ac:dyDescent="0.35">
      <c r="I43" s="12">
        <f ca="1">'Required Capacity (Hide)'!E43</f>
        <v>44494</v>
      </c>
      <c r="J43">
        <f t="shared" si="1"/>
        <v>2178.7500000000005</v>
      </c>
      <c r="K43">
        <f t="shared" si="2"/>
        <v>2625</v>
      </c>
      <c r="L43">
        <f t="shared" si="3"/>
        <v>507.4620000000001</v>
      </c>
      <c r="M43">
        <f t="shared" si="4"/>
        <v>611.40000000000009</v>
      </c>
      <c r="N43">
        <f t="shared" si="5"/>
        <v>2686.2120000000004</v>
      </c>
      <c r="O43">
        <f t="shared" si="6"/>
        <v>3236.4</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1270.3191428571431</v>
      </c>
      <c r="CY43">
        <f t="shared" si="91"/>
        <v>1614.2571428571428</v>
      </c>
      <c r="CZ43">
        <f t="shared" si="93"/>
        <v>9151.3191428571445</v>
      </c>
      <c r="DA43">
        <f t="shared" si="93"/>
        <v>11625.257142857143</v>
      </c>
    </row>
    <row r="44" spans="1:105" x14ac:dyDescent="0.35">
      <c r="I44" s="12">
        <f ca="1">'Required Capacity (Hide)'!E44</f>
        <v>44501</v>
      </c>
      <c r="J44">
        <f t="shared" si="1"/>
        <v>2178.7500000000005</v>
      </c>
      <c r="K44">
        <f t="shared" si="2"/>
        <v>2625</v>
      </c>
      <c r="L44">
        <f t="shared" si="3"/>
        <v>507.4620000000001</v>
      </c>
      <c r="M44">
        <f t="shared" si="4"/>
        <v>611.40000000000009</v>
      </c>
      <c r="N44">
        <f t="shared" si="5"/>
        <v>2686.2120000000004</v>
      </c>
      <c r="O44">
        <f t="shared" si="6"/>
        <v>3236.4</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1270.3191428571431</v>
      </c>
      <c r="CY44">
        <f t="shared" si="91"/>
        <v>1614.2571428571428</v>
      </c>
      <c r="CZ44">
        <f t="shared" si="93"/>
        <v>9151.3191428571445</v>
      </c>
      <c r="DA44">
        <f t="shared" si="93"/>
        <v>11625.257142857143</v>
      </c>
    </row>
    <row r="45" spans="1:105" x14ac:dyDescent="0.35">
      <c r="I45" s="12">
        <f ca="1">'Required Capacity (Hide)'!E45</f>
        <v>44508</v>
      </c>
      <c r="J45">
        <f t="shared" si="1"/>
        <v>2178.7500000000005</v>
      </c>
      <c r="K45">
        <f t="shared" si="2"/>
        <v>2625</v>
      </c>
      <c r="L45">
        <f t="shared" si="3"/>
        <v>507.4620000000001</v>
      </c>
      <c r="M45">
        <f t="shared" si="4"/>
        <v>611.40000000000009</v>
      </c>
      <c r="N45">
        <f t="shared" si="5"/>
        <v>2686.2120000000004</v>
      </c>
      <c r="O45">
        <f t="shared" si="6"/>
        <v>3236.4</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1270.3191428571431</v>
      </c>
      <c r="CY45">
        <f t="shared" si="91"/>
        <v>1614.2571428571428</v>
      </c>
      <c r="CZ45">
        <f t="shared" si="93"/>
        <v>9151.3191428571445</v>
      </c>
      <c r="DA45">
        <f t="shared" si="93"/>
        <v>11625.257142857143</v>
      </c>
    </row>
    <row r="46" spans="1:105" x14ac:dyDescent="0.35">
      <c r="I46" s="12">
        <f ca="1">'Required Capacity (Hide)'!E46</f>
        <v>44515</v>
      </c>
      <c r="J46">
        <f t="shared" si="1"/>
        <v>2178.7500000000005</v>
      </c>
      <c r="K46">
        <f t="shared" si="2"/>
        <v>2625</v>
      </c>
      <c r="L46">
        <f t="shared" si="3"/>
        <v>507.4620000000001</v>
      </c>
      <c r="M46">
        <f t="shared" si="4"/>
        <v>611.40000000000009</v>
      </c>
      <c r="N46">
        <f t="shared" si="5"/>
        <v>2686.2120000000004</v>
      </c>
      <c r="O46">
        <f t="shared" si="6"/>
        <v>3236.4</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1270.3191428571431</v>
      </c>
      <c r="CY46">
        <f t="shared" si="91"/>
        <v>1614.2571428571428</v>
      </c>
      <c r="CZ46">
        <f t="shared" si="93"/>
        <v>9151.3191428571445</v>
      </c>
      <c r="DA46">
        <f t="shared" si="93"/>
        <v>11625.257142857143</v>
      </c>
    </row>
    <row r="47" spans="1:105" x14ac:dyDescent="0.35">
      <c r="I47" s="12">
        <f ca="1">'Required Capacity (Hide)'!E47</f>
        <v>44522</v>
      </c>
      <c r="J47">
        <f t="shared" si="1"/>
        <v>2178.7500000000005</v>
      </c>
      <c r="K47">
        <f t="shared" si="2"/>
        <v>2625</v>
      </c>
      <c r="L47">
        <f t="shared" si="3"/>
        <v>507.4620000000001</v>
      </c>
      <c r="M47">
        <f t="shared" si="4"/>
        <v>611.40000000000009</v>
      </c>
      <c r="N47">
        <f t="shared" si="5"/>
        <v>2686.2120000000004</v>
      </c>
      <c r="O47">
        <f t="shared" si="6"/>
        <v>3236.4</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1270.3191428571431</v>
      </c>
      <c r="CY47">
        <f t="shared" si="91"/>
        <v>1614.2571428571428</v>
      </c>
      <c r="CZ47">
        <f t="shared" si="93"/>
        <v>9151.3191428571445</v>
      </c>
      <c r="DA47">
        <f t="shared" si="93"/>
        <v>11625.257142857143</v>
      </c>
    </row>
    <row r="48" spans="1:105" x14ac:dyDescent="0.35">
      <c r="I48" s="12">
        <f ca="1">'Required Capacity (Hide)'!E48</f>
        <v>44529</v>
      </c>
      <c r="J48">
        <f t="shared" si="1"/>
        <v>2178.7500000000005</v>
      </c>
      <c r="K48">
        <f t="shared" si="2"/>
        <v>2625</v>
      </c>
      <c r="L48">
        <f t="shared" si="3"/>
        <v>507.4620000000001</v>
      </c>
      <c r="M48">
        <f t="shared" si="4"/>
        <v>611.40000000000009</v>
      </c>
      <c r="N48">
        <f t="shared" si="5"/>
        <v>2686.2120000000004</v>
      </c>
      <c r="O48">
        <f t="shared" si="6"/>
        <v>3236.4</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1270.3191428571431</v>
      </c>
      <c r="CY48">
        <f t="shared" si="91"/>
        <v>1614.2571428571428</v>
      </c>
      <c r="CZ48">
        <f t="shared" si="93"/>
        <v>9151.3191428571445</v>
      </c>
      <c r="DA48">
        <f t="shared" si="93"/>
        <v>11625.257142857143</v>
      </c>
    </row>
    <row r="49" spans="8:105" x14ac:dyDescent="0.35">
      <c r="I49" s="12">
        <f ca="1">'Required Capacity (Hide)'!E49</f>
        <v>44536</v>
      </c>
      <c r="J49">
        <f t="shared" si="1"/>
        <v>2178.7500000000005</v>
      </c>
      <c r="K49">
        <f t="shared" si="2"/>
        <v>2625</v>
      </c>
      <c r="L49">
        <f t="shared" si="3"/>
        <v>507.4620000000001</v>
      </c>
      <c r="M49">
        <f t="shared" si="4"/>
        <v>611.40000000000009</v>
      </c>
      <c r="N49">
        <f t="shared" si="5"/>
        <v>2686.2120000000004</v>
      </c>
      <c r="O49">
        <f t="shared" si="6"/>
        <v>3236.4</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1270.3191428571431</v>
      </c>
      <c r="CY49">
        <f t="shared" si="91"/>
        <v>1614.2571428571428</v>
      </c>
      <c r="CZ49">
        <f t="shared" si="93"/>
        <v>9151.3191428571445</v>
      </c>
      <c r="DA49">
        <f t="shared" si="93"/>
        <v>11625.257142857143</v>
      </c>
    </row>
    <row r="50" spans="8:105" x14ac:dyDescent="0.35">
      <c r="I50" s="12">
        <f ca="1">'Required Capacity (Hide)'!E50</f>
        <v>44543</v>
      </c>
      <c r="J50">
        <f t="shared" si="1"/>
        <v>2178.7500000000005</v>
      </c>
      <c r="K50">
        <f t="shared" si="2"/>
        <v>2625</v>
      </c>
      <c r="L50">
        <f t="shared" si="3"/>
        <v>507.4620000000001</v>
      </c>
      <c r="M50">
        <f t="shared" si="4"/>
        <v>611.40000000000009</v>
      </c>
      <c r="N50">
        <f t="shared" si="5"/>
        <v>2686.2120000000004</v>
      </c>
      <c r="O50">
        <f t="shared" si="6"/>
        <v>3236.4</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1270.3191428571431</v>
      </c>
      <c r="CY50">
        <f t="shared" si="91"/>
        <v>1614.2571428571428</v>
      </c>
      <c r="CZ50">
        <f t="shared" si="93"/>
        <v>9151.3191428571445</v>
      </c>
      <c r="DA50">
        <f t="shared" si="93"/>
        <v>11625.257142857143</v>
      </c>
    </row>
    <row r="51" spans="8:105" x14ac:dyDescent="0.35">
      <c r="I51" s="12">
        <f ca="1">'Required Capacity (Hide)'!E51</f>
        <v>44550</v>
      </c>
      <c r="J51">
        <f t="shared" si="1"/>
        <v>2178.7500000000005</v>
      </c>
      <c r="K51">
        <f t="shared" si="2"/>
        <v>2625</v>
      </c>
      <c r="L51">
        <f t="shared" si="3"/>
        <v>507.4620000000001</v>
      </c>
      <c r="M51">
        <f t="shared" si="4"/>
        <v>611.40000000000009</v>
      </c>
      <c r="N51">
        <f t="shared" si="5"/>
        <v>2686.2120000000004</v>
      </c>
      <c r="O51">
        <f t="shared" si="6"/>
        <v>3236.4</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1270.3191428571431</v>
      </c>
      <c r="CY51">
        <f t="shared" si="91"/>
        <v>1614.2571428571428</v>
      </c>
      <c r="CZ51">
        <f t="shared" si="93"/>
        <v>9151.3191428571445</v>
      </c>
      <c r="DA51">
        <f t="shared" si="93"/>
        <v>11625.257142857143</v>
      </c>
    </row>
    <row r="52" spans="8:105" x14ac:dyDescent="0.35">
      <c r="I52" s="12">
        <f ca="1">'Required Capacity (Hide)'!E52</f>
        <v>44557</v>
      </c>
      <c r="J52">
        <f t="shared" si="1"/>
        <v>2178.7500000000005</v>
      </c>
      <c r="K52">
        <f t="shared" si="2"/>
        <v>2625</v>
      </c>
      <c r="L52">
        <f t="shared" si="3"/>
        <v>507.4620000000001</v>
      </c>
      <c r="M52">
        <f t="shared" si="4"/>
        <v>611.40000000000009</v>
      </c>
      <c r="N52">
        <f t="shared" si="5"/>
        <v>2686.2120000000004</v>
      </c>
      <c r="O52">
        <f t="shared" si="6"/>
        <v>3236.4</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1270.3191428571431</v>
      </c>
      <c r="CY52">
        <f t="shared" si="91"/>
        <v>1614.2571428571428</v>
      </c>
      <c r="CZ52">
        <f t="shared" si="93"/>
        <v>9151.3191428571445</v>
      </c>
      <c r="DA52">
        <f t="shared" si="93"/>
        <v>11625.257142857143</v>
      </c>
    </row>
    <row r="53" spans="8:105" x14ac:dyDescent="0.35">
      <c r="I53" s="12">
        <f ca="1">'Required Capacity (Hide)'!E53</f>
        <v>44564</v>
      </c>
      <c r="J53">
        <f t="shared" si="1"/>
        <v>2178.7500000000005</v>
      </c>
      <c r="K53">
        <f t="shared" si="2"/>
        <v>2625</v>
      </c>
      <c r="L53">
        <f t="shared" si="3"/>
        <v>507.4620000000001</v>
      </c>
      <c r="M53">
        <f t="shared" si="4"/>
        <v>611.40000000000009</v>
      </c>
      <c r="N53">
        <f t="shared" si="5"/>
        <v>2686.2120000000004</v>
      </c>
      <c r="O53">
        <f t="shared" si="6"/>
        <v>3236.4</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1270.3191428571431</v>
      </c>
      <c r="CY53">
        <f t="shared" si="91"/>
        <v>1614.2571428571428</v>
      </c>
      <c r="CZ53">
        <f t="shared" si="93"/>
        <v>9151.3191428571445</v>
      </c>
      <c r="DA53">
        <f t="shared" si="93"/>
        <v>11625.257142857143</v>
      </c>
    </row>
    <row r="54" spans="8:105" x14ac:dyDescent="0.35">
      <c r="I54" s="12">
        <f ca="1">'Required Capacity (Hide)'!E54</f>
        <v>44571</v>
      </c>
      <c r="J54">
        <f t="shared" si="1"/>
        <v>2178.7500000000005</v>
      </c>
      <c r="K54">
        <f t="shared" si="2"/>
        <v>2625</v>
      </c>
      <c r="L54">
        <f t="shared" si="3"/>
        <v>507.4620000000001</v>
      </c>
      <c r="M54">
        <f t="shared" si="4"/>
        <v>611.40000000000009</v>
      </c>
      <c r="N54">
        <f t="shared" si="5"/>
        <v>2686.2120000000004</v>
      </c>
      <c r="O54">
        <f t="shared" si="6"/>
        <v>3236.4</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1270.3191428571431</v>
      </c>
      <c r="CY54">
        <f t="shared" si="91"/>
        <v>1614.2571428571428</v>
      </c>
      <c r="CZ54">
        <f t="shared" si="93"/>
        <v>9151.3191428571445</v>
      </c>
      <c r="DA54">
        <f t="shared" si="93"/>
        <v>11625.257142857143</v>
      </c>
    </row>
    <row r="55" spans="8:105" x14ac:dyDescent="0.35">
      <c r="I55" s="12">
        <f ca="1">'Required Capacity (Hide)'!E55</f>
        <v>44578</v>
      </c>
      <c r="J55">
        <f t="shared" si="1"/>
        <v>2178.7500000000005</v>
      </c>
      <c r="K55">
        <f t="shared" si="2"/>
        <v>2625</v>
      </c>
      <c r="L55">
        <f t="shared" si="3"/>
        <v>507.4620000000001</v>
      </c>
      <c r="M55">
        <f t="shared" si="4"/>
        <v>611.40000000000009</v>
      </c>
      <c r="N55">
        <f t="shared" si="5"/>
        <v>2686.2120000000004</v>
      </c>
      <c r="O55">
        <f t="shared" si="6"/>
        <v>3236.4</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1270.3191428571431</v>
      </c>
      <c r="CY55">
        <f t="shared" si="91"/>
        <v>1614.2571428571428</v>
      </c>
      <c r="CZ55">
        <f t="shared" si="93"/>
        <v>9151.3191428571445</v>
      </c>
      <c r="DA55">
        <f t="shared" si="93"/>
        <v>11625.257142857143</v>
      </c>
    </row>
    <row r="56" spans="8:105" ht="15" thickBot="1" x14ac:dyDescent="0.4">
      <c r="I56" s="13">
        <f ca="1">'Required Capacity (Hide)'!E56</f>
        <v>44585</v>
      </c>
      <c r="J56">
        <f t="shared" si="1"/>
        <v>2178.7500000000005</v>
      </c>
      <c r="K56">
        <f t="shared" si="2"/>
        <v>2625</v>
      </c>
      <c r="L56">
        <f t="shared" si="3"/>
        <v>507.4620000000001</v>
      </c>
      <c r="M56">
        <f t="shared" si="4"/>
        <v>611.40000000000009</v>
      </c>
      <c r="N56">
        <f t="shared" si="5"/>
        <v>2686.2120000000004</v>
      </c>
      <c r="O56">
        <f t="shared" si="6"/>
        <v>3236.4</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1270.3191428571431</v>
      </c>
      <c r="CY56">
        <f t="shared" si="91"/>
        <v>1614.2571428571428</v>
      </c>
      <c r="CZ56">
        <f t="shared" si="93"/>
        <v>9151.3191428571445</v>
      </c>
      <c r="DA56">
        <f t="shared" si="93"/>
        <v>11625.257142857143</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f>AVERAGE(J5:J56)</f>
        <v>2178.7500000000005</v>
      </c>
      <c r="K59" s="5">
        <f>AVERAGE(K5:K56)-J59</f>
        <v>446.24999999999955</v>
      </c>
      <c r="L59" s="5">
        <f>AVERAGE(L5:L56)</f>
        <v>507.46199999999976</v>
      </c>
      <c r="M59" s="5">
        <f>AVERAGE(M5:M56)-L59</f>
        <v>103.9380000000009</v>
      </c>
      <c r="N59" s="5">
        <f>AVERAGE(N5:N56)</f>
        <v>2686.212</v>
      </c>
      <c r="O59" s="5">
        <f>AVERAGE(O5:O56)-N59</f>
        <v>550.18799999999692</v>
      </c>
      <c r="P59" s="5">
        <f>AVERAGE(P5:P56)</f>
        <v>1020.0000000000001</v>
      </c>
      <c r="Q59" s="5">
        <f>AVERAGE(Q5:Q56)-P59</f>
        <v>1355.9999999999995</v>
      </c>
      <c r="R59" s="5">
        <f>AVERAGE(R5:R56)</f>
        <v>145.71428571428598</v>
      </c>
      <c r="S59" s="5">
        <f>AVERAGE(S5:S56)-R59</f>
        <v>193.71428571428518</v>
      </c>
      <c r="T59" s="5">
        <f>AVERAGE(T5:T56)</f>
        <v>1165.7142857142878</v>
      </c>
      <c r="U59" s="5">
        <f>AVERAGE(U5:U56)-T59</f>
        <v>1549.7142857142815</v>
      </c>
      <c r="V59" s="5">
        <f>AVERAGE(V5:V56)</f>
        <v>0</v>
      </c>
      <c r="W59" s="5">
        <f>AVERAGE(W5:W56)-V59</f>
        <v>0</v>
      </c>
      <c r="X59" s="5">
        <f>AVERAGE(X5:X56)</f>
        <v>617.14285714285779</v>
      </c>
      <c r="Y59" s="5">
        <f>AVERAGE(Y5:Y56)-X59</f>
        <v>46.285714285713993</v>
      </c>
      <c r="Z59" s="5">
        <f>AVERAGE(Z5:Z56)</f>
        <v>617.14285714285779</v>
      </c>
      <c r="AA59" s="5">
        <f>AVERAGE(AA5:AA56)-Z59</f>
        <v>46.285714285713993</v>
      </c>
      <c r="AB59" s="5">
        <f>AVERAGE(AB5:AB56)</f>
        <v>2882.25</v>
      </c>
      <c r="AC59" s="5">
        <f>AVERAGE(AC5:AC56)-AB59</f>
        <v>267.75</v>
      </c>
      <c r="AD59" s="5">
        <f>AVERAGE(AD5:AD56)</f>
        <v>0</v>
      </c>
      <c r="AE59" s="5">
        <f>AVERAGE(AE5:AE56)-AD59</f>
        <v>0</v>
      </c>
      <c r="AF59" s="5">
        <f>AVERAGE(AF5:AF56)</f>
        <v>2882.25</v>
      </c>
      <c r="AG59" s="5">
        <f>AVERAGE(AG5:AG56)-AF59</f>
        <v>267.75</v>
      </c>
      <c r="AH59" s="5">
        <f>AVERAGE(AH5:AH56)</f>
        <v>1800</v>
      </c>
      <c r="AI59" s="5">
        <f>AVERAGE(AI5:AI56)-AH59</f>
        <v>60</v>
      </c>
      <c r="AJ59" s="5">
        <f>AVERAGE(AJ5:AJ56)</f>
        <v>0</v>
      </c>
      <c r="AK59" s="5">
        <f>AVERAGE(AK5:AK56)-AJ59</f>
        <v>0</v>
      </c>
      <c r="AL59" s="5">
        <f>AVERAGE(AL5:AL56)</f>
        <v>1800</v>
      </c>
      <c r="AM59" s="5">
        <f>AVERAGE(AM5:AM56)-AL59</f>
        <v>60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35">
      <c r="H62" t="s">
        <v>120</v>
      </c>
      <c r="I62" s="14"/>
      <c r="J62" s="5" t="s">
        <v>56</v>
      </c>
      <c r="K62" s="5" t="s">
        <v>41</v>
      </c>
    </row>
    <row r="63" spans="8:105" x14ac:dyDescent="0.35">
      <c r="I63" s="14" t="str">
        <f>'Data Validation (Hide)'!B2</f>
        <v>20 Group Sessions</v>
      </c>
      <c r="J63" s="5" cm="1">
        <f t="array" ref="J63">INDEX($J$59:$DA$60,1,MATCH(1,($I63=$J$1:$CU$1)*($J$62=$J$4:$CU$4)*(Planning!$M$2=$J$2:$CU$2),0))</f>
        <v>2686.212</v>
      </c>
      <c r="K63" s="5" cm="1">
        <f t="array" ref="K63">INDEX($J$59:$DA$60,1,MATCH(1,($I63=$J$1:$CU$1)*($K$62=$J$58:$CU$58)*(Planning!$M$2=$J$2:$CU$2),0))</f>
        <v>550.18799999999692</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96">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96"/>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96"/>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96"/>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96"/>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96"/>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96"/>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96"/>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96"/>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96"/>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96"/>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96"/>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96"/>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261</v>
      </c>
      <c r="H99" t="s">
        <v>262</v>
      </c>
      <c r="I99" t="s">
        <v>263</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year</v>
      </c>
      <c r="F100">
        <f>Service!G6</f>
        <v>1.9E-2</v>
      </c>
      <c r="G100">
        <f>C100/D100*F100</f>
        <v>0.32571428571428568</v>
      </c>
      <c r="H100">
        <f>SUMIF(INDEX($D$100:$D$174,ROW(A1),0):INDEX($D$100:$D$174,ROUNDUP(ROW(A1)/5,0)*5,1),1,INDEX($G$100:$G$174,ROW(A1),0):INDEX($G$100:$G$174,ROUNDUP(ROW(A1)/5,0)*5,1))</f>
        <v>75</v>
      </c>
      <c r="I100">
        <f>SUMIF(INDEX($D$100:$D$174,ROW(A1),0):INDEX($D$100:$D$174,ROUNDUP(ROW(A1)/5,0)*5,1),"&gt;"&amp;1,INDEX($G$100:$G$174,ROW(A1),0):INDEX($G$100:$G$174,ROUNDUP(ROW(A1)/5,0)*5,1))</f>
        <v>17.46857142857143</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97">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97"/>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97"/>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97"/>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97"/>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97"/>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97"/>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Waiting List Modelling</vt:lpstr>
      <vt:lpstr>WL Modelling (Hide)</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2021-05-26T10:17:40Z</dcterms:modified>
</cp:coreProperties>
</file>