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
    </mc:Choice>
  </mc:AlternateContent>
  <xr:revisionPtr revIDLastSave="0" documentId="13_ncr:1_{D5053EB9-4963-4CDC-B018-636715C84D0D}" xr6:coauthVersionLast="41" xr6:coauthVersionMax="41" xr10:uidLastSave="{00000000-0000-0000-0000-000000000000}"/>
  <bookViews>
    <workbookView xWindow="-108" yWindow="-108" windowWidth="23256" windowHeight="12576" tabRatio="794" activeTab="3"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 i="18" l="1"/>
  <c r="C3" i="20"/>
  <c r="C6"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C13" i="3"/>
  <c r="DQ4" i="6" l="1"/>
  <c r="DN5" i="6"/>
  <c r="DM4" i="6"/>
  <c r="D5" i="12"/>
  <c r="DQ5" i="6" l="1"/>
  <c r="DN6" i="6"/>
  <c r="DM5" i="6"/>
  <c r="H16" i="20"/>
  <c r="DQ6" i="6" l="1"/>
  <c r="DN7" i="6"/>
  <c r="DM6" i="6"/>
  <c r="D3" i="22"/>
  <c r="DQ7" i="6" l="1"/>
  <c r="DN8" i="6"/>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B123" i="35"/>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N33" i="6" l="1"/>
  <c r="DM32" i="6"/>
  <c r="D49" i="35"/>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H177" i="32"/>
  <c r="H174" i="32"/>
  <c r="H161" i="32"/>
  <c r="H140" i="32"/>
  <c r="H175" i="32"/>
  <c r="BI130" i="31"/>
  <c r="BW130" i="31" s="1"/>
  <c r="BI123" i="31"/>
  <c r="DF123" i="31" s="1"/>
  <c r="BI206" i="31"/>
  <c r="BI142" i="31"/>
  <c r="CL142" i="31" s="1"/>
  <c r="BI176" i="31"/>
  <c r="CG176" i="31" s="1"/>
  <c r="BI197" i="31"/>
  <c r="BL197" i="31" s="1"/>
  <c r="BI196" i="31"/>
  <c r="CO196" i="31" s="1"/>
  <c r="BI132" i="31"/>
  <c r="DJ132" i="31" s="1"/>
  <c r="H165" i="32"/>
  <c r="H208" i="32"/>
  <c r="H136" i="32"/>
  <c r="H171" i="32"/>
  <c r="H210" i="32"/>
  <c r="H146" i="32"/>
  <c r="H200" i="32"/>
  <c r="H197" i="32"/>
  <c r="BO138" i="31"/>
  <c r="BP193" i="31"/>
  <c r="DG193" i="31"/>
  <c r="CQ193" i="31"/>
  <c r="DC193" i="31"/>
  <c r="CM193" i="31"/>
  <c r="CP129" i="31"/>
  <c r="BZ129" i="31"/>
  <c r="BX129" i="31"/>
  <c r="DI129" i="31"/>
  <c r="CL129" i="31"/>
  <c r="CD129" i="31"/>
  <c r="BK129" i="31"/>
  <c r="DD204" i="31"/>
  <c r="DD140" i="31"/>
  <c r="CV140" i="31"/>
  <c r="CN140" i="31"/>
  <c r="CF140" i="31"/>
  <c r="BX140" i="31"/>
  <c r="BP140" i="31"/>
  <c r="DI140" i="31"/>
  <c r="DA140" i="31"/>
  <c r="CS140" i="31"/>
  <c r="CK140" i="31"/>
  <c r="CC140" i="31"/>
  <c r="BU140" i="31"/>
  <c r="BM140" i="31"/>
  <c r="DH140" i="31"/>
  <c r="CZ140" i="31"/>
  <c r="CR140" i="31"/>
  <c r="CJ140" i="31"/>
  <c r="CB140" i="31"/>
  <c r="BT140" i="31"/>
  <c r="BL140" i="31"/>
  <c r="DG140" i="31"/>
  <c r="CY140" i="31"/>
  <c r="CQ140" i="31"/>
  <c r="CI140" i="31"/>
  <c r="CA140" i="31"/>
  <c r="BS140" i="31"/>
  <c r="BK140" i="31"/>
  <c r="DF140" i="31"/>
  <c r="CX140" i="31"/>
  <c r="CP140" i="31"/>
  <c r="CH140" i="31"/>
  <c r="BZ140" i="31"/>
  <c r="BR140" i="31"/>
  <c r="CT140" i="31"/>
  <c r="BW140" i="31"/>
  <c r="CO140" i="31"/>
  <c r="BV140" i="31"/>
  <c r="DJ140" i="31"/>
  <c r="CM140" i="31"/>
  <c r="BQ140" i="31"/>
  <c r="DE140" i="31"/>
  <c r="CL140" i="31"/>
  <c r="BO140" i="31"/>
  <c r="DC140" i="31"/>
  <c r="CG140" i="31"/>
  <c r="BN140" i="31"/>
  <c r="DB140" i="31"/>
  <c r="CE140" i="31"/>
  <c r="CW140" i="31"/>
  <c r="CD140" i="31"/>
  <c r="BY140" i="31"/>
  <c r="CU140" i="31"/>
  <c r="DD206" i="31"/>
  <c r="CV206" i="31"/>
  <c r="CN206" i="31"/>
  <c r="CF206" i="31"/>
  <c r="BX206" i="31"/>
  <c r="BP206" i="31"/>
  <c r="DI206" i="31"/>
  <c r="DA206" i="31"/>
  <c r="CS206" i="31"/>
  <c r="CK206" i="31"/>
  <c r="CC206" i="31"/>
  <c r="BU206" i="31"/>
  <c r="BM206" i="31"/>
  <c r="DH206" i="31"/>
  <c r="CZ206" i="31"/>
  <c r="CR206" i="31"/>
  <c r="CJ206" i="31"/>
  <c r="CB206" i="31"/>
  <c r="BT206" i="31"/>
  <c r="BL206" i="31"/>
  <c r="DG206" i="31"/>
  <c r="CY206" i="31"/>
  <c r="CQ206" i="31"/>
  <c r="CI206" i="31"/>
  <c r="CA206" i="31"/>
  <c r="BS206" i="31"/>
  <c r="BK206" i="31"/>
  <c r="DF206" i="31"/>
  <c r="CX206" i="31"/>
  <c r="CP206" i="31"/>
  <c r="CH206" i="31"/>
  <c r="BZ206" i="31"/>
  <c r="BR206" i="31"/>
  <c r="CU206" i="31"/>
  <c r="BY206" i="31"/>
  <c r="CO206" i="31"/>
  <c r="BV206" i="31"/>
  <c r="DJ206" i="31"/>
  <c r="CM206" i="31"/>
  <c r="BQ206" i="31"/>
  <c r="DE206" i="31"/>
  <c r="CL206" i="31"/>
  <c r="BO206" i="31"/>
  <c r="DC206" i="31"/>
  <c r="CG206" i="31"/>
  <c r="BN206" i="31"/>
  <c r="BW206" i="31"/>
  <c r="DB206" i="31"/>
  <c r="CW206" i="31"/>
  <c r="CD206" i="31"/>
  <c r="CT206" i="31"/>
  <c r="CE206" i="31"/>
  <c r="DJ142" i="31"/>
  <c r="DB142" i="31"/>
  <c r="CD142" i="31"/>
  <c r="BV142" i="31"/>
  <c r="CY142" i="31"/>
  <c r="CQ142" i="31"/>
  <c r="BS142" i="31"/>
  <c r="BK142" i="31"/>
  <c r="CP142" i="31"/>
  <c r="CH142" i="31"/>
  <c r="DE142" i="31"/>
  <c r="CW142" i="31"/>
  <c r="BY142" i="31"/>
  <c r="BQ142" i="31"/>
  <c r="CN142" i="31"/>
  <c r="CF142" i="31"/>
  <c r="CS142" i="31"/>
  <c r="BW142" i="31"/>
  <c r="DI142" i="31"/>
  <c r="CM142" i="31"/>
  <c r="CK142" i="31"/>
  <c r="BO142" i="31"/>
  <c r="BM142" i="31"/>
  <c r="DA142" i="31"/>
  <c r="CZ142" i="31"/>
  <c r="CC142" i="31"/>
  <c r="CD176" i="31"/>
  <c r="CF176" i="31"/>
  <c r="CZ197" i="31"/>
  <c r="CR197" i="31"/>
  <c r="CJ197" i="31"/>
  <c r="CP197" i="31"/>
  <c r="CH197" i="31"/>
  <c r="BZ197" i="31"/>
  <c r="BY197" i="31"/>
  <c r="BQ197" i="31"/>
  <c r="DD197" i="31"/>
  <c r="DC197" i="31"/>
  <c r="CU197" i="31"/>
  <c r="CM197" i="31"/>
  <c r="BK197" i="31"/>
  <c r="CY197" i="31"/>
  <c r="CC197" i="31"/>
  <c r="DG197" i="31"/>
  <c r="BU197" i="31"/>
  <c r="DB197" i="31"/>
  <c r="CQ197" i="31"/>
  <c r="CK197" i="31"/>
  <c r="CI197" i="31"/>
  <c r="DC196" i="31"/>
  <c r="CU196" i="31"/>
  <c r="CT196" i="31"/>
  <c r="CL196" i="31"/>
  <c r="CK196" i="31"/>
  <c r="CC196" i="31"/>
  <c r="CB196" i="31"/>
  <c r="BT196" i="31"/>
  <c r="DD196" i="31"/>
  <c r="CH196" i="31"/>
  <c r="CF196" i="31"/>
  <c r="CA196" i="31"/>
  <c r="CC132" i="31"/>
  <c r="CP132"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F50" i="24"/>
  <c r="F52" i="24"/>
  <c r="F118" i="24"/>
  <c r="F54" i="24"/>
  <c r="F109" i="24"/>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I123" i="31" l="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N56" i="6" s="1"/>
  <c r="DM54" i="6"/>
  <c r="F23" i="30"/>
  <c r="CB3" i="31" s="1"/>
  <c r="CB110" i="31" s="1"/>
  <c r="A30" i="17"/>
  <c r="H28" i="39" s="1"/>
  <c r="D29" i="17"/>
  <c r="B29" i="17"/>
  <c r="I27" i="39" s="1"/>
  <c r="C29" i="17"/>
  <c r="J27" i="39" s="1"/>
  <c r="D23" i="30"/>
  <c r="E23" i="30"/>
  <c r="B24" i="30"/>
  <c r="A24" i="30" s="1"/>
  <c r="EE4" i="6" l="1"/>
  <c r="EA5" i="6"/>
  <c r="K27" i="39"/>
  <c r="DM55" i="6"/>
  <c r="DM56" i="6" s="1"/>
  <c r="F24" i="30"/>
  <c r="CC3" i="31" s="1"/>
  <c r="CC110" i="31" s="1"/>
  <c r="A31" i="17"/>
  <c r="H29" i="39" s="1"/>
  <c r="D30" i="17"/>
  <c r="B30" i="17"/>
  <c r="I28" i="39" s="1"/>
  <c r="C30" i="17"/>
  <c r="J28" i="39" s="1"/>
  <c r="D24" i="30"/>
  <c r="E24" i="30"/>
  <c r="B25" i="30"/>
  <c r="A25" i="30" s="1"/>
  <c r="EE5" i="6" l="1"/>
  <c r="DR33" i="6"/>
  <c r="DR34" i="6"/>
  <c r="DR6" i="6"/>
  <c r="DR38" i="6"/>
  <c r="DR44" i="6"/>
  <c r="DR37" i="6"/>
  <c r="DR47" i="6"/>
  <c r="DR35" i="6"/>
  <c r="DR32" i="6"/>
  <c r="DR9" i="6"/>
  <c r="DR12" i="6"/>
  <c r="DR19" i="6"/>
  <c r="DR42" i="6"/>
  <c r="DR21" i="6"/>
  <c r="DR28" i="6"/>
  <c r="DR52" i="6"/>
  <c r="DR7" i="6"/>
  <c r="DR49" i="6"/>
  <c r="DR26" i="6"/>
  <c r="DR43" i="6"/>
  <c r="DR40" i="6"/>
  <c r="DR23" i="6"/>
  <c r="DR31" i="6"/>
  <c r="DR13" i="6"/>
  <c r="DR48" i="6"/>
  <c r="K28" i="39"/>
  <c r="F25" i="30"/>
  <c r="CD3" i="31" s="1"/>
  <c r="CD110" i="31" s="1"/>
  <c r="A32" i="17"/>
  <c r="H30" i="39" s="1"/>
  <c r="D31" i="17"/>
  <c r="K29" i="39" s="1"/>
  <c r="B31" i="17"/>
  <c r="I29" i="39" s="1"/>
  <c r="C31" i="17"/>
  <c r="J29" i="39" s="1"/>
  <c r="D25" i="30"/>
  <c r="E25" i="30"/>
  <c r="B26" i="30"/>
  <c r="A26" i="30" s="1"/>
  <c r="DR8" i="6" l="1"/>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5" i="3"/>
  <c r="C14" i="3"/>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4" i="6"/>
  <c r="AW5" i="6" s="1"/>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J34" i="17" s="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3" i="17" l="1"/>
  <c r="Q33" i="17" s="1"/>
  <c r="J28" i="17"/>
  <c r="J26" i="17"/>
  <c r="J18" i="17"/>
  <c r="J19" i="17"/>
  <c r="J21" i="17"/>
  <c r="J24" i="17"/>
  <c r="J17" i="17"/>
  <c r="J29" i="17"/>
  <c r="J23" i="17"/>
  <c r="J27" i="17"/>
  <c r="J31" i="17"/>
  <c r="J22" i="17"/>
  <c r="A173" i="12"/>
  <c r="B170" i="3"/>
  <c r="AP161" i="6" s="1"/>
  <c r="AQ161" i="6"/>
  <c r="J15" i="17"/>
  <c r="J37" i="17"/>
  <c r="Q34"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I21" i="31" s="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I20" i="31" s="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I22" i="31" s="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28"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6" i="32" l="1"/>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K59" i="17" s="1"/>
  <c r="DA4" i="31"/>
  <c r="CR4" i="31"/>
  <c r="CN4" i="31"/>
  <c r="I44" i="17" s="1"/>
  <c r="K44" i="17" s="1"/>
  <c r="CU4" i="31"/>
  <c r="CH4" i="31"/>
  <c r="CB4" i="31"/>
  <c r="BX4" i="31"/>
  <c r="BS4" i="31"/>
  <c r="BP4" i="31"/>
  <c r="DJ4" i="31"/>
  <c r="DD4" i="31"/>
  <c r="I60" i="17" s="1"/>
  <c r="K60" i="17" s="1"/>
  <c r="CZ4" i="31"/>
  <c r="CQ4" i="31"/>
  <c r="CM4" i="31"/>
  <c r="I43" i="17" s="1"/>
  <c r="K43" i="17" s="1"/>
  <c r="CS4" i="31"/>
  <c r="CD4" i="31"/>
  <c r="I34" i="17" s="1"/>
  <c r="K34" i="17" s="1"/>
  <c r="BZ4" i="31"/>
  <c r="BW4" i="31"/>
  <c r="BR4" i="31"/>
  <c r="BN4" i="31"/>
  <c r="I56" i="17" l="1"/>
  <c r="K56" i="17" s="1"/>
  <c r="I27" i="17"/>
  <c r="K27" i="17" s="1"/>
  <c r="I32" i="17"/>
  <c r="K32" i="17" s="1"/>
  <c r="I66" i="17"/>
  <c r="I67" i="17" s="1"/>
  <c r="K67" i="17" s="1"/>
  <c r="I20" i="17"/>
  <c r="K20" i="17" s="1"/>
  <c r="I18" i="17"/>
  <c r="K18" i="17" s="1"/>
  <c r="I19" i="17"/>
  <c r="K19" i="17" s="1"/>
  <c r="I48" i="17"/>
  <c r="K48" i="17" s="1"/>
  <c r="I30" i="17"/>
  <c r="K30" i="17" s="1"/>
  <c r="I23" i="17"/>
  <c r="K23" i="17" s="1"/>
  <c r="I29" i="17"/>
  <c r="K29" i="17" s="1"/>
  <c r="I16" i="17"/>
  <c r="I47" i="17"/>
  <c r="I50" i="17"/>
  <c r="K50" i="17" s="1"/>
  <c r="I40" i="17"/>
  <c r="K40" i="17" s="1"/>
  <c r="I33" i="17"/>
  <c r="K33" i="17" s="1"/>
  <c r="I45" i="17"/>
  <c r="I38" i="17"/>
  <c r="K38" i="17" s="1"/>
  <c r="I22" i="17"/>
  <c r="K22" i="17" s="1"/>
  <c r="I28" i="17"/>
  <c r="K28" i="17" s="1"/>
  <c r="I31" i="17"/>
  <c r="I21" i="17"/>
  <c r="K21" i="17" s="1"/>
  <c r="I26" i="17"/>
  <c r="I25" i="17"/>
  <c r="K25" i="17" s="1"/>
  <c r="I24" i="17"/>
  <c r="K24" i="17" s="1"/>
  <c r="I37" i="17"/>
  <c r="K37" i="17" s="1"/>
  <c r="I36" i="17"/>
  <c r="K36" i="17" s="1"/>
  <c r="I17" i="17"/>
  <c r="I42" i="17"/>
  <c r="K42" i="17" s="1"/>
  <c r="I35" i="17"/>
  <c r="K35" i="17" s="1"/>
  <c r="I46" i="17"/>
  <c r="K46" i="17" s="1"/>
  <c r="I39" i="17"/>
  <c r="I41" i="17"/>
  <c r="I63" i="17"/>
  <c r="K63" i="17" s="1"/>
  <c r="DK168" i="31"/>
  <c r="I176" i="32"/>
  <c r="B212" i="3"/>
  <c r="AP203" i="6" s="1"/>
  <c r="AQ203" i="6"/>
  <c r="I49" i="17"/>
  <c r="I15" i="17"/>
  <c r="K15" i="17" s="1"/>
  <c r="I53" i="17"/>
  <c r="K53" i="17" s="1"/>
  <c r="I55" i="17"/>
  <c r="K55" i="17" s="1"/>
  <c r="I65" i="17"/>
  <c r="K65" i="17" s="1"/>
  <c r="I51" i="17"/>
  <c r="K51" i="17" s="1"/>
  <c r="I57" i="17"/>
  <c r="I52" i="17"/>
  <c r="I58" i="17"/>
  <c r="I64" i="17"/>
  <c r="K64" i="17" s="1"/>
  <c r="I61" i="17"/>
  <c r="I54" i="17"/>
  <c r="I62" i="17"/>
  <c r="DK4" i="31"/>
  <c r="C4" i="24" s="1"/>
  <c r="P43" i="17"/>
  <c r="P34" i="17"/>
  <c r="P56" i="17" l="1"/>
  <c r="P27" i="17"/>
  <c r="P66" i="17"/>
  <c r="K66" i="17"/>
  <c r="P23" i="17"/>
  <c r="P48" i="17"/>
  <c r="P30" i="17"/>
  <c r="P40" i="17"/>
  <c r="P41" i="17"/>
  <c r="K41" i="17"/>
  <c r="P45" i="17"/>
  <c r="K45" i="17"/>
  <c r="P39" i="17"/>
  <c r="K39" i="17"/>
  <c r="P58" i="17"/>
  <c r="K58" i="17"/>
  <c r="P49" i="17"/>
  <c r="K49" i="17"/>
  <c r="P26" i="17"/>
  <c r="K26" i="17"/>
  <c r="P54" i="17"/>
  <c r="K54" i="17"/>
  <c r="P57" i="17"/>
  <c r="K57" i="17"/>
  <c r="P31" i="17"/>
  <c r="K31" i="17"/>
  <c r="P47" i="17"/>
  <c r="K47" i="17"/>
  <c r="P61" i="17"/>
  <c r="K61" i="17"/>
  <c r="P52" i="17"/>
  <c r="K52" i="17"/>
  <c r="P17" i="17"/>
  <c r="K17" i="17"/>
  <c r="P62" i="17"/>
  <c r="K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K13" i="15"/>
  <c r="AV19" i="15"/>
  <c r="AH7" i="15"/>
  <c r="AH54" i="15"/>
  <c r="AV18" i="15"/>
  <c r="AJ7" i="15"/>
  <c r="AK7" i="15"/>
  <c r="AL54" i="15"/>
  <c r="AV21" i="15"/>
  <c r="AV44" i="15"/>
  <c r="AI7" i="15"/>
  <c r="AM7" i="15"/>
  <c r="AV54" i="15"/>
  <c r="AV20" i="15"/>
  <c r="AV42" i="15"/>
  <c r="AV55" i="15"/>
  <c r="AV43" i="15"/>
  <c r="AV17" i="15"/>
  <c r="AV15" i="15"/>
  <c r="AH47" i="15" l="1"/>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P54" i="15" s="1"/>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Q54" i="15"/>
  <c r="AV47" i="15"/>
  <c r="AV28" i="15"/>
  <c r="AV45" i="15"/>
  <c r="AV29" i="15"/>
  <c r="AV50" i="15"/>
  <c r="AV30" i="15"/>
  <c r="AV36" i="15"/>
  <c r="AV53" i="15"/>
  <c r="AV26" i="15"/>
  <c r="AV27" i="15"/>
  <c r="AV52" i="15"/>
  <c r="AV49" i="15"/>
  <c r="AV14" i="15"/>
  <c r="AV34" i="15"/>
  <c r="AV11" i="15"/>
  <c r="AV37" i="15"/>
  <c r="AV33" i="15"/>
  <c r="AV41" i="15"/>
  <c r="AV40" i="15"/>
  <c r="AV13" i="15"/>
  <c r="AV35" i="15"/>
  <c r="AP7" i="15"/>
  <c r="AP13" i="15" l="1"/>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P46" i="6" s="1"/>
  <c r="DT46" i="6" s="1"/>
  <c r="DX46" i="6" s="1"/>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DP33" i="6" s="1"/>
  <c r="DT33" i="6" s="1"/>
  <c r="DX33" i="6" s="1"/>
  <c r="F32" i="17"/>
  <c r="G55" i="36"/>
  <c r="H55" i="36" s="1"/>
  <c r="S71" i="17"/>
  <c r="E33" i="18" s="1"/>
  <c r="S70" i="17"/>
  <c r="D33" i="18" s="1"/>
  <c r="D32" i="18"/>
  <c r="F33" i="17" l="1"/>
  <c r="DO13" i="6"/>
  <c r="DQ13" i="6" s="1"/>
  <c r="F36" i="17"/>
  <c r="DO9" i="6"/>
  <c r="F38" i="17"/>
  <c r="DP34" i="6" s="1"/>
  <c r="DT34" i="6" s="1"/>
  <c r="DX34" i="6" s="1"/>
  <c r="C12" i="37"/>
  <c r="DQ9" i="6" l="1"/>
  <c r="DO15" i="6"/>
  <c r="DQ15" i="6" s="1"/>
  <c r="DO10" i="6"/>
  <c r="B21" i="26"/>
  <c r="DQ10" i="6" l="1"/>
  <c r="B25" i="26"/>
  <c r="H7" i="11" l="1"/>
  <c r="B22" i="26" s="1"/>
  <c r="B24" i="26" s="1"/>
  <c r="B43" i="26" s="1"/>
  <c r="C43" i="26" l="1"/>
  <c r="D15" i="35"/>
  <c r="I4" i="17"/>
  <c r="B5" i="39" s="1"/>
  <c r="J4" i="17" l="1"/>
  <c r="E21" i="26"/>
  <c r="E25" i="26" s="1"/>
  <c r="H21" i="11" l="1"/>
  <c r="E22" i="26" s="1"/>
  <c r="E24" i="26" s="1"/>
  <c r="B45" i="26" s="1"/>
  <c r="D17" i="35" s="1"/>
  <c r="I6" i="17" l="1"/>
  <c r="C7" i="37"/>
  <c r="F21" i="26"/>
  <c r="J6" i="17" l="1"/>
  <c r="B7" i="39"/>
  <c r="B14" i="39" s="1"/>
  <c r="H21" i="26"/>
  <c r="H24" i="26" s="1"/>
  <c r="I16" i="11" s="1"/>
  <c r="F25" i="26"/>
  <c r="J27" i="11" s="1"/>
  <c r="F22" i="26" l="1"/>
  <c r="H25" i="26"/>
  <c r="J16" i="11" s="1"/>
  <c r="C21" i="26"/>
  <c r="C25" i="26" s="1"/>
  <c r="H11" i="11" s="1"/>
  <c r="H22" i="26" l="1"/>
  <c r="F24" i="26"/>
  <c r="B27" i="26"/>
  <c r="B26" i="11" s="1"/>
  <c r="B47" i="26" l="1"/>
  <c r="B46" i="26"/>
  <c r="C16" i="11"/>
  <c r="C22" i="26"/>
  <c r="C24" i="26" s="1"/>
  <c r="B44" i="26" s="1"/>
  <c r="M33" i="17" l="1"/>
  <c r="N45" i="17"/>
  <c r="M44" i="17"/>
  <c r="T44" i="17" s="1"/>
  <c r="M37" i="17"/>
  <c r="M58" i="17"/>
  <c r="M59" i="17"/>
  <c r="M48" i="17"/>
  <c r="M34" i="17"/>
  <c r="M62" i="17"/>
  <c r="M46" i="17"/>
  <c r="M38" i="17"/>
  <c r="M45" i="17"/>
  <c r="T45" i="17" s="1"/>
  <c r="N57" i="17"/>
  <c r="M35" i="17"/>
  <c r="M67" i="17"/>
  <c r="T67" i="17" s="1"/>
  <c r="M56" i="17"/>
  <c r="M49" i="17"/>
  <c r="M50" i="17"/>
  <c r="M60" i="17"/>
  <c r="M57" i="17"/>
  <c r="T57" i="17" s="1"/>
  <c r="M32" i="17"/>
  <c r="N44" i="17"/>
  <c r="M47" i="17"/>
  <c r="M36" i="17"/>
  <c r="M61" i="17"/>
  <c r="C8" i="37"/>
  <c r="C46" i="26"/>
  <c r="D18" i="35"/>
  <c r="I7" i="17"/>
  <c r="C47" i="26"/>
  <c r="C11" i="37"/>
  <c r="D16" i="35"/>
  <c r="C44" i="26"/>
  <c r="C15" i="37"/>
  <c r="I5" i="17"/>
  <c r="G57" i="26" l="1"/>
  <c r="G55" i="26"/>
  <c r="G56" i="26"/>
  <c r="J7" i="17"/>
  <c r="B8" i="39"/>
  <c r="U45" i="17"/>
  <c r="U57" i="17"/>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U44" i="17"/>
  <c r="F4" i="36" l="1"/>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L4" i="17"/>
  <c r="B15" i="39"/>
  <c r="B16" i="39" s="1"/>
  <c r="B12" i="39"/>
  <c r="F62" i="26"/>
  <c r="X72" i="17"/>
  <c r="C4" i="37" s="1"/>
  <c r="X71" i="17"/>
  <c r="E30" i="18" s="1"/>
  <c r="X70" i="17"/>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G11" i="36" l="1"/>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B13" i="39"/>
  <c r="H62" i="26"/>
  <c r="F63" i="26"/>
  <c r="I62" i="26"/>
  <c r="D30" i="18"/>
  <c r="D11" i="35"/>
  <c r="D12" i="35" s="1"/>
  <c r="AB13" i="39" l="1"/>
  <c r="AB14" i="39"/>
  <c r="AB22" i="39"/>
  <c r="AB30" i="39"/>
  <c r="AB38" i="39"/>
  <c r="AB46" i="39"/>
  <c r="AB54" i="39"/>
  <c r="AB62" i="39"/>
  <c r="AB15" i="39"/>
  <c r="AB23" i="39"/>
  <c r="AB31" i="39"/>
  <c r="AB39" i="39"/>
  <c r="AB55" i="39"/>
  <c r="AB40" i="39"/>
  <c r="AB17" i="39"/>
  <c r="AB25" i="39"/>
  <c r="AB33" i="39"/>
  <c r="AB41" i="39"/>
  <c r="AB49" i="39"/>
  <c r="AB57" i="39"/>
  <c r="AB59" i="39"/>
  <c r="AB60" i="39"/>
  <c r="AB45" i="39"/>
  <c r="AB63" i="39"/>
  <c r="AB48" i="39"/>
  <c r="AB18" i="39"/>
  <c r="AB26" i="39"/>
  <c r="AB34" i="39"/>
  <c r="AB42" i="39"/>
  <c r="AB50" i="39"/>
  <c r="AB58" i="39"/>
  <c r="AB43" i="39"/>
  <c r="AB52" i="39"/>
  <c r="AB37" i="39"/>
  <c r="AB47" i="39"/>
  <c r="AB32" i="39"/>
  <c r="AB19" i="39"/>
  <c r="AB27" i="39"/>
  <c r="AB35" i="39"/>
  <c r="AB51" i="39"/>
  <c r="AB21" i="39"/>
  <c r="AB53" i="39"/>
  <c r="AB16" i="39"/>
  <c r="AB56" i="39"/>
  <c r="AB20" i="39"/>
  <c r="AB28" i="39"/>
  <c r="AB36" i="39"/>
  <c r="AB44" i="39"/>
  <c r="AB29" i="39"/>
  <c r="AB61" i="39"/>
  <c r="AB24" i="39"/>
  <c r="AB64" i="39"/>
  <c r="AA13" i="39"/>
  <c r="AA16" i="39"/>
  <c r="AA24" i="39"/>
  <c r="AA32" i="39"/>
  <c r="AA40" i="39"/>
  <c r="AA48" i="39"/>
  <c r="AA56" i="39"/>
  <c r="AA64" i="39"/>
  <c r="AA21" i="39"/>
  <c r="AA53" i="39"/>
  <c r="AA22" i="39"/>
  <c r="AA62" i="39"/>
  <c r="AA39" i="39"/>
  <c r="AA17" i="39"/>
  <c r="AA25" i="39"/>
  <c r="AA33" i="39"/>
  <c r="AA41" i="39"/>
  <c r="AA49" i="39"/>
  <c r="AA57" i="39"/>
  <c r="AA28" i="39"/>
  <c r="AA44" i="39"/>
  <c r="AA29" i="39"/>
  <c r="AA61" i="39"/>
  <c r="AA38" i="39"/>
  <c r="AA23" i="39"/>
  <c r="AA47" i="39"/>
  <c r="AA18" i="39"/>
  <c r="AA26" i="39"/>
  <c r="AA34" i="39"/>
  <c r="AA42" i="39"/>
  <c r="AA50" i="39"/>
  <c r="AA58" i="39"/>
  <c r="AA20" i="39"/>
  <c r="AC20" i="39" s="1"/>
  <c r="AA52" i="39"/>
  <c r="AA37" i="39"/>
  <c r="AA14" i="39"/>
  <c r="AA46" i="39"/>
  <c r="AA15" i="39"/>
  <c r="AA55" i="39"/>
  <c r="AA19" i="39"/>
  <c r="AA27" i="39"/>
  <c r="AA35" i="39"/>
  <c r="AA43" i="39"/>
  <c r="AA51" i="39"/>
  <c r="AA59" i="39"/>
  <c r="AA36" i="39"/>
  <c r="AA60" i="39"/>
  <c r="AA45" i="39"/>
  <c r="AA30" i="39"/>
  <c r="AA54" i="39"/>
  <c r="AA31" i="39"/>
  <c r="AA63" i="39"/>
  <c r="H63" i="26"/>
  <c r="C13" i="37"/>
  <c r="I63" i="26"/>
  <c r="AC41" i="39" l="1"/>
  <c r="AC21" i="39"/>
  <c r="AC42" i="39"/>
  <c r="AC17" i="39"/>
  <c r="AC61" i="39"/>
  <c r="AC34" i="39"/>
  <c r="AC64" i="39"/>
  <c r="AC54" i="39"/>
  <c r="AC59" i="39"/>
  <c r="AC44" i="39"/>
  <c r="AC40" i="39"/>
  <c r="AC39" i="39"/>
  <c r="AC28" i="39"/>
  <c r="AC45" i="39"/>
  <c r="AC49" i="39"/>
  <c r="AC53" i="39"/>
  <c r="AC62" i="39"/>
  <c r="AC33" i="39"/>
  <c r="AC56" i="39"/>
  <c r="AC55" i="39"/>
  <c r="AC46" i="39"/>
  <c r="AC51" i="39"/>
  <c r="AC50" i="39"/>
  <c r="AC25" i="39"/>
  <c r="AC48" i="39"/>
  <c r="AC47" i="39"/>
  <c r="AC38" i="39"/>
  <c r="AC30" i="39"/>
  <c r="AC37" i="39"/>
  <c r="AC35" i="39"/>
  <c r="AC26" i="39"/>
  <c r="AC29" i="39"/>
  <c r="AC32" i="39"/>
  <c r="AC31" i="39"/>
  <c r="AC22" i="39"/>
  <c r="AC43" i="39"/>
  <c r="AC52" i="39"/>
  <c r="AC27" i="39"/>
  <c r="AC18" i="39"/>
  <c r="AC60" i="39"/>
  <c r="AC24" i="39"/>
  <c r="AC23" i="39"/>
  <c r="AC14" i="39"/>
  <c r="AC63" i="39"/>
  <c r="AC36" i="39"/>
  <c r="AC19" i="39"/>
  <c r="AC57" i="39"/>
  <c r="AC58" i="39"/>
  <c r="AC16" i="39"/>
  <c r="AC15" i="39"/>
  <c r="AC13" i="39"/>
  <c r="I66" i="26"/>
  <c r="H66" i="26"/>
  <c r="J66" i="26" l="1"/>
  <c r="I71" i="26"/>
  <c r="H69" i="26"/>
  <c r="C53" i="18" s="1"/>
  <c r="B61" i="18" s="1"/>
  <c r="H71" i="26"/>
  <c r="C50" i="18"/>
  <c r="F31" i="17"/>
  <c r="F39" i="17"/>
  <c r="DP35" i="6" s="1"/>
  <c r="DT35" i="6" s="1"/>
  <c r="N46" i="17" s="1"/>
  <c r="F28" i="17"/>
  <c r="F27" i="17"/>
  <c r="DP56" i="6" s="1"/>
  <c r="DT56" i="6" s="1"/>
  <c r="F30" i="17"/>
  <c r="F63" i="17"/>
  <c r="DO6" i="6"/>
  <c r="DS6" i="6" s="1"/>
  <c r="M17" i="17" s="1"/>
  <c r="F29" i="17"/>
  <c r="F22" i="17"/>
  <c r="E70" i="17"/>
  <c r="DO5" i="6"/>
  <c r="DS5" i="6" s="1"/>
  <c r="M16" i="17" s="1"/>
  <c r="DO20" i="6"/>
  <c r="DQ20" i="6" s="1"/>
  <c r="DS20" i="6" s="1"/>
  <c r="M31" i="17" s="1"/>
  <c r="DO8" i="6"/>
  <c r="F52" i="17"/>
  <c r="DP48" i="6" s="1"/>
  <c r="DT48" i="6" s="1"/>
  <c r="N59" i="17" s="1"/>
  <c r="DO18" i="6"/>
  <c r="DQ18" i="6" s="1"/>
  <c r="DS18" i="6" s="1"/>
  <c r="M29" i="17" s="1"/>
  <c r="F24" i="17"/>
  <c r="F26" i="17"/>
  <c r="F42" i="17"/>
  <c r="DO17" i="6"/>
  <c r="DQ17" i="6" s="1"/>
  <c r="DS17" i="6" s="1"/>
  <c r="M28" i="17" s="1"/>
  <c r="DO7" i="6"/>
  <c r="DS7" i="6" s="1"/>
  <c r="M18" i="17" s="1"/>
  <c r="F64" i="17"/>
  <c r="DO30" i="6"/>
  <c r="DQ30" i="6" s="1"/>
  <c r="DS30" i="6" s="1"/>
  <c r="M41" i="17" s="1"/>
  <c r="F41" i="17"/>
  <c r="DO42" i="6"/>
  <c r="DQ42" i="6" s="1"/>
  <c r="DS42" i="6" s="1"/>
  <c r="M53" i="17" s="1"/>
  <c r="F53" i="17"/>
  <c r="DO4" i="6"/>
  <c r="DS4" i="6" s="1"/>
  <c r="M15" i="17" s="1"/>
  <c r="DO53" i="6"/>
  <c r="DQ53" i="6" s="1"/>
  <c r="DS53" i="6" s="1"/>
  <c r="M64" i="17" s="1"/>
  <c r="DO41" i="6"/>
  <c r="DQ41" i="6" s="1"/>
  <c r="DS41" i="6" s="1"/>
  <c r="M52" i="17" s="1"/>
  <c r="DO29" i="6"/>
  <c r="DQ29" i="6" s="1"/>
  <c r="DS29" i="6" s="1"/>
  <c r="M40" i="17" s="1"/>
  <c r="F40" i="17"/>
  <c r="DP36" i="6" s="1"/>
  <c r="DT36" i="6" s="1"/>
  <c r="N47" i="17" s="1"/>
  <c r="F25" i="17"/>
  <c r="F51" i="17"/>
  <c r="F54" i="17"/>
  <c r="DO32" i="6"/>
  <c r="DQ32" i="6" s="1"/>
  <c r="DS32" i="6" s="1"/>
  <c r="M43" i="17" s="1"/>
  <c r="F43" i="17"/>
  <c r="DO54" i="6"/>
  <c r="DQ54" i="6" s="1"/>
  <c r="DS54" i="6" s="1"/>
  <c r="M65" i="17" s="1"/>
  <c r="F65" i="17"/>
  <c r="F66" i="17"/>
  <c r="DO43" i="6"/>
  <c r="DQ43" i="6" s="1"/>
  <c r="DS43" i="6" s="1"/>
  <c r="M54" i="17" s="1"/>
  <c r="DO31" i="6"/>
  <c r="DQ31" i="6" s="1"/>
  <c r="DS31" i="6" s="1"/>
  <c r="M42" i="17" s="1"/>
  <c r="DO19" i="6"/>
  <c r="DQ19" i="6" s="1"/>
  <c r="DS19" i="6" s="1"/>
  <c r="M30" i="17" s="1"/>
  <c r="DO55" i="6"/>
  <c r="DQ55" i="6" s="1"/>
  <c r="DS55" i="6" s="1"/>
  <c r="M66" i="17" s="1"/>
  <c r="DO44" i="6"/>
  <c r="DQ44" i="6" s="1"/>
  <c r="DS44" i="6" s="1"/>
  <c r="M55" i="17" s="1"/>
  <c r="F55" i="17"/>
  <c r="DP45" i="6" s="1"/>
  <c r="DT45" i="6" s="1"/>
  <c r="N56" i="17" s="1"/>
  <c r="DO52" i="6"/>
  <c r="DQ52" i="6" s="1"/>
  <c r="DS52" i="6" s="1"/>
  <c r="M63" i="17" s="1"/>
  <c r="DO40" i="6"/>
  <c r="DQ40" i="6" s="1"/>
  <c r="DS40" i="6" s="1"/>
  <c r="M51" i="17" s="1"/>
  <c r="DO28" i="6"/>
  <c r="DQ28" i="6" s="1"/>
  <c r="DS28" i="6" s="1"/>
  <c r="M39" i="17" s="1"/>
  <c r="DO16" i="6"/>
  <c r="DQ16" i="6" s="1"/>
  <c r="DS16" i="6" s="1"/>
  <c r="M27" i="17" s="1"/>
  <c r="F23" i="17"/>
  <c r="DQ8" i="6" l="1"/>
  <c r="DX56" i="6"/>
  <c r="N67" i="17"/>
  <c r="U67" i="17" s="1"/>
  <c r="DP23" i="6"/>
  <c r="DT23" i="6" s="1"/>
  <c r="N34" i="17" s="1"/>
  <c r="DP22" i="6"/>
  <c r="DT22" i="6" s="1"/>
  <c r="N33" i="17" s="1"/>
  <c r="DX36" i="6"/>
  <c r="T47" i="17" s="1"/>
  <c r="DX48" i="6"/>
  <c r="T59" i="17" s="1"/>
  <c r="DX45" i="6"/>
  <c r="T56" i="17" s="1"/>
  <c r="DX35" i="6"/>
  <c r="T46" i="17" s="1"/>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EE8" i="6" s="1"/>
  <c r="DP42" i="6"/>
  <c r="DT42" i="6" s="1"/>
  <c r="N53" i="17" s="1"/>
  <c r="DP4" i="6"/>
  <c r="DT4" i="6" s="1"/>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DS9" i="6" l="1"/>
  <c r="DT9" i="6" s="1"/>
  <c r="N20" i="17" s="1"/>
  <c r="DS10" i="6"/>
  <c r="DS8" i="6"/>
  <c r="M19" i="17" s="1"/>
  <c r="T19" i="17" s="1"/>
  <c r="DX5" i="6"/>
  <c r="N16" i="17"/>
  <c r="DX23" i="6"/>
  <c r="T34" i="17" s="1"/>
  <c r="DX7" i="6"/>
  <c r="N18" i="17"/>
  <c r="DX4" i="6"/>
  <c r="N15" i="17"/>
  <c r="DX6" i="6"/>
  <c r="N17" i="17"/>
  <c r="DX22" i="6"/>
  <c r="T33" i="17" s="1"/>
  <c r="U47" i="17"/>
  <c r="U34" i="17"/>
  <c r="DX30" i="6"/>
  <c r="T41" i="17" s="1"/>
  <c r="DX42" i="6"/>
  <c r="DX52" i="6"/>
  <c r="T63" i="17" s="1"/>
  <c r="DX47" i="6"/>
  <c r="T58" i="17" s="1"/>
  <c r="U46" i="17"/>
  <c r="U59" i="17"/>
  <c r="DX24" i="6"/>
  <c r="T35" i="17" s="1"/>
  <c r="DX27" i="6"/>
  <c r="T38" i="17" s="1"/>
  <c r="DX54" i="6"/>
  <c r="T65" i="17" s="1"/>
  <c r="DX40" i="6"/>
  <c r="T51" i="17" s="1"/>
  <c r="DX19" i="6"/>
  <c r="DX26" i="6"/>
  <c r="T37" i="17" s="1"/>
  <c r="DX18" i="6"/>
  <c r="T29" i="17" s="1"/>
  <c r="DX28" i="6"/>
  <c r="T39" i="17" s="1"/>
  <c r="DX17" i="6"/>
  <c r="T28" i="17" s="1"/>
  <c r="DX39" i="6"/>
  <c r="T50" i="17" s="1"/>
  <c r="DX53" i="6"/>
  <c r="T64" i="17" s="1"/>
  <c r="DX50" i="6"/>
  <c r="T61" i="17" s="1"/>
  <c r="U33" i="17"/>
  <c r="U56" i="17"/>
  <c r="DX55" i="6"/>
  <c r="T66" i="17" s="1"/>
  <c r="DX16" i="6"/>
  <c r="DX37" i="6"/>
  <c r="T48" i="17" s="1"/>
  <c r="DX44" i="6"/>
  <c r="T55" i="17" s="1"/>
  <c r="DX41" i="6"/>
  <c r="T52" i="17" s="1"/>
  <c r="DX43" i="6"/>
  <c r="T54" i="17" s="1"/>
  <c r="DX21" i="6"/>
  <c r="T32" i="17" s="1"/>
  <c r="DX49" i="6"/>
  <c r="T60" i="17" s="1"/>
  <c r="DX51" i="6"/>
  <c r="T62" i="17" s="1"/>
  <c r="DX20" i="6"/>
  <c r="T31" i="17" s="1"/>
  <c r="DX31" i="6"/>
  <c r="T42" i="17" s="1"/>
  <c r="DX29" i="6"/>
  <c r="T40" i="17" s="1"/>
  <c r="DX25" i="6"/>
  <c r="T36" i="17" s="1"/>
  <c r="DX32" i="6"/>
  <c r="T43" i="17" s="1"/>
  <c r="DX38" i="6"/>
  <c r="T49" i="17" s="1"/>
  <c r="DT10" i="6"/>
  <c r="N21" i="17" s="1"/>
  <c r="DS13" i="6"/>
  <c r="M24" i="17" s="1"/>
  <c r="DS14" i="6"/>
  <c r="M25" i="17" s="1"/>
  <c r="DS15" i="6"/>
  <c r="M26" i="17" s="1"/>
  <c r="DS12" i="6"/>
  <c r="M23" i="17" s="1"/>
  <c r="DS11" i="6"/>
  <c r="M22" i="17" s="1"/>
  <c r="T16" i="17"/>
  <c r="DU5" i="6"/>
  <c r="T18" i="17"/>
  <c r="DU7" i="6"/>
  <c r="T15" i="17"/>
  <c r="T17" i="17"/>
  <c r="DU4" i="6"/>
  <c r="DU6" i="6"/>
  <c r="DU8" i="6" l="1"/>
  <c r="DU10" i="6"/>
  <c r="M21" i="17"/>
  <c r="T21" i="17" s="1"/>
  <c r="DU9" i="6"/>
  <c r="M20" i="17"/>
  <c r="T20" i="17" s="1"/>
  <c r="DT8" i="6"/>
  <c r="DX9" i="6"/>
  <c r="DX10"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AD26" i="36"/>
  <c r="C26" i="36"/>
  <c r="AD25" i="36"/>
  <c r="C25" i="36"/>
  <c r="U40" i="17"/>
  <c r="U60" i="17"/>
  <c r="U55" i="17"/>
  <c r="U28" i="17"/>
  <c r="DT12" i="6"/>
  <c r="N23" i="17" s="1"/>
  <c r="U49" i="17"/>
  <c r="U42" i="17"/>
  <c r="U32" i="17"/>
  <c r="U48" i="17"/>
  <c r="U61" i="17"/>
  <c r="DT11" i="6"/>
  <c r="N22" i="17" s="1"/>
  <c r="U17" i="17"/>
  <c r="U18" i="17"/>
  <c r="U15" i="17"/>
  <c r="U16" i="17"/>
  <c r="DU13" i="6"/>
  <c r="DU11" i="6"/>
  <c r="DU14" i="6"/>
  <c r="DU12" i="6"/>
  <c r="DU15" i="6"/>
  <c r="AD7" i="36"/>
  <c r="C7" i="36"/>
  <c r="C23" i="36"/>
  <c r="AD23" i="36"/>
  <c r="AD27" i="36"/>
  <c r="C27" i="36"/>
  <c r="AD46" i="36"/>
  <c r="C46" i="36"/>
  <c r="AD45" i="36"/>
  <c r="C45" i="36"/>
  <c r="AD24" i="36"/>
  <c r="C24" i="36"/>
  <c r="AD6" i="36"/>
  <c r="C6" i="36"/>
  <c r="AD38" i="36"/>
  <c r="C38" i="36"/>
  <c r="AD17" i="36"/>
  <c r="AD37" i="36"/>
  <c r="C37" i="36"/>
  <c r="AD33" i="36"/>
  <c r="C33" i="36"/>
  <c r="AD30" i="36"/>
  <c r="C22" i="36"/>
  <c r="AD20" i="36"/>
  <c r="AD35" i="36"/>
  <c r="C35" i="36"/>
  <c r="AD29" i="36"/>
  <c r="C20" i="36"/>
  <c r="U41" i="17"/>
  <c r="C28" i="36"/>
  <c r="C17" i="36"/>
  <c r="C30" i="36"/>
  <c r="C29" i="36"/>
  <c r="T30" i="17"/>
  <c r="T53" i="17"/>
  <c r="AD34" i="36" s="1"/>
  <c r="T27" i="17"/>
  <c r="C48" i="36" s="1"/>
  <c r="U21" i="17" l="1"/>
  <c r="U20" i="17"/>
  <c r="AE9" i="36" s="1"/>
  <c r="N19" i="17"/>
  <c r="U19" i="17" s="1"/>
  <c r="DX8" i="6"/>
  <c r="AD18" i="36"/>
  <c r="AD28" i="36"/>
  <c r="AE26" i="36"/>
  <c r="AE25" i="36"/>
  <c r="D26" i="36"/>
  <c r="D25" i="36"/>
  <c r="DX12" i="6"/>
  <c r="T23" i="17" s="1"/>
  <c r="AD53" i="36" s="1"/>
  <c r="DX11" i="6"/>
  <c r="T22" i="17" s="1"/>
  <c r="C10" i="36" s="1"/>
  <c r="DX13" i="6"/>
  <c r="T24" i="17" s="1"/>
  <c r="AD54" i="36" s="1"/>
  <c r="DX15" i="6"/>
  <c r="T26" i="17" s="1"/>
  <c r="C15" i="36" s="1"/>
  <c r="DX14" i="6"/>
  <c r="T25" i="17" s="1"/>
  <c r="EA3" i="6"/>
  <c r="D36" i="40" s="1"/>
  <c r="F36" i="40" s="1"/>
  <c r="EE10" i="6"/>
  <c r="AD5" i="36"/>
  <c r="C5" i="36"/>
  <c r="AD22" i="36"/>
  <c r="D23" i="36"/>
  <c r="AD48" i="36"/>
  <c r="C44" i="36"/>
  <c r="C51" i="36"/>
  <c r="AD44" i="36"/>
  <c r="C43" i="36"/>
  <c r="C21" i="36"/>
  <c r="D21" i="36" s="1"/>
  <c r="AD21" i="36"/>
  <c r="AD47" i="36"/>
  <c r="C47" i="36"/>
  <c r="AE23" i="36"/>
  <c r="C18" i="36"/>
  <c r="AE27" i="36"/>
  <c r="D27" i="36"/>
  <c r="C34" i="36"/>
  <c r="AD8" i="36"/>
  <c r="C8" i="36"/>
  <c r="AE34" i="36"/>
  <c r="AE6" i="36"/>
  <c r="D6" i="36"/>
  <c r="D24" i="36"/>
  <c r="AE24" i="36"/>
  <c r="AD4" i="36"/>
  <c r="C4" i="36"/>
  <c r="AE45" i="36"/>
  <c r="D45" i="36"/>
  <c r="D30" i="36"/>
  <c r="AE20" i="36"/>
  <c r="AE22" i="36"/>
  <c r="AE21" i="36"/>
  <c r="AE18" i="36"/>
  <c r="AE38" i="36"/>
  <c r="C32" i="36"/>
  <c r="AE19" i="36"/>
  <c r="AE28" i="36"/>
  <c r="AE29" i="36"/>
  <c r="AD32" i="36"/>
  <c r="AD9" i="36"/>
  <c r="C9" i="36"/>
  <c r="AD31" i="36"/>
  <c r="C31" i="36"/>
  <c r="AE17" i="36"/>
  <c r="AE37" i="36"/>
  <c r="AE30" i="36"/>
  <c r="D33" i="36"/>
  <c r="D38" i="36"/>
  <c r="D22" i="36"/>
  <c r="D34" i="36"/>
  <c r="AE33" i="36"/>
  <c r="AD16" i="36"/>
  <c r="AD36" i="36"/>
  <c r="C36" i="36"/>
  <c r="D37" i="36"/>
  <c r="D17" i="36"/>
  <c r="D29" i="36"/>
  <c r="AD19" i="36"/>
  <c r="C19" i="36"/>
  <c r="D19" i="36" s="1"/>
  <c r="C16" i="36"/>
  <c r="AD42" i="36"/>
  <c r="C42" i="36"/>
  <c r="D28" i="36"/>
  <c r="D20" i="36"/>
  <c r="D18" i="36"/>
  <c r="U27" i="17"/>
  <c r="AE48" i="36" s="1"/>
  <c r="D9" i="36" l="1"/>
  <c r="AD10" i="36"/>
  <c r="AD43" i="36"/>
  <c r="AD40" i="36"/>
  <c r="C40" i="36"/>
  <c r="C39" i="36"/>
  <c r="AD39" i="36"/>
  <c r="C54" i="36"/>
  <c r="D44" i="36"/>
  <c r="AD41" i="36"/>
  <c r="C41" i="36"/>
  <c r="C52" i="36"/>
  <c r="AD55" i="36"/>
  <c r="C53" i="36"/>
  <c r="AD52" i="36"/>
  <c r="AD50" i="36"/>
  <c r="C50" i="36"/>
  <c r="C13" i="36"/>
  <c r="C55" i="36"/>
  <c r="AD49" i="36"/>
  <c r="C49" i="36"/>
  <c r="AD51" i="36"/>
  <c r="AD15" i="36"/>
  <c r="AD12" i="36"/>
  <c r="C11" i="36"/>
  <c r="AD11" i="36"/>
  <c r="C12" i="36"/>
  <c r="U22" i="17"/>
  <c r="AE39" i="36" s="1"/>
  <c r="U23" i="17"/>
  <c r="U24" i="17"/>
  <c r="M70" i="17"/>
  <c r="D29" i="18" s="1"/>
  <c r="G29" i="18" s="1"/>
  <c r="AD13" i="36"/>
  <c r="U26" i="17"/>
  <c r="AE15" i="36" s="1"/>
  <c r="U25" i="17"/>
  <c r="D42" i="36" s="1"/>
  <c r="C14" i="36"/>
  <c r="AD14" i="36"/>
  <c r="D5" i="36"/>
  <c r="AE5" i="36"/>
  <c r="D52" i="36"/>
  <c r="D48" i="36"/>
  <c r="AE44" i="36"/>
  <c r="AE55" i="36"/>
  <c r="D46" i="36"/>
  <c r="AE46" i="36"/>
  <c r="D47" i="36"/>
  <c r="AE47" i="36"/>
  <c r="AE10" i="36"/>
  <c r="D7" i="36"/>
  <c r="AE7" i="36"/>
  <c r="D8" i="36"/>
  <c r="AE8" i="36"/>
  <c r="AE16" i="36"/>
  <c r="AE36" i="36"/>
  <c r="AE35" i="36"/>
  <c r="D31" i="36"/>
  <c r="AE31" i="36"/>
  <c r="D36" i="36"/>
  <c r="D32" i="36"/>
  <c r="D35" i="36"/>
  <c r="AE32" i="36"/>
  <c r="D16" i="36"/>
  <c r="D4" i="36" l="1"/>
  <c r="AE42" i="36"/>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<sst xmlns="http://schemas.openxmlformats.org/spreadsheetml/2006/main" count="1769" uniqueCount="1247">
  <si>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</si>
  <si>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</si>
  <si>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</si>
  <si>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</si>
  <si>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</si>
  <si>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</si>
  <si>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</si>
  <si>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</si>
  <si>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</si>
  <si>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</si>
  <si>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</si>
  <si>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</si>
  <si>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</si>
  <si>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</si>
  <si>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</si>
  <si>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</si>
  <si>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</si>
  <si>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</si>
  <si>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</si>
  <si>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</si>
  <si>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</si>
  <si>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</si>
  <si>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</si>
  <si>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</si>
  <si>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</si>
  <si>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</si>
  <si>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</si>
  <si>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</si>
  <si>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</si>
  <si>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</si>
  <si>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</si>
  <si>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</si>
  <si>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</si>
  <si>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</si>
  <si>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</si>
  <si>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</si>
  <si>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</si>
  <si>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</si>
  <si>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</si>
  <si>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</si>
  <si>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</si>
  <si>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</si>
  <si>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</si>
  <si>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</si>
  <si>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</si>
  <si>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</si>
  <si>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</si>
  <si>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</si>
  <si>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</si>
  <si>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</si>
  <si>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</si>
  <si>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</si>
  <si>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</si>
  <si>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</si>
  <si>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</si>
  <si>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</si>
  <si>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</si>
  <si>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</si>
  <si>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</si>
  <si>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</si>
  <si>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</si>
  <si>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</si>
  <si>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</si>
  <si>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</si>
  <si>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</si>
  <si>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</si>
  <si>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</si>
  <si>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</si>
  <si>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</si>
  <si>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</si>
  <si>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</si>
  <si>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</si>
  <si>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</si>
  <si>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</si>
  <si>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</si>
  <si>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</si>
  <si>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</si>
  <si>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</si>
  <si>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</si>
  <si>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</si>
  <si>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</si>
  <si>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</si>
  <si>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</si>
  <si>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</si>
  <si>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</si>
  <si>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</si>
  <si>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</si>
  <si>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</si>
  <si>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</si>
  <si>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</si>
  <si>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</si>
  <si>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</si>
  <si>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</si>
  <si>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</si>
  <si>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</si>
  <si>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</si>
  <si>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</si>
  <si>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</si>
  <si>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</si>
  <si>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</si>
  <si>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</si>
  <si>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</si>
  <si>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</si>
  <si>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</si>
  <si>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</si>
  <si>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</si>
  <si>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</si>
  <si>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</si>
  <si>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</si>
  <si>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</si>
  <si>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</si>
  <si>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</si>
  <si>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</si>
  <si>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</si>
  <si>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</si>
  <si>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</si>
  <si>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</si>
  <si>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</si>
  <si>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</si>
  <si>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</si>
  <si>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</si>
  <si>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</si>
  <si>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</si>
  <si>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</si>
  <si>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</si>
  <si>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</si>
  <si>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</si>
  <si>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</si>
  <si>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</si>
  <si>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</si>
  <si>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</si>
  <si>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</si>
  <si>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</si>
  <si>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</si>
  <si>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</si>
  <si>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</si>
  <si>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</si>
  <si>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</si>
  <si>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</si>
  <si>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</si>
  <si>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</si>
  <si>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</si>
  <si>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</si>
  <si>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</si>
  <si>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</si>
  <si>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</si>
  <si>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</si>
  <si>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</si>
  <si>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</si>
  <si>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</si>
  <si>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</si>
  <si>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</si>
  <si>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</si>
  <si>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</si>
  <si>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</si>
  <si>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</si>
  <si>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</si>
  <si>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</si>
  <si>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</si>
  <si>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</si>
  <si>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</si>
  <si>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</si>
  <si>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</si>
  <si>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</si>
  <si>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</si>
  <si>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</si>
  <si>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</si>
  <si>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</si>
  <si>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</si>
  <si>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</si>
  <si>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</si>
  <si>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</si>
  <si>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</si>
  <si>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</si>
  <si>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</si>
  <si>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</si>
  <si>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</si>
  <si>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</si>
  <si>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</si>
  <si>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</si>
  <si>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</si>
  <si>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</si>
  <si>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</si>
  <si>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</si>
  <si>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</si>
  <si>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</si>
  <si>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</si>
  <si>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</si>
  <si>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</si>
  <si>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</si>
  <si>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</si>
  <si>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</si>
  <si>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</si>
  <si>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</si>
  <si>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</si>
  <si>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</si>
  <si>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</si>
  <si>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</si>
  <si>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</si>
  <si>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</si>
  <si>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</si>
  <si>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</si>
  <si>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</si>
  <si>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</si>
  <si>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</si>
  <si>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</si>
  <si>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</si>
  <si>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</si>
  <si>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</si>
  <si>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</si>
  <si>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</si>
  <si>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</si>
  <si>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</si>
  <si>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</si>
  <si>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</si>
  <si>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</si>
  <si>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</si>
  <si>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</si>
  <si>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</si>
  <si>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</si>
  <si>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</si>
  <si>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</si>
  <si>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</si>
  <si>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</si>
  <si>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</si>
  <si>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</si>
  <si>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</si>
  <si>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</si>
  <si>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</si>
  <si>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</si>
  <si>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</si>
  <si>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</si>
  <si>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</si>
  <si>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</si>
  <si>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</si>
  <si>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</si>
  <si>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</si>
  <si>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</si>
  <si>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</si>
  <si>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</si>
  <si>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</si>
  <si>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</si>
  <si>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</si>
  <si>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</si>
  <si>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</si>
  <si>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</si>
  <si>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</si>
  <si>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</si>
  <si>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</si>
  <si>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</si>
  <si>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</si>
  <si>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</si>
  <si>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</si>
  <si>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</si>
  <si>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</si>
  <si>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</si>
  <si>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</si>
  <si>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</si>
  <si>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</si>
  <si>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</si>
  <si>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</si>
  <si>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</si>
  <si>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</si>
  <si>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</si>
  <si>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</si>
  <si>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</si>
  <si>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</si>
  <si>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</si>
  <si>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</si>
  <si>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</si>
  <si>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</si>
  <si>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</si>
  <si>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</si>
  <si>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</si>
  <si>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</si>
  <si>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</si>
  <si>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</si>
  <si>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</si>
  <si>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</si>
  <si>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</si>
  <si>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</si>
  <si>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</si>
  <si>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</si>
  <si>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</si>
  <si>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</si>
  <si>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</si>
  <si>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</si>
  <si>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</si>
  <si>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</si>
  <si>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</si>
  <si>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</si>
  <si>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</si>
  <si>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</si>
  <si>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</si>
  <si>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</si>
  <si>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</si>
  <si>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</si>
  <si>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</si>
  <si>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</si>
  <si>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</si>
  <si>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</si>
  <si>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</si>
  <si>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</si>
  <si>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</si>
  <si>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</si>
  <si>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</si>
  <si>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</si>
  <si>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</si>
  <si>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</si>
  <si>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</si>
  <si>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</si>
  <si>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</si>
  <si>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</si>
  <si>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</si>
  <si>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</si>
  <si>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</si>
  <si>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</si>
  <si>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</si>
  <si>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</si>
  <si>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</si>
  <si>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</si>
  <si>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</si>
  <si>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</si>
  <si>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</si>
  <si>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</si>
  <si>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</si>
  <si>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</si>
  <si>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</si>
  <si>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</si>
  <si>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</si>
  <si>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</si>
  <si>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</si>
  <si>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</si>
  <si>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</si>
  <si>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</si>
  <si>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</si>
  <si>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</si>
  <si>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</si>
  <si>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</si>
  <si>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</si>
  <si>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</si>
  <si>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</si>
  <si>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</si>
  <si>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</si>
  <si>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</si>
  <si>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</si>
  <si>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</si>
  <si>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</si>
  <si>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</si>
  <si>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</si>
  <si>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</si>
  <si>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</si>
  <si>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</si>
  <si>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</si>
  <si>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</si>
  <si>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</si>
  <si>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</si>
  <si>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</si>
  <si>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</si>
  <si>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</si>
  <si>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</si>
  <si>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</si>
  <si>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</si>
  <si>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</si>
  <si>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</si>
  <si>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</si>
  <si>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</si>
  <si>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</si>
  <si>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</si>
  <si>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</si>
  <si>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</si>
  <si>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</si>
  <si>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</si>
  <si>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</si>
  <si>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</si>
  <si>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</si>
  <si>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</si>
  <si>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</si>
  <si>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</si>
  <si>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</si>
  <si>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</si>
  <si>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</si>
  <si>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</si>
  <si>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</si>
  <si>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</si>
  <si>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</si>
  <si>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</si>
  <si>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</si>
  <si>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</si>
  <si>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</si>
  <si>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</si>
  <si>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</si>
  <si>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</si>
  <si>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</si>
  <si>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</si>
  <si>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</si>
  <si>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</si>
  <si>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</si>
  <si>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</si>
  <si>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</si>
  <si>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</si>
  <si>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</si>
  <si>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</si>
  <si>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</si>
  <si>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</si>
  <si>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</si>
  <si>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</si>
  <si>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</si>
  <si>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</si>
  <si>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</si>
  <si>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</si>
  <si>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</si>
  <si>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</si>
  <si>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</si>
  <si>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</si>
  <si>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</si>
  <si>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</si>
  <si>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</si>
  <si>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</si>
  <si>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</si>
  <si>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</si>
  <si>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</si>
  <si>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</si>
  <si>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</si>
  <si>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</si>
  <si>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</si>
  <si>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</si>
  <si>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</si>
  <si>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</si>
  <si>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</si>
  <si>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</si>
  <si>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</si>
  <si>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</si>
  <si>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</si>
  <si>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</si>
  <si>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</si>
  <si>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</si>
  <si>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</si>
  <si>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</si>
  <si>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</si>
  <si>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</si>
  <si>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</si>
  <si>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</si>
  <si>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</si>
  <si>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</si>
  <si>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</si>
  <si>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</si>
  <si>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</si>
  <si>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</si>
  <si>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</si>
  <si>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</si>
  <si>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</si>
  <si>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</si>
  <si>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</si>
  <si>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</si>
  <si>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</si>
  <si>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</si>
  <si>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</si>
  <si>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</si>
  <si>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</si>
  <si>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</si>
  <si>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</si>
  <si>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</si>
  <si>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</si>
  <si>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</si>
  <si>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</si>
  <si>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</si>
  <si>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</si>
  <si>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</si>
  <si>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</si>
  <si>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</si>
  <si>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</si>
  <si>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</si>
  <si>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</si>
  <si>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</si>
  <si>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</si>
  <si>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</si>
  <si>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</si>
  <si>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</si>
  <si>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</si>
  <si>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</si>
  <si>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</si>
  <si>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</si>
  <si>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</si>
  <si>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</si>
  <si>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</si>
  <si>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</si>
  <si>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</si>
  <si>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</si>
  <si>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</si>
  <si>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</si>
  <si>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</si>
  <si>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</si>
  <si>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</si>
  <si>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</si>
  <si>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</si>
  <si>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</si>
  <si>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</si>
  <si>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</si>
  <si>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</si>
  <si>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</si>
  <si>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</si>
  <si>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</si>
  <si>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</si>
  <si>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</si>
  <si>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</si>
  <si>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</si>
  <si>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</si>
  <si>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</si>
  <si>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</si>
  <si>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</si>
  <si>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</si>
  <si>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</si>
  <si>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</si>
  <si>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</si>
  <si>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</si>
  <si>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</si>
  <si>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</si>
  <si>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</si>
  <si>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</si>
  <si>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</si>
  <si>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</si>
  <si>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</si>
  <si>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</si>
  <si>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</si>
  <si>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</si>
  <si>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</si>
  <si>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</si>
  <si>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</si>
  <si>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</si>
  <si>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</si>
  <si>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</si>
  <si>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</si>
  <si>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</si>
  <si>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</si>
  <si>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</si>
  <si>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</si>
  <si>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</si>
  <si>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</si>
  <si>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</si>
  <si>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</si>
  <si>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</si>
  <si>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</si>
  <si>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</si>
  <si>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</si>
  <si>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</si>
  <si>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</si>
  <si>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</si>
  <si>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</si>
  <si>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</si>
  <si>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</si>
  <si>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</si>
  <si>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</si>
  <si>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</si>
  <si>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</si>
  <si>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</si>
  <si>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</si>
  <si>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</si>
  <si>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</si>
  <si>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</si>
  <si>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</si>
  <si>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</si>
  <si>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</si>
  <si>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</si>
  <si>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</si>
  <si>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</si>
  <si>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</si>
  <si>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</si>
  <si>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</si>
  <si>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</si>
  <si>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</si>
  <si>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</si>
  <si>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</si>
  <si>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</si>
  <si>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</si>
  <si>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</si>
  <si>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</si>
  <si>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</si>
  <si>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</si>
  <si>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</si>
  <si>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</si>
  <si>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</si>
  <si>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</si>
  <si>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</si>
  <si>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</si>
  <si>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</si>
  <si>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</si>
  <si>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</si>
  <si>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</si>
  <si>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</si>
  <si>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</si>
  <si>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</si>
  <si>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</si>
  <si>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</si>
  <si>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</si>
  <si>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</si>
  <si>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</si>
  <si>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</si>
  <si>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</si>
  <si>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</si>
  <si>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</si>
  <si>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</si>
  <si>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</si>
  <si>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</si>
  <si>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</si>
  <si>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</si>
  <si>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</si>
  <si>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</si>
  <si>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</si>
  <si>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</si>
  <si>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</si>
  <si>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</si>
  <si>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</si>
  <si>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</si>
  <si>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</si>
  <si>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</si>
  <si>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</si>
  <si>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</si>
  <si>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</si>
  <si>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</si>
  <si>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</si>
  <si>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</si>
  <si>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</si>
  <si>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</si>
  <si>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</si>
  <si>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</si>
  <si>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</si>
  <si>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</si>
  <si>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</si>
  <si>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</si>
  <si>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</si>
  <si>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</si>
  <si>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</si>
  <si>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</si>
  <si>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</si>
  <si>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</si>
  <si>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</si>
  <si>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</si>
  <si>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</si>
  <si>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</si>
  <si>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</si>
  <si>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</si>
  <si>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</si>
  <si>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</si>
  <si>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</si>
  <si>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</si>
  <si>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</si>
  <si>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</si>
  <si>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</si>
  <si>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</si>
  <si>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</si>
  <si>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</si>
  <si>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</si>
  <si>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</si>
  <si>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</si>
  <si>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</si>
  <si>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</si>
  <si>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</si>
  <si>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</si>
  <si>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</si>
  <si>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</si>
  <si>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</si>
  <si>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</si>
  <si>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</si>
  <si>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</si>
  <si>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</si>
  <si>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</si>
  <si>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</si>
  <si>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</si>
  <si>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</si>
  <si>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</si>
  <si>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</si>
  <si>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</si>
  <si>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</si>
  <si>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</si>
  <si>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</si>
  <si>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</si>
  <si>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</si>
  <si>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</si>
  <si>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</si>
  <si>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</si>
  <si>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</si>
  <si>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</si>
  <si>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</si>
  <si>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</si>
  <si>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</si>
  <si>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</si>
  <si>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</si>
  <si>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</si>
  <si>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</si>
  <si>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</si>
  <si>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</si>
  <si>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</si>
  <si>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</si>
  <si>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</si>
  <si>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</si>
  <si>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</si>
  <si>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</si>
  <si>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</si>
  <si>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</si>
  <si>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</si>
  <si>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</si>
  <si>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</si>
  <si>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</si>
  <si>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</si>
  <si>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</si>
  <si>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</si>
  <si>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</si>
  <si>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</si>
  <si>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</si>
  <si>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</si>
  <si>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</si>
  <si>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</si>
  <si>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</si>
  <si>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</si>
  <si>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</si>
  <si>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</si>
  <si>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</si>
  <si>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</si>
  <si>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</si>
  <si>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</si>
  <si>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</si>
  <si>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</si>
  <si>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</si>
  <si>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</si>
  <si>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</si>
  <si>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</si>
  <si>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</si>
  <si>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</si>
  <si>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</si>
  <si>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</si>
  <si>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</si>
  <si>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</si>
  <si>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</si>
  <si>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</si>
  <si>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</si>
  <si>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</si>
  <si>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</si>
  <si>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</si>
  <si>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</si>
  <si>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</si>
  <si>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</si>
  <si>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</si>
  <si>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</si>
  <si>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</si>
  <si>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</si>
  <si>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</si>
  <si>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</si>
  <si>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</si>
  <si>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</si>
  <si>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</si>
  <si>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</si>
  <si>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</si>
  <si>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</si>
  <si>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</si>
  <si>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</si>
  <si>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</si>
  <si>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</si>
  <si>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</si>
  <si>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</si>
  <si>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</si>
  <si>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</si>
  <si>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</si>
  <si>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</si>
  <si>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</si>
  <si>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</si>
  <si>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</si>
  <si>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</si>
  <si>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</si>
  <si>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</si>
  <si>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</si>
  <si>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</si>
  <si>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</si>
  <si>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</si>
  <si>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</si>
  <si>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</si>
  <si>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</si>
  <si>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</si>
  <si>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</si>
  <si>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</si>
  <si>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</si>
  <si>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</si>
  <si>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</si>
  <si>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</si>
  <si>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</si>
  <si>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</si>
  <si>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</si>
  <si>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</si>
  <si>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</si>
  <si>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</si>
  <si>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</si>
  <si>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</si>
  <si>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</si>
  <si>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</si>
  <si>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</si>
  <si>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</si>
  <si>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</si>
  <si>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</si>
  <si>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</si>
  <si>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</si>
  <si>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</si>
  <si>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</si>
  <si>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</si>
  <si>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</si>
  <si>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</si>
  <si>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</si>
  <si>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</si>
  <si>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</si>
  <si>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</si>
  <si>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</si>
  <si>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</si>
  <si>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</si>
  <si>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</si>
  <si>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</si>
  <si>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</si>
  <si>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</si>
  <si>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</si>
  <si>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</si>
  <si>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</si>
  <si>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</si>
  <si>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</si>
  <si>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</si>
  <si>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</si>
  <si>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</si>
  <si>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</si>
  <si>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</si>
  <si>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</si>
  <si>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</si>
  <si>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</si>
  <si>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</si>
  <si>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</si>
  <si>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</si>
  <si>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</si>
  <si>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</si>
  <si>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</si>
  <si>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</si>
  <si>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</si>
  <si>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</si>
  <si>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</si>
  <si>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</si>
  <si>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</si>
  <si>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</si>
  <si>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</si>
  <si>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</si>
  <si>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</si>
  <si>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</si>
  <si>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</si>
  <si>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</si>
  <si>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</si>
  <si>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</si>
  <si>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</si>
  <si>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</si>
  <si>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</si>
  <si>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</si>
  <si>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</si>
  <si>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</si>
  <si>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</si>
  <si>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</si>
  <si>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</si>
  <si>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</si>
  <si>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</si>
  <si>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</si>
  <si>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</si>
  <si>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</si>
  <si>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</si>
  <si>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</si>
  <si>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</si>
  <si>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</si>
  <si>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</si>
  <si>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</si>
  <si>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</si>
  <si>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</si>
  <si>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</si>
  <si>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</si>
  <si>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</si>
  <si>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</si>
  <si>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</si>
  <si>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</si>
  <si>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</si>
  <si>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</si>
  <si>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</si>
  <si>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</si>
  <si>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</si>
  <si>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</si>
  <si>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</si>
  <si>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</si>
  <si>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</si>
  <si>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</si>
  <si>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</si>
  <si>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</si>
  <si>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</si>
  <si>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</si>
  <si>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</si>
  <si>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</si>
  <si>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</si>
  <si>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</si>
  <si>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</si>
  <si>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</si>
  <si>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</si>
  <si>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</si>
  <si>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</si>
  <si>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</si>
  <si>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</si>
  <si>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</si>
  <si>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</si>
  <si>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</si>
  <si>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</si>
  <si>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</si>
  <si>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</si>
  <si>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</si>
  <si>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</si>
  <si>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</si>
  <si>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</si>
  <si>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</si>
  <si>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</si>
  <si>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</si>
  <si>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</si>
  <si>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</si>
  <si>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</si>
  <si>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</si>
  <si>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</si>
  <si>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</si>
  <si>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</si>
  <si>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</si>
  <si>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</si>
  <si>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</si>
  <si>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</si>
  <si>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</si>
  <si>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</si>
  <si>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</si>
  <si>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</si>
  <si>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</si>
  <si>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</si>
  <si>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</si>
  <si>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</si>
  <si>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</si>
  <si>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</si>
  <si>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</si>
  <si>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</si>
  <si>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</si>
  <si>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</si>
  <si>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</si>
  <si>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</si>
  <si>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</si>
  <si>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</si>
  <si>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</si>
  <si>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</si>
  <si>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</si>
  <si>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</si>
  <si>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</si>
  <si>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</si>
  <si>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</si>
  <si>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</si>
  <si>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</si>
  <si>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</si>
  <si>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</si>
  <si>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</si>
  <si>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</si>
  <si>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</si>
  <si>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</si>
  <si>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</si>
  <si>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</si>
  <si>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</si>
  <si>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</si>
  <si>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</si>
  <si>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</si>
  <si>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</si>
  <si>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</si>
  <si>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</si>
  <si>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</si>
  <si>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</si>
  <si>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</si>
  <si>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</si>
  <si>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</si>
  <si>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</si>
  <si>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</si>
  <si>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</si>
  <si>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</si>
  <si>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</si>
  <si>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</si>
  <si>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</si>
  <si>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</si>
  <si>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</si>
  <si>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</si>
  <si>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</si>
  <si>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</si>
  <si>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</si>
  <si>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</si>
  <si>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</si>
  <si>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</si>
  <si>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</si>
  <si>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</si>
  <si>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</si>
  <si>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</si>
  <si>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</si>
  <si>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</si>
  <si>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</si>
  <si>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</si>
  <si>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</si>
  <si>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</si>
  <si>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</si>
  <si>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</si>
  <si>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</si>
  <si>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</si>
  <si>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</si>
  <si>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</si>
  <si>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</si>
  <si>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</si>
  <si>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</si>
  <si>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</si>
  <si>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</si>
  <si>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</si>
  <si>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</si>
  <si>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</si>
  <si>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</si>
  <si>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</si>
  <si>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</si>
  <si>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</si>
  <si>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</si>
  <si>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</si>
  <si>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</si>
  <si>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</si>
  <si>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</si>
  <si>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</si>
  <si>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</si>
  <si>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</si>
  <si>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</si>
  <si>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</si>
  <si>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</si>
  <si>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</si>
  <si>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</si>
  <si>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</si>
  <si>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</si>
  <si>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</si>
  <si>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</si>
  <si>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</si>
  <si>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</si>
  <si>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</si>
  <si>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</si>
  <si>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</si>
  <si>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</si>
  <si>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</si>
  <si>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</si>
  <si>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</si>
  <si>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</si>
  <si>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</si>
  <si>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</si>
  <si>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</si>
  <si>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</si>
  <si>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</si>
  <si>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</si>
  <si>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</si>
  <si>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</si>
  <si>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</si>
  <si>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</si>
  <si>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</si>
  <si>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</si>
  <si>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</si>
  <si>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</si>
  <si>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</si>
  <si>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</si>
  <si>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</si>
  <si>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</si>
  <si>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</si>
  <si>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</si>
  <si>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</si>
  <si>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</si>
  <si>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</si>
  <si>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</si>
  <si>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</si>
  <si>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</si>
  <si>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</si>
  <si>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</si>
  <si>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</si>
  <si>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</si>
  <si>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</si>
  <si>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</si>
  <si>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</si>
  <si>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</si>
  <si>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</si>
  <si>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</si>
  <si>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</si>
  <si>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</si>
  <si>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</si>
  <si>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</si>
  <si>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</si>
  <si>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</si>
  <si>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</si>
  <si>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</si>
  <si>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</si>
  <si>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</si>
  <si>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</si>
  <si>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</si>
  <si>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</si>
  <si>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</si>
  <si>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</si>
  <si>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</si>
  <si>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</si>
  <si>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</si>
  <si>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</si>
  <si>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</si>
  <si>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</si>
  <si>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</si>
  <si>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</si>
  <si>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</si>
  <si>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</si>
  <si>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</si>
  <si>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</si>
  <si>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</si>
  <si>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</si>
  <si>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</si>
  <si>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</si>
  <si>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</si>
  <si>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</si>
  <si>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</si>
  <si>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</si>
  <si>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</si>
  <si>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</si>
  <si>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</si>
  <si>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</si>
  <si>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</si>
  <si>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</si>
  <si>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</si>
  <si>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</si>
  <si>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</si>
  <si>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</si>
  <si>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</si>
  <si>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</si>
  <si>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</si>
  <si>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</si>
  <si>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</si>
  <si>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</si>
  <si>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</si>
  <si>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</si>
  <si>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</si>
  <si>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</si>
  <si>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</si>
  <si>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</si>
  <si>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</si>
  <si>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</si>
  <si>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</si>
  <si>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</si>
  <si>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</si>
  <si>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</si>
  <si>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</si>
  <si>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</si>
  <si>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</si>
  <si>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</si>
  <si>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</si>
  <si>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</si>
  <si>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</si>
  <si>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</si>
  <si>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</si>
  <si>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</si>
  <si>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</si>
  <si>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</si>
  <si>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</si>
  <si>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</si>
  <si>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</si>
  <si>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</si>
  <si>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</si>
  <si>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</si>
  <si>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</si>
  <si>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</si>
  <si>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</si>
  <si>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</si>
  <si>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</si>
  <si>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</si>
  <si>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</si>
  <si>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</si>
  <si>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</si>
  <si>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</si>
  <si>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</si>
  <si>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</si>
  <si>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</si>
  <si>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</si>
  <si>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</si>
  <si>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</si>
  <si>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</si>
  <si>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</si>
  <si>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</si>
  <si>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</si>
  <si>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</si>
  <si>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x</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</si>
  <si>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</si>
  <si>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</si>
  <si>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</si>
  <si>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</si>
  <si>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</si>
  <si>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</si>
  <si>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</si>
  <si>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</si>
  <si>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</si>
  <si>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</si>
  <si>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</si>
  <si>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</si>
  <si>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</si>
  <si>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</si>
  <si>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</si>
  <si>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</si>
  <si>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</si>
  <si>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</si>
  <si>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</si>
  <si>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</si>
  <si>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</si>
  <si>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</si>
  <si>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</si>
  <si>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</si>
  <si>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</si>
  <si>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</si>
  <si>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</si>
  <si>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</si>
  <si>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</si>
  <si>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</si>
  <si>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</si>
  <si>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</si>
  <si>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</si>
  <si>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</si>
  <si>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</si>
  <si>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</si>
  <si>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</si>
  <si>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Version: 3.2</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</si>
  <si>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</si>
  <si>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</si>
  <si>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</si>
  <si>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</si>
  <si>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</si>
  <si>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</si>
  <si>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</si>
  <si>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</si>
  <si>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</si>
  <si>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</si>
  <si>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</si>
  <si>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Number of weeks it will take to phase reopening to full capacity (0 - 8):</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</si>
  <si>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</si>
  <si>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</si>
  <si>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</si>
  <si>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</si>
  <si>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</si>
  <si>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</si>
  <si>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</si>
  <si>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My own forecast</t>
  </si>
  <si>
    <t xml:space="preserve">  Based on upper bound</t>
  </si>
  <si>
    <t xml:space="preserve">  Based on lower bound</t>
  </si>
  <si>
    <t>Prediction Interval</t>
  </si>
  <si>
    <t>To do: Update summary table values to reflect upper/lower bound values for non-Covid affected periods only, and update WL prediction so that it will work with forecasts and Covid adjustments.</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</si>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</sst>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_-* #,##0_-;\-* #,##0_-;_-* &quot;-&quot;??_-;_-@_-"/>
    <numFmt numFmtId="166" formatCode="0.0"/>
    <numFmt numFmtId="167" formatCode="#,##0.0"/>
  </numFmts>
  <fonts count="74"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79646"/>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9">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0" fontId="0" fillId="0" borderId="76" xfId="0" applyBorder="1" applyProtection="1">
      <protection locked="0"/>
    </xf>
    <xf numFmtId="0" fontId="60" fillId="0" borderId="0" xfId="0" applyFont="1"/>
    <xf numFmtId="0" fontId="4" fillId="0" borderId="0" xfId="0" applyFont="1"/>
    <xf numFmtId="14" fontId="0" fillId="0" borderId="4" xfId="0" applyNumberFormat="1" applyBorder="1" applyAlignment="1" applyProtection="1">
      <alignment horizontal="center" vertical="center"/>
      <protection locked="0"/>
    </xf>
    <xf numFmtId="0" fontId="5" fillId="4" borderId="0" xfId="0" applyFont="1" applyFill="1" applyAlignment="1">
      <alignment vertical="center"/>
    </xf>
    <xf numFmtId="0" fontId="15" fillId="0" borderId="0" xfId="0" applyFont="1" applyFill="1" applyAlignment="1">
      <alignment vertical="center"/>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4" fillId="0" borderId="0" xfId="0" applyFont="1"/>
    <xf numFmtId="0" fontId="4" fillId="10" borderId="76" xfId="0" applyFont="1" applyFill="1" applyBorder="1" applyAlignment="1">
      <alignment horizontal="center"/>
    </xf>
    <xf numFmtId="0" fontId="0" fillId="0" borderId="76" xfId="0" applyBorder="1" applyProtection="1">
      <protection locked="0"/>
    </xf>
    <xf numFmtId="164" fontId="0" fillId="0" borderId="76" xfId="0" applyNumberFormat="1" applyBorder="1" applyProtection="1">
      <protection locked="0"/>
    </xf>
    <xf numFmtId="3" fontId="0" fillId="0" borderId="76" xfId="0" applyNumberFormat="1" applyBorder="1" applyProtection="1">
      <protection locked="0"/>
    </xf>
    <xf numFmtId="0" fontId="4" fillId="10" borderId="90" xfId="0" applyFont="1" applyFill="1" applyBorder="1" applyAlignment="1"/>
    <xf numFmtId="0" fontId="4" fillId="10" borderId="93" xfId="0" applyFont="1" applyFill="1" applyBorder="1" applyAlignment="1"/>
    <xf numFmtId="0" fontId="4" fillId="10" borderId="91" xfId="0" applyFont="1" applyFill="1" applyBorder="1" applyAlignment="1"/>
    <xf numFmtId="0" fontId="53" fillId="0" borderId="0" xfId="0" applyFont="1"/>
    <xf numFmtId="0" fontId="15" fillId="82" borderId="4" xfId="0" applyFont="1" applyFill="1" applyBorder="1" applyProtection="1">
      <protection locked="0"/>
    </xf>
    <xf numFmtId="0" fontId="4" fillId="85" borderId="76" xfId="0" applyFont="1" applyFill="1" applyBorder="1" applyProtection="1">
      <protection locked="0"/>
    </xf>
    <xf numFmtId="3" fontId="4" fillId="85" borderId="76" xfId="0" applyNumberFormat="1"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5" fillId="86" borderId="0" xfId="0" applyFont="1" applyFill="1" applyProtection="1">
      <protection hidden="1"/>
    </xf>
    <xf numFmtId="0" fontId="5" fillId="86" borderId="0" xfId="0" applyFont="1" applyFill="1"/>
    <xf numFmtId="3" fontId="60" fillId="82" borderId="67" xfId="0" applyNumberFormat="1" applyFont="1" applyFill="1" applyBorder="1" applyProtection="1">
      <protection hidden="1"/>
    </xf>
    <xf numFmtId="0" fontId="73" fillId="0" borderId="0" xfId="0" applyFont="1"/>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86" borderId="0" xfId="0" applyFont="1" applyFill="1" applyAlignment="1">
      <alignment horizontal="center" vertical="center" wrapText="1"/>
    </xf>
    <xf numFmtId="0" fontId="5" fillId="86" borderId="0" xfId="0" applyFont="1" applyFill="1" applyAlignment="1">
      <alignment horizontal="center" vertical="center"/>
    </xf>
    <xf numFmtId="0" fontId="57" fillId="10" borderId="76" xfId="0" applyFont="1" applyFill="1" applyBorder="1" applyAlignment="1">
      <alignment horizontal="center" vertical="center" wrapText="1"/>
    </xf>
    <xf numFmtId="0" fontId="4" fillId="10" borderId="76" xfId="0" applyFont="1" applyFill="1" applyBorder="1" applyAlignment="1">
      <alignment horizontal="center" wrapText="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60" fillId="82" borderId="70" xfId="0" applyFont="1" applyFill="1" applyBorder="1" applyAlignment="1">
      <alignment horizontal="left"/>
    </xf>
    <xf numFmtId="0" fontId="60" fillId="82"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2">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(+ 8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7"/>
                <c:pt idx="0">
                  <c:v>13</c:v>
                </c:pt>
                <c:pt idx="1">
                  <c:v>13</c:v>
                </c:pt>
                <c:pt idx="2">
                  <c:v>13</c:v>
                </c:pt>
                <c:pt idx="3">
                  <c:v>13</c:v>
                </c:pt>
                <c:pt idx="4">
                  <c:v>13</c:v>
                </c:pt>
                <c:pt idx="5">
                  <c:v>46</c:v>
                </c:pt>
                <c:pt idx="6">
                  <c:v>79</c:v>
                </c:pt>
                <c:pt idx="7">
                  <c:v>112</c:v>
                </c:pt>
                <c:pt idx="8">
                  <c:v>145</c:v>
                </c:pt>
                <c:pt idx="9">
                  <c:v>176</c:v>
                </c:pt>
                <c:pt idx="10">
                  <c:v>189.20000000000002</c:v>
                </c:pt>
                <c:pt idx="11">
                  <c:v>173.8</c:v>
                </c:pt>
                <c:pt idx="12">
                  <c:v>142</c:v>
                </c:pt>
                <c:pt idx="13">
                  <c:v>159.60000000000002</c:v>
                </c:pt>
                <c:pt idx="14">
                  <c:v>151.80000000000001</c:v>
                </c:pt>
                <c:pt idx="15">
                  <c:v>138.60000000000002</c:v>
                </c:pt>
                <c:pt idx="16">
                  <c:v>167.20000000000002</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7"/>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numCache>
            </c:numRef>
          </c:cat>
          <c:val>
            <c:numRef>
              <c:f>[0]!D_Adj_Lower</c:f>
              <c:numCache>
                <c:formatCode>#,##0</c:formatCode>
                <c:ptCount val="17"/>
                <c:pt idx="0">
                  <c:v>10</c:v>
                </c:pt>
                <c:pt idx="1">
                  <c:v>10</c:v>
                </c:pt>
                <c:pt idx="2">
                  <c:v>10</c:v>
                </c:pt>
                <c:pt idx="3">
                  <c:v>10</c:v>
                </c:pt>
                <c:pt idx="4">
                  <c:v>10</c:v>
                </c:pt>
                <c:pt idx="5">
                  <c:v>43</c:v>
                </c:pt>
                <c:pt idx="6">
                  <c:v>76</c:v>
                </c:pt>
                <c:pt idx="7">
                  <c:v>109</c:v>
                </c:pt>
                <c:pt idx="8">
                  <c:v>142</c:v>
                </c:pt>
                <c:pt idx="9">
                  <c:v>140</c:v>
                </c:pt>
                <c:pt idx="10">
                  <c:v>152</c:v>
                </c:pt>
                <c:pt idx="11">
                  <c:v>138</c:v>
                </c:pt>
                <c:pt idx="12">
                  <c:v>120</c:v>
                </c:pt>
                <c:pt idx="13">
                  <c:v>136</c:v>
                </c:pt>
                <c:pt idx="14">
                  <c:v>138</c:v>
                </c:pt>
                <c:pt idx="15">
                  <c:v>126</c:v>
                </c:pt>
                <c:pt idx="16">
                  <c:v>152</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7"/>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numCache>
            </c:numRef>
          </c:cat>
          <c:val>
            <c:numRef>
              <c:f>[0]!D_Adj_Upper</c:f>
              <c:numCache>
                <c:formatCode>#,##0</c:formatCode>
                <c:ptCount val="17"/>
                <c:pt idx="0">
                  <c:v>13</c:v>
                </c:pt>
                <c:pt idx="1">
                  <c:v>13</c:v>
                </c:pt>
                <c:pt idx="2">
                  <c:v>13</c:v>
                </c:pt>
                <c:pt idx="3">
                  <c:v>13</c:v>
                </c:pt>
                <c:pt idx="4">
                  <c:v>13</c:v>
                </c:pt>
                <c:pt idx="5">
                  <c:v>46</c:v>
                </c:pt>
                <c:pt idx="6">
                  <c:v>79</c:v>
                </c:pt>
                <c:pt idx="7">
                  <c:v>112</c:v>
                </c:pt>
                <c:pt idx="8">
                  <c:v>145</c:v>
                </c:pt>
                <c:pt idx="9">
                  <c:v>154</c:v>
                </c:pt>
                <c:pt idx="10">
                  <c:v>167.20000000000002</c:v>
                </c:pt>
                <c:pt idx="11">
                  <c:v>151.80000000000001</c:v>
                </c:pt>
                <c:pt idx="12">
                  <c:v>132</c:v>
                </c:pt>
                <c:pt idx="13">
                  <c:v>149.60000000000002</c:v>
                </c:pt>
                <c:pt idx="14">
                  <c:v>151.80000000000001</c:v>
                </c:pt>
                <c:pt idx="15">
                  <c:v>138.60000000000002</c:v>
                </c:pt>
                <c:pt idx="16">
                  <c:v>167.20000000000002</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9"/>
                <c:pt idx="0">
                  <c:v>122</c:v>
                </c:pt>
                <c:pt idx="1">
                  <c:v>124</c:v>
                </c:pt>
                <c:pt idx="2">
                  <c:v>138</c:v>
                </c:pt>
                <c:pt idx="3">
                  <c:v>142</c:v>
                </c:pt>
                <c:pt idx="4">
                  <c:v>160</c:v>
                </c:pt>
                <c:pt idx="5">
                  <c:v>156</c:v>
                </c:pt>
                <c:pt idx="6">
                  <c:v>154</c:v>
                </c:pt>
                <c:pt idx="7">
                  <c:v>142</c:v>
                </c:pt>
                <c:pt idx="8">
                  <c:v>142</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(Points)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52"/>
                <c:pt idx="0">
                  <c:v>1</c:v>
                </c:pt>
                <c:pt idx="1">
                  <c:v>1</c:v>
                </c:pt>
                <c:pt idx="2">
                  <c:v>1</c:v>
                </c:pt>
                <c:pt idx="3">
                  <c:v>1</c:v>
                </c:pt>
                <c:pt idx="4">
                  <c:v>1</c:v>
                </c:pt>
                <c:pt idx="5">
                  <c:v>1</c:v>
                </c:pt>
                <c:pt idx="6">
                  <c:v>1</c:v>
                </c:pt>
                <c:pt idx="7">
                  <c:v>1</c:v>
                </c:pt>
                <c:pt idx="8">
                  <c:v>1</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52"/>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 </c:v>
                  </c:pt>
                  <c:pt idx="41">
                    <c:v> </c:v>
                  </c:pt>
                  <c:pt idx="42">
                    <c:v> </c:v>
                  </c:pt>
                  <c:pt idx="43">
                    <c:v> </c:v>
                  </c:pt>
                  <c:pt idx="44">
                    <c:v>2021</c:v>
                  </c:pt>
                  <c:pt idx="45">
                    <c:v> </c:v>
                  </c:pt>
                  <c:pt idx="46">
                    <c:v> </c:v>
                  </c:pt>
                  <c:pt idx="47">
                    <c:v> </c:v>
                  </c:pt>
                  <c:pt idx="48">
                    <c:v> </c:v>
                  </c:pt>
                  <c:pt idx="49">
                    <c:v> </c:v>
                  </c:pt>
                  <c:pt idx="50">
                    <c:v> </c:v>
                  </c:pt>
                  <c:pt idx="51">
                    <c:v> </c:v>
                  </c:pt>
                </c:lvl>
              </c:multiLvlStrCache>
            </c:multiLvlStrRef>
          </c:cat>
          <c:val>
            <c:numRef>
              <c:f>[0]!ChartRange_Data</c:f>
              <c:numCache>
                <c:formatCode>#,##0</c:formatCode>
                <c:ptCount val="52"/>
                <c:pt idx="0">
                  <c:v>122</c:v>
                </c:pt>
                <c:pt idx="1">
                  <c:v>124</c:v>
                </c:pt>
                <c:pt idx="2">
                  <c:v>138</c:v>
                </c:pt>
                <c:pt idx="3">
                  <c:v>142</c:v>
                </c:pt>
                <c:pt idx="4">
                  <c:v>160</c:v>
                </c:pt>
                <c:pt idx="5">
                  <c:v>156</c:v>
                </c:pt>
                <c:pt idx="6">
                  <c:v>154</c:v>
                </c:pt>
                <c:pt idx="7">
                  <c:v>142</c:v>
                </c:pt>
                <c:pt idx="8">
                  <c:v>142</c:v>
                </c:pt>
                <c:pt idx="9">
                  <c:v>140</c:v>
                </c:pt>
                <c:pt idx="10">
                  <c:v>152</c:v>
                </c:pt>
                <c:pt idx="11">
                  <c:v>138</c:v>
                </c:pt>
                <c:pt idx="12">
                  <c:v>120</c:v>
                </c:pt>
                <c:pt idx="13">
                  <c:v>136</c:v>
                </c:pt>
                <c:pt idx="14">
                  <c:v>138</c:v>
                </c:pt>
                <c:pt idx="15">
                  <c:v>126</c:v>
                </c:pt>
                <c:pt idx="16">
                  <c:v>152</c:v>
                </c:pt>
                <c:pt idx="17">
                  <c:v>128</c:v>
                </c:pt>
                <c:pt idx="18">
                  <c:v>152</c:v>
                </c:pt>
                <c:pt idx="19">
                  <c:v>138</c:v>
                </c:pt>
                <c:pt idx="20">
                  <c:v>160</c:v>
                </c:pt>
                <c:pt idx="21">
                  <c:v>146</c:v>
                </c:pt>
                <c:pt idx="22">
                  <c:v>148</c:v>
                </c:pt>
                <c:pt idx="23">
                  <c:v>130</c:v>
                </c:pt>
                <c:pt idx="24">
                  <c:v>130</c:v>
                </c:pt>
                <c:pt idx="25">
                  <c:v>120</c:v>
                </c:pt>
                <c:pt idx="26">
                  <c:v>124</c:v>
                </c:pt>
                <c:pt idx="27">
                  <c:v>140</c:v>
                </c:pt>
                <c:pt idx="28">
                  <c:v>148</c:v>
                </c:pt>
                <c:pt idx="29">
                  <c:v>150</c:v>
                </c:pt>
                <c:pt idx="30">
                  <c:v>142</c:v>
                </c:pt>
                <c:pt idx="31">
                  <c:v>132</c:v>
                </c:pt>
                <c:pt idx="32">
                  <c:v>136</c:v>
                </c:pt>
                <c:pt idx="33">
                  <c:v>140</c:v>
                </c:pt>
                <c:pt idx="34">
                  <c:v>144</c:v>
                </c:pt>
                <c:pt idx="35">
                  <c:v>124</c:v>
                </c:pt>
                <c:pt idx="36">
                  <c:v>142</c:v>
                </c:pt>
                <c:pt idx="37">
                  <c:v>156</c:v>
                </c:pt>
                <c:pt idx="38">
                  <c:v>140</c:v>
                </c:pt>
                <c:pt idx="39">
                  <c:v>130</c:v>
                </c:pt>
                <c:pt idx="40">
                  <c:v>120</c:v>
                </c:pt>
                <c:pt idx="41">
                  <c:v>150</c:v>
                </c:pt>
                <c:pt idx="42">
                  <c:v>154</c:v>
                </c:pt>
                <c:pt idx="43">
                  <c:v>140</c:v>
                </c:pt>
                <c:pt idx="44">
                  <c:v>136</c:v>
                </c:pt>
                <c:pt idx="45">
                  <c:v>152</c:v>
                </c:pt>
                <c:pt idx="46">
                  <c:v>148</c:v>
                </c:pt>
                <c:pt idx="47">
                  <c:v>148</c:v>
                </c:pt>
                <c:pt idx="48">
                  <c:v>140</c:v>
                </c:pt>
                <c:pt idx="49">
                  <c:v>152</c:v>
                </c:pt>
                <c:pt idx="50">
                  <c:v>146</c:v>
                </c:pt>
                <c:pt idx="51">
                  <c:v>130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52"/>
                <c:pt idx="0">
                  <c:v>124.86052009456264</c:v>
                </c:pt>
                <c:pt idx="1">
                  <c:v>124.86052009456264</c:v>
                </c:pt>
                <c:pt idx="2">
                  <c:v>124.86052009456264</c:v>
                </c:pt>
                <c:pt idx="3">
                  <c:v>124.86052009456264</c:v>
                </c:pt>
                <c:pt idx="4">
                  <c:v>124.86052009456264</c:v>
                </c:pt>
                <c:pt idx="5">
                  <c:v>124.86052009456264</c:v>
                </c:pt>
                <c:pt idx="6">
                  <c:v>124.86052009456264</c:v>
                </c:pt>
                <c:pt idx="7">
                  <c:v>124.86052009456264</c:v>
                </c:pt>
                <c:pt idx="8">
                  <c:v>124.86052009456264</c:v>
                </c:pt>
                <c:pt idx="9">
                  <c:v>124.86052009456264</c:v>
                </c:pt>
                <c:pt idx="10">
                  <c:v>124.86052009456264</c:v>
                </c:pt>
                <c:pt idx="11">
                  <c:v>124.86052009456264</c:v>
                </c:pt>
                <c:pt idx="12">
                  <c:v>124.86052009456264</c:v>
                </c:pt>
                <c:pt idx="13">
                  <c:v>124.86052009456264</c:v>
                </c:pt>
                <c:pt idx="14">
                  <c:v>124.86052009456264</c:v>
                </c:pt>
                <c:pt idx="15">
                  <c:v>124.86052009456264</c:v>
                </c:pt>
                <c:pt idx="16">
                  <c:v>124.86052009456264</c:v>
                </c:pt>
                <c:pt idx="17">
                  <c:v>124.86052009456264</c:v>
                </c:pt>
                <c:pt idx="18">
                  <c:v>124.86052009456264</c:v>
                </c:pt>
                <c:pt idx="19">
                  <c:v>124.86052009456264</c:v>
                </c:pt>
                <c:pt idx="20">
                  <c:v>124.86052009456264</c:v>
                </c:pt>
                <c:pt idx="21">
                  <c:v>124.86052009456264</c:v>
                </c:pt>
                <c:pt idx="22">
                  <c:v>124.86052009456264</c:v>
                </c:pt>
                <c:pt idx="23">
                  <c:v>124.86052009456264</c:v>
                </c:pt>
                <c:pt idx="24">
                  <c:v>124.86052009456264</c:v>
                </c:pt>
                <c:pt idx="25">
                  <c:v>124.86052009456264</c:v>
                </c:pt>
                <c:pt idx="26">
                  <c:v>124.86052009456264</c:v>
                </c:pt>
                <c:pt idx="27">
                  <c:v>124.86052009456264</c:v>
                </c:pt>
                <c:pt idx="28">
                  <c:v>124.86052009456264</c:v>
                </c:pt>
                <c:pt idx="29">
                  <c:v>124.86052009456264</c:v>
                </c:pt>
                <c:pt idx="30">
                  <c:v>124.86052009456264</c:v>
                </c:pt>
                <c:pt idx="31">
                  <c:v>124.86052009456264</c:v>
                </c:pt>
                <c:pt idx="32">
                  <c:v>124.86052009456264</c:v>
                </c:pt>
                <c:pt idx="33">
                  <c:v>124.86052009456264</c:v>
                </c:pt>
                <c:pt idx="34">
                  <c:v>124.86052009456264</c:v>
                </c:pt>
                <c:pt idx="35">
                  <c:v>124.86052009456264</c:v>
                </c:pt>
                <c:pt idx="36">
                  <c:v>124.86052009456264</c:v>
                </c:pt>
                <c:pt idx="37">
                  <c:v>124.86052009456264</c:v>
                </c:pt>
                <c:pt idx="38">
                  <c:v>124.86052009456264</c:v>
                </c:pt>
                <c:pt idx="39">
                  <c:v>124.86052009456264</c:v>
                </c:pt>
                <c:pt idx="40">
                  <c:v>124.86052009456264</c:v>
                </c:pt>
                <c:pt idx="41">
                  <c:v>124.86052009456264</c:v>
                </c:pt>
                <c:pt idx="42">
                  <c:v>124.86052009456264</c:v>
                </c:pt>
                <c:pt idx="43">
                  <c:v>124.86052009456264</c:v>
                </c:pt>
                <c:pt idx="44">
                  <c:v>124.86052009456264</c:v>
                </c:pt>
                <c:pt idx="45">
                  <c:v>124.86052009456264</c:v>
                </c:pt>
                <c:pt idx="46">
                  <c:v>124.86052009456264</c:v>
                </c:pt>
                <c:pt idx="47">
                  <c:v>124.86052009456264</c:v>
                </c:pt>
                <c:pt idx="48">
                  <c:v>124.86052009456264</c:v>
                </c:pt>
                <c:pt idx="49">
                  <c:v>124.86052009456264</c:v>
                </c:pt>
                <c:pt idx="50">
                  <c:v>124.86052009456264</c:v>
                </c:pt>
                <c:pt idx="51">
                  <c:v>124.86052009456264</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52"/>
                <c:pt idx="0">
                  <c:v>159.13947990543736</c:v>
                </c:pt>
                <c:pt idx="1">
                  <c:v>159.13947990543736</c:v>
                </c:pt>
                <c:pt idx="2">
                  <c:v>159.13947990543736</c:v>
                </c:pt>
                <c:pt idx="3">
                  <c:v>159.13947990543736</c:v>
                </c:pt>
                <c:pt idx="4">
                  <c:v>159.13947990543736</c:v>
                </c:pt>
                <c:pt idx="5">
                  <c:v>159.13947990543736</c:v>
                </c:pt>
                <c:pt idx="6">
                  <c:v>159.13947990543736</c:v>
                </c:pt>
                <c:pt idx="7">
                  <c:v>159.13947990543736</c:v>
                </c:pt>
                <c:pt idx="8">
                  <c:v>159.13947990543736</c:v>
                </c:pt>
                <c:pt idx="9">
                  <c:v>159.13947990543736</c:v>
                </c:pt>
                <c:pt idx="10">
                  <c:v>159.13947990543736</c:v>
                </c:pt>
                <c:pt idx="11">
                  <c:v>159.13947990543736</c:v>
                </c:pt>
                <c:pt idx="12">
                  <c:v>159.13947990543736</c:v>
                </c:pt>
                <c:pt idx="13">
                  <c:v>159.13947990543736</c:v>
                </c:pt>
                <c:pt idx="14">
                  <c:v>159.13947990543736</c:v>
                </c:pt>
                <c:pt idx="15">
                  <c:v>159.13947990543736</c:v>
                </c:pt>
                <c:pt idx="16">
                  <c:v>159.13947990543736</c:v>
                </c:pt>
                <c:pt idx="17">
                  <c:v>159.13947990543736</c:v>
                </c:pt>
                <c:pt idx="18">
                  <c:v>159.13947990543736</c:v>
                </c:pt>
                <c:pt idx="19">
                  <c:v>159.13947990543736</c:v>
                </c:pt>
                <c:pt idx="20">
                  <c:v>159.13947990543736</c:v>
                </c:pt>
                <c:pt idx="21">
                  <c:v>159.13947990543736</c:v>
                </c:pt>
                <c:pt idx="22">
                  <c:v>159.13947990543736</c:v>
                </c:pt>
                <c:pt idx="23">
                  <c:v>159.13947990543736</c:v>
                </c:pt>
                <c:pt idx="24">
                  <c:v>159.13947990543736</c:v>
                </c:pt>
                <c:pt idx="25">
                  <c:v>159.13947990543736</c:v>
                </c:pt>
                <c:pt idx="26">
                  <c:v>159.13947990543736</c:v>
                </c:pt>
                <c:pt idx="27">
                  <c:v>159.13947990543736</c:v>
                </c:pt>
                <c:pt idx="28">
                  <c:v>159.13947990543736</c:v>
                </c:pt>
                <c:pt idx="29">
                  <c:v>159.13947990543736</c:v>
                </c:pt>
                <c:pt idx="30">
                  <c:v>159.13947990543736</c:v>
                </c:pt>
                <c:pt idx="31">
                  <c:v>159.13947990543736</c:v>
                </c:pt>
                <c:pt idx="32">
                  <c:v>159.13947990543736</c:v>
                </c:pt>
                <c:pt idx="33">
                  <c:v>159.13947990543736</c:v>
                </c:pt>
                <c:pt idx="34">
                  <c:v>159.13947990543736</c:v>
                </c:pt>
                <c:pt idx="35">
                  <c:v>159.13947990543736</c:v>
                </c:pt>
                <c:pt idx="36">
                  <c:v>159.13947990543736</c:v>
                </c:pt>
                <c:pt idx="37">
                  <c:v>159.13947990543736</c:v>
                </c:pt>
                <c:pt idx="38">
                  <c:v>159.13947990543736</c:v>
                </c:pt>
                <c:pt idx="39">
                  <c:v>159.13947990543736</c:v>
                </c:pt>
                <c:pt idx="40">
                  <c:v>159.13947990543736</c:v>
                </c:pt>
                <c:pt idx="41">
                  <c:v>159.13947990543736</c:v>
                </c:pt>
                <c:pt idx="42">
                  <c:v>159.13947990543736</c:v>
                </c:pt>
                <c:pt idx="43">
                  <c:v>159.13947990543736</c:v>
                </c:pt>
                <c:pt idx="44">
                  <c:v>159.13947990543736</c:v>
                </c:pt>
                <c:pt idx="45">
                  <c:v>159.13947990543736</c:v>
                </c:pt>
                <c:pt idx="46">
                  <c:v>159.13947990543736</c:v>
                </c:pt>
                <c:pt idx="47">
                  <c:v>159.13947990543736</c:v>
                </c:pt>
                <c:pt idx="48">
                  <c:v>159.13947990543736</c:v>
                </c:pt>
                <c:pt idx="49">
                  <c:v>159.13947990543736</c:v>
                </c:pt>
                <c:pt idx="50">
                  <c:v>159.13947990543736</c:v>
                </c:pt>
                <c:pt idx="51">
                  <c:v>159.13947990543736</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52"/>
                <c:pt idx="0">
                  <c:v>142</c:v>
                </c:pt>
                <c:pt idx="1">
                  <c:v>142</c:v>
                </c:pt>
                <c:pt idx="2">
                  <c:v>142</c:v>
                </c:pt>
                <c:pt idx="3">
                  <c:v>142</c:v>
                </c:pt>
                <c:pt idx="4">
                  <c:v>142</c:v>
                </c:pt>
                <c:pt idx="5">
                  <c:v>142</c:v>
                </c:pt>
                <c:pt idx="6">
                  <c:v>142</c:v>
                </c:pt>
                <c:pt idx="7">
                  <c:v>142</c:v>
                </c:pt>
                <c:pt idx="8">
                  <c:v>142</c:v>
                </c:pt>
                <c:pt idx="9">
                  <c:v>142</c:v>
                </c:pt>
                <c:pt idx="10">
                  <c:v>142</c:v>
                </c:pt>
                <c:pt idx="11">
                  <c:v>142</c:v>
                </c:pt>
                <c:pt idx="12">
                  <c:v>142</c:v>
                </c:pt>
                <c:pt idx="13">
                  <c:v>142</c:v>
                </c:pt>
                <c:pt idx="14">
                  <c:v>142</c:v>
                </c:pt>
                <c:pt idx="15">
                  <c:v>142</c:v>
                </c:pt>
                <c:pt idx="16">
                  <c:v>142</c:v>
                </c:pt>
                <c:pt idx="17">
                  <c:v>142</c:v>
                </c:pt>
                <c:pt idx="18">
                  <c:v>142</c:v>
                </c:pt>
                <c:pt idx="19">
                  <c:v>142</c:v>
                </c:pt>
                <c:pt idx="20">
                  <c:v>142</c:v>
                </c:pt>
                <c:pt idx="21">
                  <c:v>142</c:v>
                </c:pt>
                <c:pt idx="22">
                  <c:v>142</c:v>
                </c:pt>
                <c:pt idx="23">
                  <c:v>142</c:v>
                </c:pt>
                <c:pt idx="24">
                  <c:v>142</c:v>
                </c:pt>
                <c:pt idx="25">
                  <c:v>142</c:v>
                </c:pt>
                <c:pt idx="26">
                  <c:v>142</c:v>
                </c:pt>
                <c:pt idx="27">
                  <c:v>142</c:v>
                </c:pt>
                <c:pt idx="28">
                  <c:v>142</c:v>
                </c:pt>
                <c:pt idx="29">
                  <c:v>142</c:v>
                </c:pt>
                <c:pt idx="30">
                  <c:v>142</c:v>
                </c:pt>
                <c:pt idx="31">
                  <c:v>142</c:v>
                </c:pt>
                <c:pt idx="32">
                  <c:v>142</c:v>
                </c:pt>
                <c:pt idx="33">
                  <c:v>142</c:v>
                </c:pt>
                <c:pt idx="34">
                  <c:v>142</c:v>
                </c:pt>
                <c:pt idx="35">
                  <c:v>142</c:v>
                </c:pt>
                <c:pt idx="36">
                  <c:v>142</c:v>
                </c:pt>
                <c:pt idx="37">
                  <c:v>142</c:v>
                </c:pt>
                <c:pt idx="38">
                  <c:v>142</c:v>
                </c:pt>
                <c:pt idx="39">
                  <c:v>142</c:v>
                </c:pt>
                <c:pt idx="40">
                  <c:v>142</c:v>
                </c:pt>
                <c:pt idx="41">
                  <c:v>142</c:v>
                </c:pt>
                <c:pt idx="42">
                  <c:v>142</c:v>
                </c:pt>
                <c:pt idx="43">
                  <c:v>142</c:v>
                </c:pt>
                <c:pt idx="44">
                  <c:v>142</c:v>
                </c:pt>
                <c:pt idx="45">
                  <c:v>142</c:v>
                </c:pt>
                <c:pt idx="46">
                  <c:v>142</c:v>
                </c:pt>
                <c:pt idx="47">
                  <c:v>142</c:v>
                </c:pt>
                <c:pt idx="48">
                  <c:v>142</c:v>
                </c:pt>
                <c:pt idx="49">
                  <c:v>142</c:v>
                </c:pt>
                <c:pt idx="50">
                  <c:v>142</c:v>
                </c:pt>
                <c:pt idx="51">
                  <c:v>142</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52"/>
                <c:pt idx="0">
                  <c:v>122</c:v>
                </c:pt>
                <c:pt idx="1">
                  <c:v>124</c:v>
                </c:pt>
                <c:pt idx="2">
                  <c:v>#N/A</c:v>
                </c:pt>
                <c:pt idx="3">
                  <c:v>#N/A</c:v>
                </c:pt>
                <c:pt idx="4">
                  <c:v>160</c:v>
                </c:pt>
                <c:pt idx="5">
                  <c:v>#N/A</c:v>
                </c:pt>
                <c:pt idx="6">
                  <c:v>#N/A</c:v>
                </c:pt>
                <c:pt idx="7">
                  <c:v>#N/A</c:v>
                </c:pt>
                <c:pt idx="8">
                  <c:v>#N/A</c:v>
                </c:pt>
                <c:pt idx="9">
                  <c:v>#N/A</c:v>
                </c:pt>
                <c:pt idx="10">
                  <c:v>#N/A</c:v>
                </c:pt>
                <c:pt idx="11">
                  <c:v>#N/A</c:v>
                </c:pt>
                <c:pt idx="12">
                  <c:v>120</c:v>
                </c:pt>
                <c:pt idx="13">
                  <c:v>#N/A</c:v>
                </c:pt>
                <c:pt idx="14">
                  <c:v>#N/A</c:v>
                </c:pt>
                <c:pt idx="15">
                  <c:v>#N/A</c:v>
                </c:pt>
                <c:pt idx="16">
                  <c:v>#N/A</c:v>
                </c:pt>
                <c:pt idx="17">
                  <c:v>#N/A</c:v>
                </c:pt>
                <c:pt idx="18">
                  <c:v>#N/A</c:v>
                </c:pt>
                <c:pt idx="19">
                  <c:v>#N/A</c:v>
                </c:pt>
                <c:pt idx="20">
                  <c:v>160</c:v>
                </c:pt>
                <c:pt idx="21">
                  <c:v>#N/A</c:v>
                </c:pt>
                <c:pt idx="22">
                  <c:v>#N/A</c:v>
                </c:pt>
                <c:pt idx="23">
                  <c:v>#N/A</c:v>
                </c:pt>
                <c:pt idx="24">
                  <c:v>#N/A</c:v>
                </c:pt>
                <c:pt idx="25">
                  <c:v>120</c:v>
                </c:pt>
                <c:pt idx="26">
                  <c:v>124</c:v>
                </c:pt>
                <c:pt idx="27">
                  <c:v>#N/A</c:v>
                </c:pt>
                <c:pt idx="28">
                  <c:v>#N/A</c:v>
                </c:pt>
                <c:pt idx="29">
                  <c:v>#N/A</c:v>
                </c:pt>
                <c:pt idx="30">
                  <c:v>#N/A</c:v>
                </c:pt>
                <c:pt idx="31">
                  <c:v>#N/A</c:v>
                </c:pt>
                <c:pt idx="32">
                  <c:v>#N/A</c:v>
                </c:pt>
                <c:pt idx="33">
                  <c:v>#N/A</c:v>
                </c:pt>
                <c:pt idx="34">
                  <c:v>#N/A</c:v>
                </c:pt>
                <c:pt idx="35">
                  <c:v>124</c:v>
                </c:pt>
                <c:pt idx="36">
                  <c:v>#N/A</c:v>
                </c:pt>
                <c:pt idx="37">
                  <c:v>#N/A</c:v>
                </c:pt>
                <c:pt idx="38">
                  <c:v>#N/A</c:v>
                </c:pt>
                <c:pt idx="39">
                  <c:v>#N/A</c:v>
                </c:pt>
                <c:pt idx="40">
                  <c:v>120</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52"/>
                <c:pt idx="1">
                  <c:v>#N/A</c:v>
                </c:pt>
                <c:pt idx="2">
                  <c:v>#N/A</c:v>
                </c:pt>
                <c:pt idx="3">
                  <c:v>#N/A</c:v>
                </c:pt>
                <c:pt idx="4">
                  <c:v>160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130</c:v>
                </c:pt>
                <c:pt idx="24">
                  <c:v>130</c:v>
                </c:pt>
                <c:pt idx="25">
                  <c:v>120</c:v>
                </c:pt>
                <c:pt idx="26">
                  <c:v>#N/A</c:v>
                </c:pt>
                <c:pt idx="27">
                  <c:v>#N/A</c:v>
                </c:pt>
                <c:pt idx="28">
                  <c:v>#N/A</c:v>
                </c:pt>
                <c:pt idx="29">
                  <c:v>#N/A</c:v>
                </c:pt>
                <c:pt idx="30">
                  <c:v>#N/A</c:v>
                </c:pt>
                <c:pt idx="31">
                  <c:v>#N/A</c:v>
                </c:pt>
                <c:pt idx="32">
                  <c:v>#N/A</c:v>
                </c:pt>
                <c:pt idx="33">
                  <c:v>#N/A</c:v>
                </c:pt>
                <c:pt idx="34">
                  <c:v>#N/A</c:v>
                </c:pt>
                <c:pt idx="35">
                  <c:v>#N/A</c:v>
                </c:pt>
                <c:pt idx="36">
                  <c:v>#N/A</c:v>
                </c:pt>
                <c:pt idx="37">
                  <c:v>#N/A</c:v>
                </c:pt>
                <c:pt idx="38">
                  <c:v>140</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52"/>
                <c:pt idx="0">
                  <c:v>142</c:v>
                </c:pt>
                <c:pt idx="1">
                  <c:v>142</c:v>
                </c:pt>
                <c:pt idx="2">
                  <c:v>142</c:v>
                </c:pt>
                <c:pt idx="3">
                  <c:v>142</c:v>
                </c:pt>
                <c:pt idx="4">
                  <c:v>142</c:v>
                </c:pt>
                <c:pt idx="5">
                  <c:v>142</c:v>
                </c:pt>
                <c:pt idx="6">
                  <c:v>142</c:v>
                </c:pt>
                <c:pt idx="7">
                  <c:v>142</c:v>
                </c:pt>
                <c:pt idx="8">
                  <c:v>142</c:v>
                </c:pt>
                <c:pt idx="9">
                  <c:v>142</c:v>
                </c:pt>
                <c:pt idx="10">
                  <c:v>142</c:v>
                </c:pt>
                <c:pt idx="11">
                  <c:v>142</c:v>
                </c:pt>
                <c:pt idx="12">
                  <c:v>142</c:v>
                </c:pt>
                <c:pt idx="13">
                  <c:v>142</c:v>
                </c:pt>
                <c:pt idx="14">
                  <c:v>142</c:v>
                </c:pt>
                <c:pt idx="15">
                  <c:v>142</c:v>
                </c:pt>
                <c:pt idx="16">
                  <c:v>142</c:v>
                </c:pt>
                <c:pt idx="17">
                  <c:v>142</c:v>
                </c:pt>
                <c:pt idx="18">
                  <c:v>142</c:v>
                </c:pt>
                <c:pt idx="19">
                  <c:v>142</c:v>
                </c:pt>
                <c:pt idx="20">
                  <c:v>142</c:v>
                </c:pt>
                <c:pt idx="21">
                  <c:v>142</c:v>
                </c:pt>
                <c:pt idx="22">
                  <c:v>142</c:v>
                </c:pt>
                <c:pt idx="23">
                  <c:v>142</c:v>
                </c:pt>
                <c:pt idx="24">
                  <c:v>142</c:v>
                </c:pt>
                <c:pt idx="25">
                  <c:v>142</c:v>
                </c:pt>
                <c:pt idx="26">
                  <c:v>142</c:v>
                </c:pt>
                <c:pt idx="27">
                  <c:v>142</c:v>
                </c:pt>
                <c:pt idx="28">
                  <c:v>142</c:v>
                </c:pt>
                <c:pt idx="29">
                  <c:v>142</c:v>
                </c:pt>
                <c:pt idx="30">
                  <c:v>142</c:v>
                </c:pt>
                <c:pt idx="31">
                  <c:v>142</c:v>
                </c:pt>
                <c:pt idx="32">
                  <c:v>142</c:v>
                </c:pt>
                <c:pt idx="33">
                  <c:v>142</c:v>
                </c:pt>
                <c:pt idx="34">
                  <c:v>142</c:v>
                </c:pt>
                <c:pt idx="35">
                  <c:v>142</c:v>
                </c:pt>
                <c:pt idx="36">
                  <c:v>142</c:v>
                </c:pt>
                <c:pt idx="37">
                  <c:v>142</c:v>
                </c:pt>
                <c:pt idx="38">
                  <c:v>142</c:v>
                </c:pt>
                <c:pt idx="39">
                  <c:v>142</c:v>
                </c:pt>
                <c:pt idx="40">
                  <c:v>142</c:v>
                </c:pt>
                <c:pt idx="41">
                  <c:v>142</c:v>
                </c:pt>
                <c:pt idx="42">
                  <c:v>142</c:v>
                </c:pt>
                <c:pt idx="43">
                  <c:v>142</c:v>
                </c:pt>
                <c:pt idx="44">
                  <c:v>142</c:v>
                </c:pt>
                <c:pt idx="45">
                  <c:v>142</c:v>
                </c:pt>
                <c:pt idx="46">
                  <c:v>142</c:v>
                </c:pt>
                <c:pt idx="47">
                  <c:v>142</c:v>
                </c:pt>
                <c:pt idx="48">
                  <c:v>142</c:v>
                </c:pt>
                <c:pt idx="49">
                  <c:v>142</c:v>
                </c:pt>
                <c:pt idx="50">
                  <c:v>142</c:v>
                </c:pt>
                <c:pt idx="51">
                  <c:v>142</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52"/>
                <c:pt idx="0">
                  <c:v>155.30000000000001</c:v>
                </c:pt>
                <c:pt idx="1">
                  <c:v>155.30000000000001</c:v>
                </c:pt>
                <c:pt idx="2">
                  <c:v>155.30000000000001</c:v>
                </c:pt>
                <c:pt idx="3">
                  <c:v>155.30000000000001</c:v>
                </c:pt>
                <c:pt idx="4">
                  <c:v>155.30000000000001</c:v>
                </c:pt>
                <c:pt idx="5">
                  <c:v>155.30000000000001</c:v>
                </c:pt>
                <c:pt idx="6">
                  <c:v>155.30000000000001</c:v>
                </c:pt>
                <c:pt idx="7">
                  <c:v>155.30000000000001</c:v>
                </c:pt>
                <c:pt idx="8">
                  <c:v>155.30000000000001</c:v>
                </c:pt>
                <c:pt idx="9">
                  <c:v>155.30000000000001</c:v>
                </c:pt>
                <c:pt idx="10">
                  <c:v>155.30000000000001</c:v>
                </c:pt>
                <c:pt idx="11">
                  <c:v>155.30000000000001</c:v>
                </c:pt>
                <c:pt idx="12">
                  <c:v>155.30000000000001</c:v>
                </c:pt>
                <c:pt idx="13">
                  <c:v>155.30000000000001</c:v>
                </c:pt>
                <c:pt idx="14">
                  <c:v>155.30000000000001</c:v>
                </c:pt>
                <c:pt idx="15">
                  <c:v>155.30000000000001</c:v>
                </c:pt>
                <c:pt idx="16">
                  <c:v>155.30000000000001</c:v>
                </c:pt>
                <c:pt idx="17">
                  <c:v>155.30000000000001</c:v>
                </c:pt>
                <c:pt idx="18">
                  <c:v>155.30000000000001</c:v>
                </c:pt>
                <c:pt idx="19">
                  <c:v>155.30000000000001</c:v>
                </c:pt>
                <c:pt idx="20">
                  <c:v>155.30000000000001</c:v>
                </c:pt>
                <c:pt idx="21">
                  <c:v>155.30000000000001</c:v>
                </c:pt>
                <c:pt idx="22">
                  <c:v>155.30000000000001</c:v>
                </c:pt>
                <c:pt idx="23">
                  <c:v>155.30000000000001</c:v>
                </c:pt>
                <c:pt idx="24">
                  <c:v>155.30000000000001</c:v>
                </c:pt>
                <c:pt idx="25">
                  <c:v>155.30000000000001</c:v>
                </c:pt>
                <c:pt idx="26">
                  <c:v>155.30000000000001</c:v>
                </c:pt>
                <c:pt idx="27">
                  <c:v>155.30000000000001</c:v>
                </c:pt>
                <c:pt idx="28">
                  <c:v>155.30000000000001</c:v>
                </c:pt>
                <c:pt idx="29">
                  <c:v>155.30000000000001</c:v>
                </c:pt>
                <c:pt idx="30">
                  <c:v>155.30000000000001</c:v>
                </c:pt>
                <c:pt idx="31">
                  <c:v>155.30000000000001</c:v>
                </c:pt>
                <c:pt idx="32">
                  <c:v>155.30000000000001</c:v>
                </c:pt>
                <c:pt idx="33">
                  <c:v>155.30000000000001</c:v>
                </c:pt>
                <c:pt idx="34">
                  <c:v>155.30000000000001</c:v>
                </c:pt>
                <c:pt idx="35">
                  <c:v>155.30000000000001</c:v>
                </c:pt>
                <c:pt idx="36">
                  <c:v>155.30000000000001</c:v>
                </c:pt>
                <c:pt idx="37">
                  <c:v>155.30000000000001</c:v>
                </c:pt>
                <c:pt idx="38">
                  <c:v>155.30000000000001</c:v>
                </c:pt>
                <c:pt idx="39">
                  <c:v>155.30000000000001</c:v>
                </c:pt>
                <c:pt idx="40">
                  <c:v>155.30000000000001</c:v>
                </c:pt>
                <c:pt idx="41">
                  <c:v>155.30000000000001</c:v>
                </c:pt>
                <c:pt idx="42">
                  <c:v>155.30000000000001</c:v>
                </c:pt>
                <c:pt idx="43">
                  <c:v>155.30000000000001</c:v>
                </c:pt>
                <c:pt idx="44">
                  <c:v>155.30000000000001</c:v>
                </c:pt>
                <c:pt idx="45">
                  <c:v>155.30000000000001</c:v>
                </c:pt>
                <c:pt idx="46">
                  <c:v>155.30000000000001</c:v>
                </c:pt>
                <c:pt idx="47">
                  <c:v>155.30000000000001</c:v>
                </c:pt>
                <c:pt idx="48">
                  <c:v>155.30000000000001</c:v>
                </c:pt>
                <c:pt idx="49">
                  <c:v>155.30000000000001</c:v>
                </c:pt>
                <c:pt idx="50">
                  <c:v>155.30000000000001</c:v>
                </c:pt>
                <c:pt idx="51">
                  <c:v>155.30000000000001</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(points)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[0]!Cap_Chart_Core_Range</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10.003499999999999</c:v>
                </c:pt>
                <c:pt idx="1">
                  <c:v>10.003499999999999</c:v>
                </c:pt>
                <c:pt idx="2">
                  <c:v>10.003499999999999</c:v>
                </c:pt>
                <c:pt idx="3">
                  <c:v>10.003499999999999</c:v>
                </c:pt>
                <c:pt idx="4">
                  <c:v>10.003499999999999</c:v>
                </c:pt>
                <c:pt idx="5">
                  <c:v>43.015050000000002</c:v>
                </c:pt>
                <c:pt idx="6">
                  <c:v>76.026600000000002</c:v>
                </c:pt>
                <c:pt idx="7">
                  <c:v>109.03814999999999</c:v>
                </c:pt>
                <c:pt idx="8">
                  <c:v>142.0497</c:v>
                </c:pt>
                <c:pt idx="9">
                  <c:v>162.05670000000001</c:v>
                </c:pt>
                <c:pt idx="10">
                  <c:v>174.06089999999998</c:v>
                </c:pt>
                <c:pt idx="11">
                  <c:v>160.05599999999998</c:v>
                </c:pt>
                <c:pt idx="12">
                  <c:v>130.0455</c:v>
                </c:pt>
                <c:pt idx="13">
                  <c:v>146.05109999999999</c:v>
                </c:pt>
                <c:pt idx="14">
                  <c:v>138.04829999999998</c:v>
                </c:pt>
                <c:pt idx="15">
                  <c:v>126.04409999999999</c:v>
                </c:pt>
                <c:pt idx="16">
                  <c:v>152.0532</c:v>
                </c:pt>
                <c:pt idx="17">
                  <c:v>128.04479999999998</c:v>
                </c:pt>
                <c:pt idx="18">
                  <c:v>152.0532</c:v>
                </c:pt>
                <c:pt idx="19">
                  <c:v>138.04829999999998</c:v>
                </c:pt>
                <c:pt idx="20">
                  <c:v>160.05599999999998</c:v>
                </c:pt>
                <c:pt idx="21">
                  <c:v>146.05109999999999</c:v>
                </c:pt>
                <c:pt idx="22">
                  <c:v>148.05179999999999</c:v>
                </c:pt>
                <c:pt idx="23">
                  <c:v>130.0455</c:v>
                </c:pt>
                <c:pt idx="24">
                  <c:v>130.0455</c:v>
                </c:pt>
                <c:pt idx="25">
                  <c:v>120.04199999999999</c:v>
                </c:pt>
                <c:pt idx="26">
                  <c:v>124.04339999999999</c:v>
                </c:pt>
                <c:pt idx="27">
                  <c:v>140.04899999999998</c:v>
                </c:pt>
                <c:pt idx="28">
                  <c:v>148.05179999999999</c:v>
                </c:pt>
                <c:pt idx="29">
                  <c:v>150.05249999999998</c:v>
                </c:pt>
                <c:pt idx="30">
                  <c:v>142.0497</c:v>
                </c:pt>
                <c:pt idx="31">
                  <c:v>132.04619999999997</c:v>
                </c:pt>
                <c:pt idx="32">
                  <c:v>136.04759999999999</c:v>
                </c:pt>
                <c:pt idx="33">
                  <c:v>140.04899999999998</c:v>
                </c:pt>
                <c:pt idx="34">
                  <c:v>144.05039999999997</c:v>
                </c:pt>
                <c:pt idx="35">
                  <c:v>124.04339999999999</c:v>
                </c:pt>
                <c:pt idx="36">
                  <c:v>142.0497</c:v>
                </c:pt>
                <c:pt idx="37">
                  <c:v>142.0497</c:v>
                </c:pt>
                <c:pt idx="38">
                  <c:v>140.04899999999998</c:v>
                </c:pt>
                <c:pt idx="39">
                  <c:v>130.0455</c:v>
                </c:pt>
                <c:pt idx="40">
                  <c:v>120.04199999999999</c:v>
                </c:pt>
                <c:pt idx="41">
                  <c:v>150.05249999999998</c:v>
                </c:pt>
                <c:pt idx="42">
                  <c:v>154.05389999999997</c:v>
                </c:pt>
                <c:pt idx="43">
                  <c:v>140.04899999999998</c:v>
                </c:pt>
                <c:pt idx="44">
                  <c:v>136.04759999999999</c:v>
                </c:pt>
                <c:pt idx="45">
                  <c:v>152.0532</c:v>
                </c:pt>
                <c:pt idx="46">
                  <c:v>148.05179999999999</c:v>
                </c:pt>
                <c:pt idx="47">
                  <c:v>148.05179999999999</c:v>
                </c:pt>
                <c:pt idx="48">
                  <c:v>140.04899999999998</c:v>
                </c:pt>
                <c:pt idx="49">
                  <c:v>152.0532</c:v>
                </c:pt>
                <c:pt idx="50">
                  <c:v>146.05109999999999</c:v>
                </c:pt>
                <c:pt idx="51">
                  <c:v>130.0455</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3.0010499999999993</c:v>
                </c:pt>
                <c:pt idx="1">
                  <c:v>3.0010499999999993</c:v>
                </c:pt>
                <c:pt idx="2">
                  <c:v>3.0010499999999993</c:v>
                </c:pt>
                <c:pt idx="3">
                  <c:v>3.0010499999999993</c:v>
                </c:pt>
                <c:pt idx="4">
                  <c:v>3.0010499999999993</c:v>
                </c:pt>
                <c:pt idx="5">
                  <c:v>3.0010499999999922</c:v>
                </c:pt>
                <c:pt idx="6">
                  <c:v>3.0010499999999922</c:v>
                </c:pt>
                <c:pt idx="7">
                  <c:v>3.0010499999999922</c:v>
                </c:pt>
                <c:pt idx="8">
                  <c:v>3.0010499999999922</c:v>
                </c:pt>
                <c:pt idx="9">
                  <c:v>14.004899999999964</c:v>
                </c:pt>
                <c:pt idx="10">
                  <c:v>15.205320000000029</c:v>
                </c:pt>
                <c:pt idx="11">
                  <c:v>13.80483000000001</c:v>
                </c:pt>
                <c:pt idx="12">
                  <c:v>12.004199999999997</c:v>
                </c:pt>
                <c:pt idx="13">
                  <c:v>13.604759999999999</c:v>
                </c:pt>
                <c:pt idx="14">
                  <c:v>13.80483000000001</c:v>
                </c:pt>
                <c:pt idx="15">
                  <c:v>12.60441000000003</c:v>
                </c:pt>
                <c:pt idx="16">
                  <c:v>15.20532</c:v>
                </c:pt>
                <c:pt idx="17">
                  <c:v>12.804480000000012</c:v>
                </c:pt>
                <c:pt idx="18">
                  <c:v>15.20532</c:v>
                </c:pt>
                <c:pt idx="19">
                  <c:v>13.80483000000001</c:v>
                </c:pt>
                <c:pt idx="20">
                  <c:v>16.005599999999987</c:v>
                </c:pt>
                <c:pt idx="21">
                  <c:v>14.605110000000025</c:v>
                </c:pt>
                <c:pt idx="22">
                  <c:v>14.805180000000007</c:v>
                </c:pt>
                <c:pt idx="23">
                  <c:v>13.004549999999995</c:v>
                </c:pt>
                <c:pt idx="24">
                  <c:v>13.004549999999995</c:v>
                </c:pt>
                <c:pt idx="25">
                  <c:v>12.004199999999983</c:v>
                </c:pt>
                <c:pt idx="26">
                  <c:v>12.404340000000019</c:v>
                </c:pt>
                <c:pt idx="27">
                  <c:v>14.004899999999992</c:v>
                </c:pt>
                <c:pt idx="28">
                  <c:v>14.805180000000007</c:v>
                </c:pt>
                <c:pt idx="29">
                  <c:v>15.005250000000018</c:v>
                </c:pt>
                <c:pt idx="30">
                  <c:v>14.204970000000003</c:v>
                </c:pt>
                <c:pt idx="31">
                  <c:v>13.204620000000006</c:v>
                </c:pt>
                <c:pt idx="32">
                  <c:v>13.604759999999999</c:v>
                </c:pt>
                <c:pt idx="33">
                  <c:v>14.004899999999992</c:v>
                </c:pt>
                <c:pt idx="34">
                  <c:v>14.405040000000014</c:v>
                </c:pt>
                <c:pt idx="35">
                  <c:v>12.404340000000019</c:v>
                </c:pt>
                <c:pt idx="36">
                  <c:v>14.204970000000003</c:v>
                </c:pt>
                <c:pt idx="37">
                  <c:v>14.204970000000003</c:v>
                </c:pt>
                <c:pt idx="38">
                  <c:v>14.004899999999992</c:v>
                </c:pt>
                <c:pt idx="39">
                  <c:v>13.004549999999995</c:v>
                </c:pt>
                <c:pt idx="40">
                  <c:v>12.004199999999983</c:v>
                </c:pt>
                <c:pt idx="41">
                  <c:v>15.005250000000018</c:v>
                </c:pt>
                <c:pt idx="42">
                  <c:v>15.40539000000004</c:v>
                </c:pt>
                <c:pt idx="43">
                  <c:v>14.004899999999992</c:v>
                </c:pt>
                <c:pt idx="44">
                  <c:v>13.604759999999999</c:v>
                </c:pt>
                <c:pt idx="45">
                  <c:v>15.20532</c:v>
                </c:pt>
                <c:pt idx="46">
                  <c:v>14.805180000000007</c:v>
                </c:pt>
                <c:pt idx="47">
                  <c:v>14.805180000000007</c:v>
                </c:pt>
                <c:pt idx="48">
                  <c:v>14.004899999999992</c:v>
                </c:pt>
                <c:pt idx="49">
                  <c:v>15.20532</c:v>
                </c:pt>
                <c:pt idx="50">
                  <c:v>14.605110000000025</c:v>
                </c:pt>
                <c:pt idx="51">
                  <c:v>13.004549999999995</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1</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1.4285714285714286</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(points)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125.55336226415092</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12.092910283018867</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141.378809869376</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0.94339622641509435</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(points)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539.6</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56.799999999999955</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152</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(Points)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2"/>
                <c:lvl>
                  <c:pt idx="0">
                    <c:v>Apr</c:v>
                  </c:pt>
                  <c:pt idx="3">
                    <c:v>May</c:v>
                  </c:pt>
                  <c:pt idx="7">
                    <c:v>Jun</c:v>
                  </c:pt>
                  <c:pt idx="12">
                    <c:v>Jul</c:v>
                  </c:pt>
                  <c:pt idx="16">
                    <c:v>Aug</c:v>
                  </c:pt>
                  <c:pt idx="21">
                    <c:v>Sep</c:v>
                  </c:pt>
                  <c:pt idx="25">
                    <c:v>Oct</c:v>
                  </c:pt>
                  <c:pt idx="29">
                    <c:v>Nov</c:v>
                  </c:pt>
                  <c:pt idx="34">
                    <c:v>Dec</c:v>
                  </c:pt>
                  <c:pt idx="38">
                    <c:v>Jan</c:v>
                  </c:pt>
                  <c:pt idx="42">
                    <c:v>Feb</c:v>
                  </c:pt>
                  <c:pt idx="46">
                    <c:v>Mar</c:v>
                  </c:pt>
                  <c:pt idx="51">
                    <c:v>Apr</c:v>
                  </c:pt>
                </c:lvl>
                <c:lvl>
                  <c:pt idx="0">
                    <c:v>2020</c:v>
                  </c:pt>
                  <c:pt idx="38">
                    <c:v>2021</c:v>
                  </c:pt>
                </c:lvl>
              </c:multiLvlStrCache>
            </c:multiLvlStrRef>
          </c:cat>
          <c:val>
            <c:numRef>
              <c:f>'Summary Calculations (hide)'!$T$15:$T$66</c:f>
              <c:numCache>
                <c:formatCode>#,##0</c:formatCode>
                <c:ptCount val="52"/>
                <c:pt idx="0">
                  <c:v>10.003499999999999</c:v>
                </c:pt>
                <c:pt idx="1">
                  <c:v>10.003499999999999</c:v>
                </c:pt>
                <c:pt idx="2">
                  <c:v>10.003499999999999</c:v>
                </c:pt>
                <c:pt idx="3">
                  <c:v>10.003499999999999</c:v>
                </c:pt>
                <c:pt idx="4">
                  <c:v>10.003499999999999</c:v>
                </c:pt>
                <c:pt idx="5">
                  <c:v>43.015050000000002</c:v>
                </c:pt>
                <c:pt idx="6">
                  <c:v>76.026600000000002</c:v>
                </c:pt>
                <c:pt idx="7">
                  <c:v>109.03814999999999</c:v>
                </c:pt>
                <c:pt idx="8">
                  <c:v>142.0497</c:v>
                </c:pt>
                <c:pt idx="9">
                  <c:v>162.05670000000001</c:v>
                </c:pt>
                <c:pt idx="10">
                  <c:v>174.06089999999998</c:v>
                </c:pt>
                <c:pt idx="11">
                  <c:v>160.05599999999998</c:v>
                </c:pt>
                <c:pt idx="12">
                  <c:v>130.0455</c:v>
                </c:pt>
                <c:pt idx="13">
                  <c:v>146.05109999999999</c:v>
                </c:pt>
                <c:pt idx="14">
                  <c:v>138.04829999999998</c:v>
                </c:pt>
                <c:pt idx="15">
                  <c:v>126.04409999999999</c:v>
                </c:pt>
                <c:pt idx="16">
                  <c:v>152.0532</c:v>
                </c:pt>
                <c:pt idx="17">
                  <c:v>128.04479999999998</c:v>
                </c:pt>
                <c:pt idx="18">
                  <c:v>152.0532</c:v>
                </c:pt>
                <c:pt idx="19">
                  <c:v>138.04829999999998</c:v>
                </c:pt>
                <c:pt idx="20">
                  <c:v>160.05599999999998</c:v>
                </c:pt>
                <c:pt idx="21">
                  <c:v>146.05109999999999</c:v>
                </c:pt>
                <c:pt idx="22">
                  <c:v>148.05179999999999</c:v>
                </c:pt>
                <c:pt idx="23">
                  <c:v>130.0455</c:v>
                </c:pt>
                <c:pt idx="24">
                  <c:v>130.0455</c:v>
                </c:pt>
                <c:pt idx="25">
                  <c:v>120.04199999999999</c:v>
                </c:pt>
                <c:pt idx="26">
                  <c:v>124.04339999999999</c:v>
                </c:pt>
                <c:pt idx="27">
                  <c:v>140.04899999999998</c:v>
                </c:pt>
                <c:pt idx="28">
                  <c:v>148.05179999999999</c:v>
                </c:pt>
                <c:pt idx="29">
                  <c:v>150.05249999999998</c:v>
                </c:pt>
                <c:pt idx="30">
                  <c:v>142.0497</c:v>
                </c:pt>
                <c:pt idx="31">
                  <c:v>132.04619999999997</c:v>
                </c:pt>
                <c:pt idx="32">
                  <c:v>136.04759999999999</c:v>
                </c:pt>
                <c:pt idx="33">
                  <c:v>140.04899999999998</c:v>
                </c:pt>
                <c:pt idx="34">
                  <c:v>144.05039999999997</c:v>
                </c:pt>
                <c:pt idx="35">
                  <c:v>124.04339999999999</c:v>
                </c:pt>
                <c:pt idx="36">
                  <c:v>142.0497</c:v>
                </c:pt>
                <c:pt idx="37">
                  <c:v>142.0497</c:v>
                </c:pt>
                <c:pt idx="38">
                  <c:v>140.04899999999998</c:v>
                </c:pt>
                <c:pt idx="39">
                  <c:v>130.0455</c:v>
                </c:pt>
                <c:pt idx="40">
                  <c:v>120.04199999999999</c:v>
                </c:pt>
                <c:pt idx="41">
                  <c:v>150.05249999999998</c:v>
                </c:pt>
                <c:pt idx="42">
                  <c:v>154.05389999999997</c:v>
                </c:pt>
                <c:pt idx="43">
                  <c:v>140.04899999999998</c:v>
                </c:pt>
                <c:pt idx="44">
                  <c:v>136.04759999999999</c:v>
                </c:pt>
                <c:pt idx="45">
                  <c:v>152.0532</c:v>
                </c:pt>
                <c:pt idx="46">
                  <c:v>148.05179999999999</c:v>
                </c:pt>
                <c:pt idx="47">
                  <c:v>148.05179999999999</c:v>
                </c:pt>
                <c:pt idx="48">
                  <c:v>140.04899999999998</c:v>
                </c:pt>
                <c:pt idx="49">
                  <c:v>152.0532</c:v>
                </c:pt>
                <c:pt idx="50">
                  <c:v>146.05109999999999</c:v>
                </c:pt>
                <c:pt idx="51">
                  <c:v>130.0455</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2"/>
                <c:lvl>
                  <c:pt idx="0">
                    <c:v>Apr</c:v>
                  </c:pt>
                  <c:pt idx="3">
                    <c:v>May</c:v>
                  </c:pt>
                  <c:pt idx="7">
                    <c:v>Jun</c:v>
                  </c:pt>
                  <c:pt idx="12">
                    <c:v>Jul</c:v>
                  </c:pt>
                  <c:pt idx="16">
                    <c:v>Aug</c:v>
                  </c:pt>
                  <c:pt idx="21">
                    <c:v>Sep</c:v>
                  </c:pt>
                  <c:pt idx="25">
                    <c:v>Oct</c:v>
                  </c:pt>
                  <c:pt idx="29">
                    <c:v>Nov</c:v>
                  </c:pt>
                  <c:pt idx="34">
                    <c:v>Dec</c:v>
                  </c:pt>
                  <c:pt idx="38">
                    <c:v>Jan</c:v>
                  </c:pt>
                  <c:pt idx="42">
                    <c:v>Feb</c:v>
                  </c:pt>
                  <c:pt idx="46">
                    <c:v>Mar</c:v>
                  </c:pt>
                  <c:pt idx="51">
                    <c:v>Apr</c:v>
                  </c:pt>
                </c:lvl>
                <c:lvl>
                  <c:pt idx="0">
                    <c:v>2020</c:v>
                  </c:pt>
                  <c:pt idx="38">
                    <c:v>2021</c:v>
                  </c:pt>
                </c:lvl>
              </c:multiLvlStrCache>
            </c:multiLvlStrRef>
          </c:cat>
          <c:val>
            <c:numRef>
              <c:f>'Summary Calculations (hide)'!$U$15:$U$66</c:f>
              <c:numCache>
                <c:formatCode>#,##0</c:formatCode>
                <c:ptCount val="52"/>
                <c:pt idx="0">
                  <c:v>3.0010499999999993</c:v>
                </c:pt>
                <c:pt idx="1">
                  <c:v>3.0010499999999993</c:v>
                </c:pt>
                <c:pt idx="2">
                  <c:v>3.0010499999999993</c:v>
                </c:pt>
                <c:pt idx="3">
                  <c:v>3.0010499999999993</c:v>
                </c:pt>
                <c:pt idx="4">
                  <c:v>3.0010499999999993</c:v>
                </c:pt>
                <c:pt idx="5">
                  <c:v>3.0010499999999922</c:v>
                </c:pt>
                <c:pt idx="6">
                  <c:v>3.0010499999999922</c:v>
                </c:pt>
                <c:pt idx="7">
                  <c:v>3.0010499999999922</c:v>
                </c:pt>
                <c:pt idx="8">
                  <c:v>3.0010499999999922</c:v>
                </c:pt>
                <c:pt idx="9">
                  <c:v>14.004899999999964</c:v>
                </c:pt>
                <c:pt idx="10">
                  <c:v>15.205320000000029</c:v>
                </c:pt>
                <c:pt idx="11">
                  <c:v>13.80483000000001</c:v>
                </c:pt>
                <c:pt idx="12">
                  <c:v>12.004199999999997</c:v>
                </c:pt>
                <c:pt idx="13">
                  <c:v>13.604759999999999</c:v>
                </c:pt>
                <c:pt idx="14">
                  <c:v>13.80483000000001</c:v>
                </c:pt>
                <c:pt idx="15">
                  <c:v>12.60441000000003</c:v>
                </c:pt>
                <c:pt idx="16">
                  <c:v>15.20532</c:v>
                </c:pt>
                <c:pt idx="17">
                  <c:v>12.804480000000012</c:v>
                </c:pt>
                <c:pt idx="18">
                  <c:v>15.20532</c:v>
                </c:pt>
                <c:pt idx="19">
                  <c:v>13.80483000000001</c:v>
                </c:pt>
                <c:pt idx="20">
                  <c:v>16.005599999999987</c:v>
                </c:pt>
                <c:pt idx="21">
                  <c:v>14.605110000000025</c:v>
                </c:pt>
                <c:pt idx="22">
                  <c:v>14.805180000000007</c:v>
                </c:pt>
                <c:pt idx="23">
                  <c:v>13.004549999999995</c:v>
                </c:pt>
                <c:pt idx="24">
                  <c:v>13.004549999999995</c:v>
                </c:pt>
                <c:pt idx="25">
                  <c:v>12.004199999999983</c:v>
                </c:pt>
                <c:pt idx="26">
                  <c:v>12.404340000000019</c:v>
                </c:pt>
                <c:pt idx="27">
                  <c:v>14.004899999999992</c:v>
                </c:pt>
                <c:pt idx="28">
                  <c:v>14.805180000000007</c:v>
                </c:pt>
                <c:pt idx="29">
                  <c:v>15.005250000000018</c:v>
                </c:pt>
                <c:pt idx="30">
                  <c:v>14.204970000000003</c:v>
                </c:pt>
                <c:pt idx="31">
                  <c:v>13.204620000000006</c:v>
                </c:pt>
                <c:pt idx="32">
                  <c:v>13.604759999999999</c:v>
                </c:pt>
                <c:pt idx="33">
                  <c:v>14.004899999999992</c:v>
                </c:pt>
                <c:pt idx="34">
                  <c:v>14.405040000000014</c:v>
                </c:pt>
                <c:pt idx="35">
                  <c:v>12.404340000000019</c:v>
                </c:pt>
                <c:pt idx="36">
                  <c:v>14.204970000000003</c:v>
                </c:pt>
                <c:pt idx="37">
                  <c:v>14.204970000000003</c:v>
                </c:pt>
                <c:pt idx="38">
                  <c:v>14.004899999999992</c:v>
                </c:pt>
                <c:pt idx="39">
                  <c:v>13.004549999999995</c:v>
                </c:pt>
                <c:pt idx="40">
                  <c:v>12.004199999999983</c:v>
                </c:pt>
                <c:pt idx="41">
                  <c:v>15.005250000000018</c:v>
                </c:pt>
                <c:pt idx="42">
                  <c:v>15.40539000000004</c:v>
                </c:pt>
                <c:pt idx="43">
                  <c:v>14.004899999999992</c:v>
                </c:pt>
                <c:pt idx="44">
                  <c:v>13.604759999999999</c:v>
                </c:pt>
                <c:pt idx="45">
                  <c:v>15.20532</c:v>
                </c:pt>
                <c:pt idx="46">
                  <c:v>14.805180000000007</c:v>
                </c:pt>
                <c:pt idx="47">
                  <c:v>14.805180000000007</c:v>
                </c:pt>
                <c:pt idx="48">
                  <c:v>14.004899999999992</c:v>
                </c:pt>
                <c:pt idx="49">
                  <c:v>15.20532</c:v>
                </c:pt>
                <c:pt idx="50">
                  <c:v>14.605110000000025</c:v>
                </c:pt>
                <c:pt idx="51">
                  <c:v>13.004549999999995</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2"/>
                <c:lvl>
                  <c:pt idx="0">
                    <c:v>Apr</c:v>
                  </c:pt>
                  <c:pt idx="3">
                    <c:v>May</c:v>
                  </c:pt>
                  <c:pt idx="7">
                    <c:v>Jun</c:v>
                  </c:pt>
                  <c:pt idx="12">
                    <c:v>Jul</c:v>
                  </c:pt>
                  <c:pt idx="16">
                    <c:v>Aug</c:v>
                  </c:pt>
                  <c:pt idx="21">
                    <c:v>Sep</c:v>
                  </c:pt>
                  <c:pt idx="25">
                    <c:v>Oct</c:v>
                  </c:pt>
                  <c:pt idx="29">
                    <c:v>Nov</c:v>
                  </c:pt>
                  <c:pt idx="34">
                    <c:v>Dec</c:v>
                  </c:pt>
                  <c:pt idx="38">
                    <c:v>Jan</c:v>
                  </c:pt>
                  <c:pt idx="42">
                    <c:v>Feb</c:v>
                  </c:pt>
                  <c:pt idx="46">
                    <c:v>Mar</c:v>
                  </c:pt>
                  <c:pt idx="51">
                    <c:v>Apr</c:v>
                  </c:pt>
                </c:lvl>
                <c:lvl>
                  <c:pt idx="0">
                    <c:v>2020</c:v>
                  </c:pt>
                  <c:pt idx="38">
                    <c:v>2021</c:v>
                  </c:pt>
                </c:lvl>
              </c:multiLvlStrCache>
            </c:multiLvlStrRef>
          </c:cat>
          <c:val>
            <c:numRef>
              <c:f>'WL PI Backing (hide)'!$AA$13:$AA$64</c:f>
              <c:numCache>
                <c:formatCode>General</c:formatCode>
                <c:ptCount val="52"/>
                <c:pt idx="0">
                  <c:v>539.6</c:v>
                </c:pt>
                <c:pt idx="1">
                  <c:v>539.6</c:v>
                </c:pt>
                <c:pt idx="2">
                  <c:v>539.6</c:v>
                </c:pt>
                <c:pt idx="3">
                  <c:v>539.6</c:v>
                </c:pt>
                <c:pt idx="4">
                  <c:v>539.6</c:v>
                </c:pt>
                <c:pt idx="5">
                  <c:v>539.6</c:v>
                </c:pt>
                <c:pt idx="6">
                  <c:v>539.6</c:v>
                </c:pt>
                <c:pt idx="7">
                  <c:v>539.6</c:v>
                </c:pt>
                <c:pt idx="8">
                  <c:v>539.6</c:v>
                </c:pt>
                <c:pt idx="9">
                  <c:v>539.6</c:v>
                </c:pt>
                <c:pt idx="10">
                  <c:v>539.6</c:v>
                </c:pt>
                <c:pt idx="11">
                  <c:v>539.6</c:v>
                </c:pt>
                <c:pt idx="12">
                  <c:v>539.6</c:v>
                </c:pt>
                <c:pt idx="13">
                  <c:v>539.6</c:v>
                </c:pt>
                <c:pt idx="14">
                  <c:v>539.6</c:v>
                </c:pt>
                <c:pt idx="15">
                  <c:v>539.6</c:v>
                </c:pt>
                <c:pt idx="16">
                  <c:v>539.6</c:v>
                </c:pt>
                <c:pt idx="17">
                  <c:v>539.6</c:v>
                </c:pt>
                <c:pt idx="18">
                  <c:v>539.6</c:v>
                </c:pt>
                <c:pt idx="19">
                  <c:v>539.6</c:v>
                </c:pt>
                <c:pt idx="20">
                  <c:v>539.6</c:v>
                </c:pt>
                <c:pt idx="21">
                  <c:v>539.6</c:v>
                </c:pt>
                <c:pt idx="22">
                  <c:v>539.6</c:v>
                </c:pt>
                <c:pt idx="23">
                  <c:v>539.6</c:v>
                </c:pt>
                <c:pt idx="24">
                  <c:v>539.6</c:v>
                </c:pt>
                <c:pt idx="25">
                  <c:v>539.6</c:v>
                </c:pt>
                <c:pt idx="26">
                  <c:v>539.6</c:v>
                </c:pt>
                <c:pt idx="27">
                  <c:v>539.6</c:v>
                </c:pt>
                <c:pt idx="28">
                  <c:v>539.6</c:v>
                </c:pt>
                <c:pt idx="29">
                  <c:v>539.6</c:v>
                </c:pt>
                <c:pt idx="30">
                  <c:v>539.6</c:v>
                </c:pt>
                <c:pt idx="31">
                  <c:v>539.6</c:v>
                </c:pt>
                <c:pt idx="32">
                  <c:v>539.6</c:v>
                </c:pt>
                <c:pt idx="33">
                  <c:v>539.6</c:v>
                </c:pt>
                <c:pt idx="34">
                  <c:v>539.6</c:v>
                </c:pt>
                <c:pt idx="35">
                  <c:v>539.6</c:v>
                </c:pt>
                <c:pt idx="36">
                  <c:v>539.6</c:v>
                </c:pt>
                <c:pt idx="37">
                  <c:v>539.6</c:v>
                </c:pt>
                <c:pt idx="38">
                  <c:v>539.6</c:v>
                </c:pt>
                <c:pt idx="39">
                  <c:v>539.6</c:v>
                </c:pt>
                <c:pt idx="40">
                  <c:v>539.6</c:v>
                </c:pt>
                <c:pt idx="41">
                  <c:v>539.6</c:v>
                </c:pt>
                <c:pt idx="42">
                  <c:v>539.6</c:v>
                </c:pt>
                <c:pt idx="43">
                  <c:v>539.6</c:v>
                </c:pt>
                <c:pt idx="44">
                  <c:v>539.6</c:v>
                </c:pt>
                <c:pt idx="45">
                  <c:v>539.6</c:v>
                </c:pt>
                <c:pt idx="46">
                  <c:v>539.6</c:v>
                </c:pt>
                <c:pt idx="47">
                  <c:v>539.6</c:v>
                </c:pt>
                <c:pt idx="48">
                  <c:v>539.6</c:v>
                </c:pt>
                <c:pt idx="49">
                  <c:v>539.6</c:v>
                </c:pt>
                <c:pt idx="50">
                  <c:v>539.6</c:v>
                </c:pt>
                <c:pt idx="51">
                  <c:v>539.6</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2"/>
                <c:lvl>
                  <c:pt idx="0">
                    <c:v>Apr</c:v>
                  </c:pt>
                  <c:pt idx="3">
                    <c:v>May</c:v>
                  </c:pt>
                  <c:pt idx="7">
                    <c:v>Jun</c:v>
                  </c:pt>
                  <c:pt idx="12">
                    <c:v>Jul</c:v>
                  </c:pt>
                  <c:pt idx="16">
                    <c:v>Aug</c:v>
                  </c:pt>
                  <c:pt idx="21">
                    <c:v>Sep</c:v>
                  </c:pt>
                  <c:pt idx="25">
                    <c:v>Oct</c:v>
                  </c:pt>
                  <c:pt idx="29">
                    <c:v>Nov</c:v>
                  </c:pt>
                  <c:pt idx="34">
                    <c:v>Dec</c:v>
                  </c:pt>
                  <c:pt idx="38">
                    <c:v>Jan</c:v>
                  </c:pt>
                  <c:pt idx="42">
                    <c:v>Feb</c:v>
                  </c:pt>
                  <c:pt idx="46">
                    <c:v>Mar</c:v>
                  </c:pt>
                  <c:pt idx="51">
                    <c:v>Apr</c:v>
                  </c:pt>
                </c:lvl>
                <c:lvl>
                  <c:pt idx="0">
                    <c:v>2020</c:v>
                  </c:pt>
                  <c:pt idx="38">
                    <c:v>2021</c:v>
                  </c:pt>
                </c:lvl>
              </c:multiLvlStrCache>
            </c:multiLvlStrRef>
          </c:cat>
          <c:val>
            <c:numRef>
              <c:f>'WL PI Backing (hide)'!$AC$13:$AC$64</c:f>
              <c:numCache>
                <c:formatCode>General</c:formatCode>
                <c:ptCount val="52"/>
                <c:pt idx="0">
                  <c:v>56.799999999999955</c:v>
                </c:pt>
                <c:pt idx="1">
                  <c:v>56.799999999999955</c:v>
                </c:pt>
                <c:pt idx="2">
                  <c:v>56.799999999999955</c:v>
                </c:pt>
                <c:pt idx="3">
                  <c:v>56.799999999999955</c:v>
                </c:pt>
                <c:pt idx="4">
                  <c:v>56.799999999999955</c:v>
                </c:pt>
                <c:pt idx="5">
                  <c:v>56.799999999999955</c:v>
                </c:pt>
                <c:pt idx="6">
                  <c:v>56.799999999999955</c:v>
                </c:pt>
                <c:pt idx="7">
                  <c:v>56.799999999999955</c:v>
                </c:pt>
                <c:pt idx="8">
                  <c:v>56.799999999999955</c:v>
                </c:pt>
                <c:pt idx="9">
                  <c:v>56.799999999999955</c:v>
                </c:pt>
                <c:pt idx="10">
                  <c:v>56.799999999999955</c:v>
                </c:pt>
                <c:pt idx="11">
                  <c:v>56.799999999999955</c:v>
                </c:pt>
                <c:pt idx="12">
                  <c:v>56.799999999999955</c:v>
                </c:pt>
                <c:pt idx="13">
                  <c:v>56.799999999999955</c:v>
                </c:pt>
                <c:pt idx="14">
                  <c:v>56.799999999999955</c:v>
                </c:pt>
                <c:pt idx="15">
                  <c:v>56.799999999999955</c:v>
                </c:pt>
                <c:pt idx="16">
                  <c:v>56.799999999999955</c:v>
                </c:pt>
                <c:pt idx="17">
                  <c:v>56.799999999999955</c:v>
                </c:pt>
                <c:pt idx="18">
                  <c:v>56.799999999999955</c:v>
                </c:pt>
                <c:pt idx="19">
                  <c:v>56.799999999999955</c:v>
                </c:pt>
                <c:pt idx="20">
                  <c:v>56.799999999999955</c:v>
                </c:pt>
                <c:pt idx="21">
                  <c:v>56.799999999999955</c:v>
                </c:pt>
                <c:pt idx="22">
                  <c:v>56.799999999999955</c:v>
                </c:pt>
                <c:pt idx="23">
                  <c:v>56.799999999999955</c:v>
                </c:pt>
                <c:pt idx="24">
                  <c:v>56.799999999999955</c:v>
                </c:pt>
                <c:pt idx="25">
                  <c:v>56.799999999999955</c:v>
                </c:pt>
                <c:pt idx="26">
                  <c:v>56.799999999999955</c:v>
                </c:pt>
                <c:pt idx="27">
                  <c:v>56.799999999999955</c:v>
                </c:pt>
                <c:pt idx="28">
                  <c:v>56.799999999999955</c:v>
                </c:pt>
                <c:pt idx="29">
                  <c:v>56.799999999999955</c:v>
                </c:pt>
                <c:pt idx="30">
                  <c:v>56.799999999999955</c:v>
                </c:pt>
                <c:pt idx="31">
                  <c:v>56.799999999999955</c:v>
                </c:pt>
                <c:pt idx="32">
                  <c:v>56.799999999999955</c:v>
                </c:pt>
                <c:pt idx="33">
                  <c:v>56.799999999999955</c:v>
                </c:pt>
                <c:pt idx="34">
                  <c:v>56.799999999999955</c:v>
                </c:pt>
                <c:pt idx="35">
                  <c:v>56.799999999999955</c:v>
                </c:pt>
                <c:pt idx="36">
                  <c:v>56.799999999999955</c:v>
                </c:pt>
                <c:pt idx="37">
                  <c:v>56.799999999999955</c:v>
                </c:pt>
                <c:pt idx="38">
                  <c:v>56.799999999999955</c:v>
                </c:pt>
                <c:pt idx="39">
                  <c:v>56.799999999999955</c:v>
                </c:pt>
                <c:pt idx="40">
                  <c:v>56.799999999999955</c:v>
                </c:pt>
                <c:pt idx="41">
                  <c:v>56.799999999999955</c:v>
                </c:pt>
                <c:pt idx="42">
                  <c:v>56.799999999999955</c:v>
                </c:pt>
                <c:pt idx="43">
                  <c:v>56.799999999999955</c:v>
                </c:pt>
                <c:pt idx="44">
                  <c:v>56.799999999999955</c:v>
                </c:pt>
                <c:pt idx="45">
                  <c:v>56.799999999999955</c:v>
                </c:pt>
                <c:pt idx="46">
                  <c:v>56.799999999999955</c:v>
                </c:pt>
                <c:pt idx="47">
                  <c:v>56.799999999999955</c:v>
                </c:pt>
                <c:pt idx="48">
                  <c:v>56.799999999999955</c:v>
                </c:pt>
                <c:pt idx="49">
                  <c:v>56.799999999999955</c:v>
                </c:pt>
                <c:pt idx="50">
                  <c:v>56.799999999999955</c:v>
                </c:pt>
                <c:pt idx="51">
                  <c:v>56.799999999999955</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'Planning (hide)'!$AD$4:$AD$55</c:f>
              <c:numCache>
                <c:formatCode>General</c:formatCode>
                <c:ptCount val="52"/>
                <c:pt idx="0">
                  <c:v>10.003499999999999</c:v>
                </c:pt>
                <c:pt idx="1">
                  <c:v>10.003499999999999</c:v>
                </c:pt>
                <c:pt idx="2">
                  <c:v>10.003499999999999</c:v>
                </c:pt>
                <c:pt idx="3">
                  <c:v>10.003499999999999</c:v>
                </c:pt>
                <c:pt idx="4">
                  <c:v>10.003499999999999</c:v>
                </c:pt>
                <c:pt idx="5">
                  <c:v>43.015050000000002</c:v>
                </c:pt>
                <c:pt idx="6">
                  <c:v>76.026600000000002</c:v>
                </c:pt>
                <c:pt idx="7">
                  <c:v>109.03814999999999</c:v>
                </c:pt>
                <c:pt idx="8">
                  <c:v>142.0497</c:v>
                </c:pt>
                <c:pt idx="9">
                  <c:v>162.05670000000001</c:v>
                </c:pt>
                <c:pt idx="10">
                  <c:v>174.06089999999998</c:v>
                </c:pt>
                <c:pt idx="11">
                  <c:v>160.05599999999998</c:v>
                </c:pt>
                <c:pt idx="12">
                  <c:v>130.0455</c:v>
                </c:pt>
                <c:pt idx="13">
                  <c:v>146.05109999999999</c:v>
                </c:pt>
                <c:pt idx="14">
                  <c:v>138.04829999999998</c:v>
                </c:pt>
                <c:pt idx="15">
                  <c:v>126.04409999999999</c:v>
                </c:pt>
                <c:pt idx="16">
                  <c:v>152.0532</c:v>
                </c:pt>
                <c:pt idx="17">
                  <c:v>128.04479999999998</c:v>
                </c:pt>
                <c:pt idx="18">
                  <c:v>152.0532</c:v>
                </c:pt>
                <c:pt idx="19">
                  <c:v>138.04829999999998</c:v>
                </c:pt>
                <c:pt idx="20">
                  <c:v>160.05599999999998</c:v>
                </c:pt>
                <c:pt idx="21">
                  <c:v>146.05109999999999</c:v>
                </c:pt>
                <c:pt idx="22">
                  <c:v>148.05179999999999</c:v>
                </c:pt>
                <c:pt idx="23">
                  <c:v>130.0455</c:v>
                </c:pt>
                <c:pt idx="24">
                  <c:v>130.0455</c:v>
                </c:pt>
                <c:pt idx="25">
                  <c:v>120.04199999999999</c:v>
                </c:pt>
                <c:pt idx="26">
                  <c:v>124.04339999999999</c:v>
                </c:pt>
                <c:pt idx="27">
                  <c:v>140.04899999999998</c:v>
                </c:pt>
                <c:pt idx="28">
                  <c:v>148.05179999999999</c:v>
                </c:pt>
                <c:pt idx="29">
                  <c:v>150.05249999999998</c:v>
                </c:pt>
                <c:pt idx="30">
                  <c:v>142.0497</c:v>
                </c:pt>
                <c:pt idx="31">
                  <c:v>132.04619999999997</c:v>
                </c:pt>
                <c:pt idx="32">
                  <c:v>136.04759999999999</c:v>
                </c:pt>
                <c:pt idx="33">
                  <c:v>140.04899999999998</c:v>
                </c:pt>
                <c:pt idx="34">
                  <c:v>144.05039999999997</c:v>
                </c:pt>
                <c:pt idx="35">
                  <c:v>124.04339999999999</c:v>
                </c:pt>
                <c:pt idx="36">
                  <c:v>142.0497</c:v>
                </c:pt>
                <c:pt idx="37">
                  <c:v>140.04899999999998</c:v>
                </c:pt>
                <c:pt idx="38">
                  <c:v>130.0455</c:v>
                </c:pt>
                <c:pt idx="39">
                  <c:v>120.04199999999999</c:v>
                </c:pt>
                <c:pt idx="40">
                  <c:v>150.05249999999998</c:v>
                </c:pt>
                <c:pt idx="41">
                  <c:v>154.05389999999997</c:v>
                </c:pt>
                <c:pt idx="42">
                  <c:v>140.04899999999998</c:v>
                </c:pt>
                <c:pt idx="43">
                  <c:v>136.04759999999999</c:v>
                </c:pt>
                <c:pt idx="44">
                  <c:v>152.0532</c:v>
                </c:pt>
                <c:pt idx="45">
                  <c:v>148.05179999999999</c:v>
                </c:pt>
                <c:pt idx="46">
                  <c:v>148.05179999999999</c:v>
                </c:pt>
                <c:pt idx="47">
                  <c:v>140.04899999999998</c:v>
                </c:pt>
                <c:pt idx="48">
                  <c:v>152.0532</c:v>
                </c:pt>
                <c:pt idx="49">
                  <c:v>146.05109999999999</c:v>
                </c:pt>
                <c:pt idx="50">
                  <c:v>130.0455</c:v>
                </c:pt>
                <c:pt idx="51">
                  <c:v>142.0497</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'Planning (hide)'!$AE$4:$AE$55</c:f>
              <c:numCache>
                <c:formatCode>General</c:formatCode>
                <c:ptCount val="52"/>
                <c:pt idx="0">
                  <c:v>3.0010499999999993</c:v>
                </c:pt>
                <c:pt idx="1">
                  <c:v>3.0010499999999993</c:v>
                </c:pt>
                <c:pt idx="2">
                  <c:v>3.0010499999999993</c:v>
                </c:pt>
                <c:pt idx="3">
                  <c:v>3.0010499999999993</c:v>
                </c:pt>
                <c:pt idx="4">
                  <c:v>3.0010499999999993</c:v>
                </c:pt>
                <c:pt idx="5">
                  <c:v>3.0010499999999922</c:v>
                </c:pt>
                <c:pt idx="6">
                  <c:v>3.0010499999999922</c:v>
                </c:pt>
                <c:pt idx="7">
                  <c:v>3.0010499999999922</c:v>
                </c:pt>
                <c:pt idx="8">
                  <c:v>3.0010499999999922</c:v>
                </c:pt>
                <c:pt idx="9">
                  <c:v>14.004899999999964</c:v>
                </c:pt>
                <c:pt idx="10">
                  <c:v>15.205320000000029</c:v>
                </c:pt>
                <c:pt idx="11">
                  <c:v>13.80483000000001</c:v>
                </c:pt>
                <c:pt idx="12">
                  <c:v>12.004199999999997</c:v>
                </c:pt>
                <c:pt idx="13">
                  <c:v>13.604759999999999</c:v>
                </c:pt>
                <c:pt idx="14">
                  <c:v>13.80483000000001</c:v>
                </c:pt>
                <c:pt idx="15">
                  <c:v>12.60441000000003</c:v>
                </c:pt>
                <c:pt idx="16">
                  <c:v>15.20532</c:v>
                </c:pt>
                <c:pt idx="17">
                  <c:v>12.804480000000012</c:v>
                </c:pt>
                <c:pt idx="18">
                  <c:v>15.20532</c:v>
                </c:pt>
                <c:pt idx="19">
                  <c:v>13.80483000000001</c:v>
                </c:pt>
                <c:pt idx="20">
                  <c:v>16.005599999999987</c:v>
                </c:pt>
                <c:pt idx="21">
                  <c:v>14.605110000000025</c:v>
                </c:pt>
                <c:pt idx="22">
                  <c:v>14.805180000000007</c:v>
                </c:pt>
                <c:pt idx="23">
                  <c:v>13.004549999999995</c:v>
                </c:pt>
                <c:pt idx="24">
                  <c:v>13.004549999999995</c:v>
                </c:pt>
                <c:pt idx="25">
                  <c:v>12.004199999999983</c:v>
                </c:pt>
                <c:pt idx="26">
                  <c:v>12.404340000000019</c:v>
                </c:pt>
                <c:pt idx="27">
                  <c:v>14.004899999999992</c:v>
                </c:pt>
                <c:pt idx="28">
                  <c:v>14.805180000000007</c:v>
                </c:pt>
                <c:pt idx="29">
                  <c:v>15.005250000000018</c:v>
                </c:pt>
                <c:pt idx="30">
                  <c:v>14.204970000000003</c:v>
                </c:pt>
                <c:pt idx="31">
                  <c:v>13.204620000000006</c:v>
                </c:pt>
                <c:pt idx="32">
                  <c:v>13.604759999999999</c:v>
                </c:pt>
                <c:pt idx="33">
                  <c:v>14.004899999999992</c:v>
                </c:pt>
                <c:pt idx="34">
                  <c:v>14.405040000000014</c:v>
                </c:pt>
                <c:pt idx="35">
                  <c:v>12.404340000000019</c:v>
                </c:pt>
                <c:pt idx="36">
                  <c:v>14.204970000000003</c:v>
                </c:pt>
                <c:pt idx="37">
                  <c:v>14.004899999999992</c:v>
                </c:pt>
                <c:pt idx="38">
                  <c:v>13.004549999999995</c:v>
                </c:pt>
                <c:pt idx="39">
                  <c:v>12.004199999999983</c:v>
                </c:pt>
                <c:pt idx="40">
                  <c:v>15.005250000000018</c:v>
                </c:pt>
                <c:pt idx="41">
                  <c:v>15.40539000000004</c:v>
                </c:pt>
                <c:pt idx="42">
                  <c:v>14.004899999999992</c:v>
                </c:pt>
                <c:pt idx="43">
                  <c:v>13.604759999999999</c:v>
                </c:pt>
                <c:pt idx="44">
                  <c:v>15.20532</c:v>
                </c:pt>
                <c:pt idx="45">
                  <c:v>14.805180000000007</c:v>
                </c:pt>
                <c:pt idx="46">
                  <c:v>14.805180000000007</c:v>
                </c:pt>
                <c:pt idx="47">
                  <c:v>14.004899999999992</c:v>
                </c:pt>
                <c:pt idx="48">
                  <c:v>15.20532</c:v>
                </c:pt>
                <c:pt idx="49">
                  <c:v>14.605110000000025</c:v>
                </c:pt>
                <c:pt idx="50">
                  <c:v>13.004549999999995</c:v>
                </c:pt>
                <c:pt idx="51">
                  <c:v>13.304654999999997</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15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171.53846153846155</c:v>
                </c:pt>
                <c:pt idx="13">
                  <c:v>171.53846153846155</c:v>
                </c:pt>
                <c:pt idx="14">
                  <c:v>171.53846153846155</c:v>
                </c:pt>
                <c:pt idx="15">
                  <c:v>161.53846153846155</c:v>
                </c:pt>
                <c:pt idx="16">
                  <c:v>171.53846153846155</c:v>
                </c:pt>
                <c:pt idx="17">
                  <c:v>171.53846153846155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171.53846153846155</c:v>
                </c:pt>
                <c:pt idx="13">
                  <c:v>171.53846153846155</c:v>
                </c:pt>
                <c:pt idx="14">
                  <c:v>171.53846153846155</c:v>
                </c:pt>
                <c:pt idx="15">
                  <c:v>161.53846153846155</c:v>
                </c:pt>
                <c:pt idx="16">
                  <c:v>171.53846153846155</c:v>
                </c:pt>
                <c:pt idx="17">
                  <c:v>171.53846153846155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1" val="0"/>
</file>

<file path=xl/ctrlProps/ctrlProp5.xml><?xml version="1.0" encoding="utf-8"?>
<formControlPr xmlns="http://schemas.microsoft.com/office/spreadsheetml/2009/9/main" objectType="Drop" dropStyle="combo" dx="22" fmlaLink="'SPC background (hide)'!$C$5" fmlaRange="Range_S1End" noThreeD="1" sel="1"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5</xdr:row>
          <xdr:rowOff>2982</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23</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8.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2.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3"/>
  <sheetViews>
    <sheetView showGridLines="0" workbookViewId="0">
      <selection activeCell="D4" sqref="D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6" t="s">
        <v>0</v>
      </c>
      <c r="B2" s="286" t="s">
        <v>1</v>
      </c>
      <c r="C2" s="286" t="s">
        <v>2</v>
      </c>
      <c r="D2" s="286" t="s">
        <v>3</v>
      </c>
      <c r="E2" s="286" t="s">
        <v>11</v>
      </c>
    </row>
    <row r="3" spans="1:5" s="67" customFormat="1" ht="151.80000000000001" x14ac:dyDescent="0.25">
      <c r="A3" s="290">
        <v>3.4</v>
      </c>
      <c r="B3" s="291">
        <v>43993</v>
      </c>
      <c r="C3" s="290" t="s">
        <v>5</v>
      </c>
      <c r="D3" s="293" t="s">
        <v>1246</v>
      </c>
      <c r="E3" s="293" t="s">
        <v>1245</v>
      </c>
    </row>
    <row r="4" spans="1:5" s="67" customFormat="1" ht="138" x14ac:dyDescent="0.25">
      <c r="A4" s="290">
        <v>3.3</v>
      </c>
      <c r="B4" s="291">
        <v>43980</v>
      </c>
      <c r="C4" s="290" t="s">
        <v>5</v>
      </c>
      <c r="D4" s="293" t="s">
        <v>1240</v>
      </c>
      <c r="E4" s="290"/>
    </row>
    <row r="5" spans="1:5" s="67" customFormat="1" ht="41.4" x14ac:dyDescent="0.25">
      <c r="A5" s="353">
        <v>3.2</v>
      </c>
      <c r="B5" s="291">
        <v>43965</v>
      </c>
      <c r="C5" s="290" t="s">
        <v>5</v>
      </c>
      <c r="D5" s="293" t="s">
        <v>1222</v>
      </c>
      <c r="E5" s="293"/>
    </row>
    <row r="6" spans="1:5" s="67" customFormat="1" ht="41.4" x14ac:dyDescent="0.25">
      <c r="A6" s="353">
        <v>3.1</v>
      </c>
      <c r="B6" s="291">
        <v>43964</v>
      </c>
      <c r="C6" s="290" t="s">
        <v>5</v>
      </c>
      <c r="D6" s="293" t="s">
        <v>1216</v>
      </c>
      <c r="E6" s="293"/>
    </row>
    <row r="7" spans="1:5" s="67" customFormat="1" ht="96.6" x14ac:dyDescent="0.25">
      <c r="A7" s="353">
        <v>3</v>
      </c>
      <c r="B7" s="291">
        <v>43963</v>
      </c>
      <c r="C7" s="290" t="s">
        <v>5</v>
      </c>
      <c r="D7" s="293" t="s">
        <v>1210</v>
      </c>
      <c r="E7" s="293" t="s">
        <v>1211</v>
      </c>
    </row>
    <row r="8" spans="1:5" s="67" customFormat="1" ht="69" x14ac:dyDescent="0.25">
      <c r="A8" s="290">
        <v>2.13</v>
      </c>
      <c r="B8" s="291">
        <v>43903</v>
      </c>
      <c r="C8" s="290" t="s">
        <v>5</v>
      </c>
      <c r="D8" s="293" t="s">
        <v>1181</v>
      </c>
      <c r="E8" s="286"/>
    </row>
    <row r="9" spans="1:5" s="67" customFormat="1" ht="27.6" x14ac:dyDescent="0.25">
      <c r="A9" s="290">
        <v>2.12</v>
      </c>
      <c r="B9" s="291">
        <v>43887</v>
      </c>
      <c r="C9" s="290" t="s">
        <v>276</v>
      </c>
      <c r="D9" s="293" t="s">
        <v>1182</v>
      </c>
      <c r="E9" s="286"/>
    </row>
    <row r="10" spans="1:5" s="67" customFormat="1" ht="55.2" x14ac:dyDescent="0.25">
      <c r="A10" s="290">
        <v>2.11</v>
      </c>
      <c r="B10" s="291">
        <v>43846</v>
      </c>
      <c r="C10" s="293" t="s">
        <v>1172</v>
      </c>
      <c r="D10" s="293" t="s">
        <v>1180</v>
      </c>
      <c r="E10" s="293" t="s">
        <v>1178</v>
      </c>
    </row>
    <row r="11" spans="1:5" s="67" customFormat="1" ht="41.4" x14ac:dyDescent="0.25">
      <c r="A11" s="334">
        <v>2.1</v>
      </c>
      <c r="B11" s="291">
        <v>43756</v>
      </c>
      <c r="C11" s="290" t="s">
        <v>276</v>
      </c>
      <c r="D11" s="293" t="s">
        <v>1176</v>
      </c>
      <c r="E11" s="286"/>
    </row>
    <row r="12" spans="1:5" s="67" customFormat="1" ht="55.2" x14ac:dyDescent="0.25">
      <c r="A12" s="290">
        <v>2.02</v>
      </c>
      <c r="B12" s="291">
        <v>43718</v>
      </c>
      <c r="C12" s="290" t="s">
        <v>5</v>
      </c>
      <c r="D12" s="293" t="s">
        <v>1175</v>
      </c>
      <c r="E12" s="286"/>
    </row>
    <row r="13" spans="1:5" s="67" customFormat="1" ht="55.2" x14ac:dyDescent="0.25">
      <c r="A13" s="290">
        <v>2.0099999999999998</v>
      </c>
      <c r="B13" s="291">
        <v>43693</v>
      </c>
      <c r="C13" s="290" t="s">
        <v>1112</v>
      </c>
      <c r="D13" s="293" t="s">
        <v>1174</v>
      </c>
      <c r="E13" s="286"/>
    </row>
    <row r="14" spans="1:5" s="67" customFormat="1" ht="96.6" x14ac:dyDescent="0.25">
      <c r="A14" s="330">
        <v>2</v>
      </c>
      <c r="B14" s="318">
        <v>43665</v>
      </c>
      <c r="C14" s="293" t="s">
        <v>1172</v>
      </c>
      <c r="D14" s="293" t="s">
        <v>1173</v>
      </c>
      <c r="E14" s="286"/>
    </row>
    <row r="15" spans="1:5" s="67" customFormat="1" ht="248.4" x14ac:dyDescent="0.25">
      <c r="A15" s="286">
        <v>1.05</v>
      </c>
      <c r="B15" s="318">
        <v>43570</v>
      </c>
      <c r="C15" s="293" t="s">
        <v>1171</v>
      </c>
      <c r="D15" s="293" t="s">
        <v>1166</v>
      </c>
      <c r="E15" s="320" t="s">
        <v>1165</v>
      </c>
    </row>
    <row r="16" spans="1:5" s="67" customFormat="1" ht="82.8" x14ac:dyDescent="0.25">
      <c r="A16" s="290">
        <v>1.04</v>
      </c>
      <c r="B16" s="291">
        <v>43516</v>
      </c>
      <c r="C16" s="290" t="s">
        <v>1112</v>
      </c>
      <c r="D16" s="293" t="s">
        <v>1115</v>
      </c>
      <c r="E16" s="293"/>
    </row>
    <row r="17" spans="1:5" s="67" customFormat="1" ht="124.2" x14ac:dyDescent="0.25">
      <c r="A17" s="290" t="s">
        <v>1111</v>
      </c>
      <c r="B17" s="291">
        <v>43486</v>
      </c>
      <c r="C17" s="290" t="s">
        <v>1112</v>
      </c>
      <c r="D17" s="293" t="s">
        <v>1113</v>
      </c>
      <c r="E17" s="293" t="s">
        <v>1114</v>
      </c>
    </row>
    <row r="18" spans="1:5" s="292" customFormat="1" ht="165.6" x14ac:dyDescent="0.25">
      <c r="A18" s="290" t="s">
        <v>1111</v>
      </c>
      <c r="B18" s="291">
        <v>43395</v>
      </c>
      <c r="C18" s="290" t="s">
        <v>5</v>
      </c>
      <c r="D18" s="293" t="s">
        <v>1110</v>
      </c>
      <c r="E18" s="293" t="s">
        <v>1109</v>
      </c>
    </row>
    <row r="19" spans="1:5" s="292" customFormat="1" ht="165.6" x14ac:dyDescent="0.25">
      <c r="A19" s="290">
        <v>1.03</v>
      </c>
      <c r="B19" s="291">
        <v>43319</v>
      </c>
      <c r="C19" s="290" t="s">
        <v>5</v>
      </c>
      <c r="D19" s="293" t="s">
        <v>1108</v>
      </c>
      <c r="E19" s="290"/>
    </row>
    <row r="20" spans="1:5" ht="409.6" x14ac:dyDescent="0.25">
      <c r="A20" s="287">
        <v>1.02</v>
      </c>
      <c r="B20" s="288">
        <v>43292</v>
      </c>
      <c r="C20" s="287" t="s">
        <v>5</v>
      </c>
      <c r="D20" s="289" t="s">
        <v>1107</v>
      </c>
      <c r="E20" s="289" t="s">
        <v>948</v>
      </c>
    </row>
    <row r="21" spans="1:5" ht="41.4" x14ac:dyDescent="0.25">
      <c r="A21" s="287" t="s">
        <v>936</v>
      </c>
      <c r="B21" s="288">
        <v>43291</v>
      </c>
      <c r="C21" s="287" t="s">
        <v>5</v>
      </c>
      <c r="D21" s="289" t="s">
        <v>937</v>
      </c>
      <c r="E21" s="287"/>
    </row>
    <row r="22" spans="1:5" ht="151.80000000000001" x14ac:dyDescent="0.25">
      <c r="A22" s="287" t="s">
        <v>880</v>
      </c>
      <c r="B22" s="288">
        <v>43255</v>
      </c>
      <c r="C22" s="287" t="s">
        <v>5</v>
      </c>
      <c r="D22" s="289" t="s">
        <v>881</v>
      </c>
      <c r="E22" s="287"/>
    </row>
    <row r="23" spans="1:5" ht="41.4" x14ac:dyDescent="0.25">
      <c r="A23" s="287" t="s">
        <v>873</v>
      </c>
      <c r="B23" s="288">
        <v>43247</v>
      </c>
      <c r="C23" s="287" t="s">
        <v>5</v>
      </c>
      <c r="D23" s="289" t="s">
        <v>874</v>
      </c>
      <c r="E23" s="287"/>
    </row>
    <row r="24" spans="1:5" ht="124.2" x14ac:dyDescent="0.25">
      <c r="A24" s="287">
        <v>0.4</v>
      </c>
      <c r="B24" s="288">
        <v>43229</v>
      </c>
      <c r="C24" s="287" t="s">
        <v>5</v>
      </c>
      <c r="D24" s="289" t="s">
        <v>491</v>
      </c>
      <c r="E24" s="289" t="s">
        <v>492</v>
      </c>
    </row>
    <row r="25" spans="1:5" ht="110.4" x14ac:dyDescent="0.25">
      <c r="A25" s="287" t="s">
        <v>324</v>
      </c>
      <c r="B25" s="288">
        <v>43206</v>
      </c>
      <c r="C25" s="287" t="s">
        <v>5</v>
      </c>
      <c r="D25" s="289" t="s">
        <v>325</v>
      </c>
      <c r="E25" s="289" t="s">
        <v>339</v>
      </c>
    </row>
    <row r="26" spans="1:5" ht="55.2" x14ac:dyDescent="0.25">
      <c r="A26" s="287" t="s">
        <v>300</v>
      </c>
      <c r="B26" s="288">
        <v>43185</v>
      </c>
      <c r="C26" s="287" t="s">
        <v>5</v>
      </c>
      <c r="D26" s="287"/>
      <c r="E26" s="289" t="s">
        <v>301</v>
      </c>
    </row>
    <row r="27" spans="1:5" ht="69" x14ac:dyDescent="0.25">
      <c r="A27" s="287" t="s">
        <v>298</v>
      </c>
      <c r="B27" s="288">
        <v>43178</v>
      </c>
      <c r="C27" s="287" t="s">
        <v>276</v>
      </c>
      <c r="D27" s="289" t="s">
        <v>299</v>
      </c>
      <c r="E27" s="287"/>
    </row>
    <row r="28" spans="1:5" ht="124.2" x14ac:dyDescent="0.25">
      <c r="A28" s="287" t="s">
        <v>288</v>
      </c>
      <c r="B28" s="288">
        <v>43172</v>
      </c>
      <c r="C28" s="287" t="s">
        <v>5</v>
      </c>
      <c r="D28" s="289" t="s">
        <v>289</v>
      </c>
      <c r="E28" s="289" t="s">
        <v>291</v>
      </c>
    </row>
    <row r="29" spans="1:5" ht="55.2" x14ac:dyDescent="0.25">
      <c r="A29" s="287" t="s">
        <v>275</v>
      </c>
      <c r="B29" s="288">
        <v>43167</v>
      </c>
      <c r="C29" s="287" t="s">
        <v>276</v>
      </c>
      <c r="D29" s="287" t="s">
        <v>277</v>
      </c>
      <c r="E29" s="289" t="s">
        <v>282</v>
      </c>
    </row>
    <row r="30" spans="1:5" x14ac:dyDescent="0.25">
      <c r="A30" s="287"/>
      <c r="B30" s="288">
        <v>43147</v>
      </c>
      <c r="C30" s="287" t="s">
        <v>5</v>
      </c>
      <c r="D30" s="287" t="s">
        <v>127</v>
      </c>
      <c r="E30" s="287"/>
    </row>
    <row r="31" spans="1:5" ht="96.6" x14ac:dyDescent="0.25">
      <c r="A31" s="287" t="s">
        <v>9</v>
      </c>
      <c r="B31" s="288">
        <v>43130</v>
      </c>
      <c r="C31" s="287" t="s">
        <v>5</v>
      </c>
      <c r="D31" s="289" t="s">
        <v>10</v>
      </c>
      <c r="E31" s="289" t="s">
        <v>12</v>
      </c>
    </row>
    <row r="32" spans="1:5" x14ac:dyDescent="0.25">
      <c r="A32" s="287" t="s">
        <v>7</v>
      </c>
      <c r="B32" s="288">
        <v>43068</v>
      </c>
      <c r="C32" s="287" t="s">
        <v>5</v>
      </c>
      <c r="D32" s="287" t="s">
        <v>8</v>
      </c>
      <c r="E32" s="287"/>
    </row>
    <row r="33" spans="1:5" x14ac:dyDescent="0.25">
      <c r="A33" s="287" t="s">
        <v>4</v>
      </c>
      <c r="B33" s="288">
        <v>42852</v>
      </c>
      <c r="C33" s="287" t="s">
        <v>5</v>
      </c>
      <c r="D33" s="287" t="s">
        <v>6</v>
      </c>
      <c r="E33" s="287"/>
    </row>
  </sheetData>
  <sortState xmlns:xlrd2="http://schemas.microsoft.com/office/spreadsheetml/2017/richdata2" ref="A16:E29">
    <sortCondition descending="1" ref="B16:B29"/>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951</v>
      </c>
      <c r="K7" s="2" t="s">
        <v>1106</v>
      </c>
    </row>
    <row r="9" spans="1:18" x14ac:dyDescent="0.25">
      <c r="A9" s="67">
        <f>COUNTA(B10:B1048576)</f>
        <v>236</v>
      </c>
      <c r="B9" s="2" t="s">
        <v>526</v>
      </c>
      <c r="C9" s="2"/>
      <c r="D9" s="2" t="s">
        <v>527</v>
      </c>
      <c r="K9" s="2" t="s">
        <v>1104</v>
      </c>
      <c r="R9" s="2" t="s">
        <v>1105</v>
      </c>
    </row>
    <row r="10" spans="1:18" x14ac:dyDescent="0.25">
      <c r="A10" s="67">
        <f>COUNTA(D10:D1048576)</f>
        <v>79</v>
      </c>
      <c r="B10" s="67" t="s">
        <v>557</v>
      </c>
      <c r="D10" s="67" t="s">
        <v>827</v>
      </c>
      <c r="K10" t="s">
        <v>952</v>
      </c>
      <c r="R10" t="s">
        <v>827</v>
      </c>
    </row>
    <row r="11" spans="1:18" x14ac:dyDescent="0.25">
      <c r="B11" s="67" t="s">
        <v>558</v>
      </c>
      <c r="D11" s="67" t="s">
        <v>853</v>
      </c>
      <c r="K11" t="s">
        <v>953</v>
      </c>
      <c r="R11" t="s">
        <v>853</v>
      </c>
    </row>
    <row r="12" spans="1:18" x14ac:dyDescent="0.25">
      <c r="B12" s="67" t="s">
        <v>559</v>
      </c>
      <c r="D12" s="67" t="s">
        <v>811</v>
      </c>
      <c r="K12" t="s">
        <v>954</v>
      </c>
      <c r="R12" t="s">
        <v>811</v>
      </c>
    </row>
    <row r="13" spans="1:18" x14ac:dyDescent="0.25">
      <c r="B13" s="67" t="s">
        <v>560</v>
      </c>
      <c r="D13" s="67" t="s">
        <v>819</v>
      </c>
      <c r="K13" t="s">
        <v>955</v>
      </c>
      <c r="R13" t="s">
        <v>819</v>
      </c>
    </row>
    <row r="14" spans="1:18" x14ac:dyDescent="0.25">
      <c r="B14" s="67" t="s">
        <v>561</v>
      </c>
      <c r="D14" s="67" t="s">
        <v>861</v>
      </c>
      <c r="K14" t="s">
        <v>956</v>
      </c>
      <c r="R14" t="s">
        <v>861</v>
      </c>
    </row>
    <row r="15" spans="1:18" x14ac:dyDescent="0.25">
      <c r="B15" s="67" t="s">
        <v>562</v>
      </c>
      <c r="D15" s="67" t="s">
        <v>824</v>
      </c>
      <c r="K15" t="s">
        <v>957</v>
      </c>
      <c r="R15" t="s">
        <v>824</v>
      </c>
    </row>
    <row r="16" spans="1:18" x14ac:dyDescent="0.25">
      <c r="B16" s="67" t="s">
        <v>563</v>
      </c>
      <c r="D16" s="67" t="s">
        <v>809</v>
      </c>
      <c r="K16" t="s">
        <v>958</v>
      </c>
      <c r="R16" t="s">
        <v>809</v>
      </c>
    </row>
    <row r="17" spans="2:18" x14ac:dyDescent="0.25">
      <c r="B17" s="67" t="s">
        <v>564</v>
      </c>
      <c r="D17" s="67" t="s">
        <v>862</v>
      </c>
      <c r="K17" t="s">
        <v>959</v>
      </c>
      <c r="R17" t="s">
        <v>862</v>
      </c>
    </row>
    <row r="18" spans="2:18" x14ac:dyDescent="0.25">
      <c r="B18" s="67" t="s">
        <v>565</v>
      </c>
      <c r="D18" s="67" t="s">
        <v>854</v>
      </c>
      <c r="K18" t="s">
        <v>960</v>
      </c>
      <c r="R18" t="s">
        <v>854</v>
      </c>
    </row>
    <row r="19" spans="2:18" x14ac:dyDescent="0.25">
      <c r="B19" s="67" t="s">
        <v>566</v>
      </c>
      <c r="D19" s="67" t="s">
        <v>820</v>
      </c>
      <c r="K19" t="s">
        <v>961</v>
      </c>
      <c r="R19" t="s">
        <v>820</v>
      </c>
    </row>
    <row r="20" spans="2:18" x14ac:dyDescent="0.25">
      <c r="B20" s="67" t="s">
        <v>567</v>
      </c>
      <c r="D20" s="67" t="s">
        <v>816</v>
      </c>
      <c r="K20" t="s">
        <v>962</v>
      </c>
      <c r="R20" t="s">
        <v>816</v>
      </c>
    </row>
    <row r="21" spans="2:18" x14ac:dyDescent="0.25">
      <c r="B21" s="67" t="s">
        <v>568</v>
      </c>
      <c r="D21" s="67" t="s">
        <v>821</v>
      </c>
      <c r="K21" t="s">
        <v>963</v>
      </c>
      <c r="R21" t="s">
        <v>821</v>
      </c>
    </row>
    <row r="22" spans="2:18" x14ac:dyDescent="0.25">
      <c r="B22" s="67" t="s">
        <v>569</v>
      </c>
      <c r="D22" s="67" t="s">
        <v>837</v>
      </c>
      <c r="K22" t="s">
        <v>964</v>
      </c>
      <c r="R22" t="s">
        <v>837</v>
      </c>
    </row>
    <row r="23" spans="2:18" x14ac:dyDescent="0.25">
      <c r="B23" s="67" t="s">
        <v>570</v>
      </c>
      <c r="D23" s="67" t="s">
        <v>858</v>
      </c>
      <c r="K23" t="s">
        <v>965</v>
      </c>
      <c r="R23" t="s">
        <v>858</v>
      </c>
    </row>
    <row r="24" spans="2:18" x14ac:dyDescent="0.25">
      <c r="B24" s="67" t="s">
        <v>571</v>
      </c>
      <c r="D24" s="67" t="s">
        <v>818</v>
      </c>
      <c r="K24" t="s">
        <v>966</v>
      </c>
      <c r="R24" t="s">
        <v>818</v>
      </c>
    </row>
    <row r="25" spans="2:18" x14ac:dyDescent="0.25">
      <c r="B25" s="67" t="s">
        <v>572</v>
      </c>
      <c r="D25" s="67" t="s">
        <v>817</v>
      </c>
      <c r="K25" t="s">
        <v>967</v>
      </c>
      <c r="R25" t="s">
        <v>817</v>
      </c>
    </row>
    <row r="26" spans="2:18" x14ac:dyDescent="0.25">
      <c r="B26" s="67" t="s">
        <v>573</v>
      </c>
      <c r="D26" s="67" t="s">
        <v>871</v>
      </c>
      <c r="K26" t="s">
        <v>968</v>
      </c>
      <c r="R26" t="s">
        <v>871</v>
      </c>
    </row>
    <row r="27" spans="2:18" x14ac:dyDescent="0.25">
      <c r="B27" s="67" t="s">
        <v>574</v>
      </c>
      <c r="D27" s="67" t="s">
        <v>869</v>
      </c>
      <c r="K27" t="s">
        <v>969</v>
      </c>
      <c r="R27" t="s">
        <v>869</v>
      </c>
    </row>
    <row r="28" spans="2:18" x14ac:dyDescent="0.25">
      <c r="B28" s="67" t="s">
        <v>575</v>
      </c>
      <c r="D28" s="67" t="s">
        <v>848</v>
      </c>
      <c r="K28" t="s">
        <v>970</v>
      </c>
      <c r="R28" t="s">
        <v>848</v>
      </c>
    </row>
    <row r="29" spans="2:18" x14ac:dyDescent="0.25">
      <c r="B29" s="67" t="s">
        <v>576</v>
      </c>
      <c r="D29" s="67" t="s">
        <v>812</v>
      </c>
      <c r="K29" t="s">
        <v>971</v>
      </c>
      <c r="R29" t="s">
        <v>812</v>
      </c>
    </row>
    <row r="30" spans="2:18" x14ac:dyDescent="0.25">
      <c r="B30" s="67" t="s">
        <v>577</v>
      </c>
      <c r="D30" s="67" t="s">
        <v>842</v>
      </c>
      <c r="K30" t="s">
        <v>972</v>
      </c>
      <c r="R30" t="s">
        <v>842</v>
      </c>
    </row>
    <row r="31" spans="2:18" x14ac:dyDescent="0.25">
      <c r="B31" s="67" t="s">
        <v>578</v>
      </c>
      <c r="D31" s="67" t="s">
        <v>828</v>
      </c>
      <c r="K31" t="s">
        <v>973</v>
      </c>
      <c r="R31" t="s">
        <v>828</v>
      </c>
    </row>
    <row r="32" spans="2:18" x14ac:dyDescent="0.25">
      <c r="B32" s="67" t="s">
        <v>579</v>
      </c>
      <c r="D32" s="67" t="s">
        <v>815</v>
      </c>
      <c r="K32" t="s">
        <v>974</v>
      </c>
      <c r="R32" t="s">
        <v>815</v>
      </c>
    </row>
    <row r="33" spans="2:18" x14ac:dyDescent="0.25">
      <c r="B33" s="67" t="s">
        <v>580</v>
      </c>
      <c r="D33" s="67" t="s">
        <v>803</v>
      </c>
      <c r="K33" t="s">
        <v>975</v>
      </c>
      <c r="R33" t="s">
        <v>803</v>
      </c>
    </row>
    <row r="34" spans="2:18" x14ac:dyDescent="0.25">
      <c r="B34" s="67" t="s">
        <v>581</v>
      </c>
      <c r="D34" s="67" t="s">
        <v>796</v>
      </c>
      <c r="K34" t="s">
        <v>976</v>
      </c>
      <c r="R34" t="s">
        <v>796</v>
      </c>
    </row>
    <row r="35" spans="2:18" x14ac:dyDescent="0.25">
      <c r="B35" s="67" t="s">
        <v>582</v>
      </c>
      <c r="D35" s="67" t="s">
        <v>855</v>
      </c>
      <c r="K35" t="s">
        <v>977</v>
      </c>
      <c r="R35" t="s">
        <v>855</v>
      </c>
    </row>
    <row r="36" spans="2:18" x14ac:dyDescent="0.25">
      <c r="B36" s="67" t="s">
        <v>583</v>
      </c>
      <c r="D36" s="67" t="s">
        <v>814</v>
      </c>
      <c r="K36" t="s">
        <v>978</v>
      </c>
      <c r="R36" t="s">
        <v>814</v>
      </c>
    </row>
    <row r="37" spans="2:18" x14ac:dyDescent="0.25">
      <c r="B37" s="67" t="s">
        <v>584</v>
      </c>
      <c r="D37" s="67" t="s">
        <v>851</v>
      </c>
      <c r="K37" t="s">
        <v>979</v>
      </c>
      <c r="R37" t="s">
        <v>851</v>
      </c>
    </row>
    <row r="38" spans="2:18" x14ac:dyDescent="0.25">
      <c r="B38" s="67" t="s">
        <v>585</v>
      </c>
      <c r="D38" s="67" t="s">
        <v>850</v>
      </c>
      <c r="K38" t="s">
        <v>980</v>
      </c>
      <c r="R38" t="s">
        <v>850</v>
      </c>
    </row>
    <row r="39" spans="2:18" x14ac:dyDescent="0.25">
      <c r="B39" s="67" t="s">
        <v>586</v>
      </c>
      <c r="D39" s="67" t="s">
        <v>813</v>
      </c>
      <c r="K39" t="s">
        <v>981</v>
      </c>
      <c r="R39" t="s">
        <v>813</v>
      </c>
    </row>
    <row r="40" spans="2:18" x14ac:dyDescent="0.25">
      <c r="B40" s="67" t="s">
        <v>587</v>
      </c>
      <c r="D40" t="s">
        <v>860</v>
      </c>
      <c r="K40" t="s">
        <v>982</v>
      </c>
      <c r="R40" t="s">
        <v>860</v>
      </c>
    </row>
    <row r="41" spans="2:18" x14ac:dyDescent="0.25">
      <c r="B41" s="67" t="s">
        <v>588</v>
      </c>
      <c r="D41" t="s">
        <v>793</v>
      </c>
      <c r="K41" t="s">
        <v>983</v>
      </c>
      <c r="R41" t="s">
        <v>793</v>
      </c>
    </row>
    <row r="42" spans="2:18" x14ac:dyDescent="0.25">
      <c r="B42" s="67" t="s">
        <v>589</v>
      </c>
      <c r="D42" t="s">
        <v>832</v>
      </c>
      <c r="K42" t="s">
        <v>984</v>
      </c>
      <c r="R42" t="s">
        <v>832</v>
      </c>
    </row>
    <row r="43" spans="2:18" x14ac:dyDescent="0.25">
      <c r="B43" s="67" t="s">
        <v>590</v>
      </c>
      <c r="D43" t="s">
        <v>841</v>
      </c>
      <c r="K43" t="s">
        <v>985</v>
      </c>
      <c r="R43" t="s">
        <v>841</v>
      </c>
    </row>
    <row r="44" spans="2:18" x14ac:dyDescent="0.25">
      <c r="B44" s="67" t="s">
        <v>591</v>
      </c>
      <c r="D44" t="s">
        <v>847</v>
      </c>
      <c r="K44" t="s">
        <v>986</v>
      </c>
      <c r="R44" t="s">
        <v>847</v>
      </c>
    </row>
    <row r="45" spans="2:18" x14ac:dyDescent="0.25">
      <c r="B45" s="67" t="s">
        <v>592</v>
      </c>
      <c r="D45" t="s">
        <v>863</v>
      </c>
      <c r="K45" t="s">
        <v>987</v>
      </c>
      <c r="R45" t="s">
        <v>863</v>
      </c>
    </row>
    <row r="46" spans="2:18" x14ac:dyDescent="0.25">
      <c r="B46" s="67" t="s">
        <v>593</v>
      </c>
      <c r="D46" t="s">
        <v>864</v>
      </c>
      <c r="K46" t="s">
        <v>988</v>
      </c>
      <c r="R46" t="s">
        <v>864</v>
      </c>
    </row>
    <row r="47" spans="2:18" x14ac:dyDescent="0.25">
      <c r="B47" s="67" t="s">
        <v>594</v>
      </c>
      <c r="D47" t="s">
        <v>865</v>
      </c>
      <c r="K47" t="s">
        <v>989</v>
      </c>
      <c r="R47" t="s">
        <v>865</v>
      </c>
    </row>
    <row r="48" spans="2:18" x14ac:dyDescent="0.25">
      <c r="B48" s="67" t="s">
        <v>595</v>
      </c>
      <c r="D48" t="s">
        <v>830</v>
      </c>
      <c r="K48" t="s">
        <v>990</v>
      </c>
      <c r="R48" t="s">
        <v>830</v>
      </c>
    </row>
    <row r="49" spans="2:18" x14ac:dyDescent="0.25">
      <c r="B49" s="67" t="s">
        <v>596</v>
      </c>
      <c r="D49" t="s">
        <v>852</v>
      </c>
      <c r="K49" t="s">
        <v>991</v>
      </c>
      <c r="R49" t="s">
        <v>852</v>
      </c>
    </row>
    <row r="50" spans="2:18" x14ac:dyDescent="0.25">
      <c r="B50" s="67" t="s">
        <v>597</v>
      </c>
      <c r="D50" t="s">
        <v>867</v>
      </c>
      <c r="K50" t="s">
        <v>992</v>
      </c>
      <c r="R50" t="s">
        <v>867</v>
      </c>
    </row>
    <row r="51" spans="2:18" x14ac:dyDescent="0.25">
      <c r="B51" s="67" t="s">
        <v>598</v>
      </c>
      <c r="D51" t="s">
        <v>866</v>
      </c>
      <c r="K51" t="s">
        <v>993</v>
      </c>
      <c r="R51" t="s">
        <v>866</v>
      </c>
    </row>
    <row r="52" spans="2:18" x14ac:dyDescent="0.25">
      <c r="B52" s="67" t="s">
        <v>599</v>
      </c>
      <c r="D52" t="s">
        <v>834</v>
      </c>
      <c r="K52" t="s">
        <v>994</v>
      </c>
      <c r="R52" t="s">
        <v>834</v>
      </c>
    </row>
    <row r="53" spans="2:18" x14ac:dyDescent="0.25">
      <c r="B53" s="67" t="s">
        <v>600</v>
      </c>
      <c r="D53" t="s">
        <v>844</v>
      </c>
      <c r="K53" t="s">
        <v>995</v>
      </c>
      <c r="R53" t="s">
        <v>844</v>
      </c>
    </row>
    <row r="54" spans="2:18" x14ac:dyDescent="0.25">
      <c r="B54" s="67" t="s">
        <v>601</v>
      </c>
      <c r="D54" t="s">
        <v>868</v>
      </c>
      <c r="K54" t="s">
        <v>996</v>
      </c>
      <c r="R54" t="s">
        <v>868</v>
      </c>
    </row>
    <row r="55" spans="2:18" x14ac:dyDescent="0.25">
      <c r="B55" s="67" t="s">
        <v>602</v>
      </c>
      <c r="D55" t="s">
        <v>849</v>
      </c>
      <c r="K55" t="s">
        <v>997</v>
      </c>
      <c r="R55" t="s">
        <v>849</v>
      </c>
    </row>
    <row r="56" spans="2:18" x14ac:dyDescent="0.25">
      <c r="B56" s="67" t="s">
        <v>603</v>
      </c>
      <c r="D56" t="s">
        <v>833</v>
      </c>
      <c r="K56" t="s">
        <v>998</v>
      </c>
      <c r="R56" t="s">
        <v>833</v>
      </c>
    </row>
    <row r="57" spans="2:18" x14ac:dyDescent="0.25">
      <c r="B57" s="67" t="s">
        <v>604</v>
      </c>
      <c r="D57" t="s">
        <v>836</v>
      </c>
      <c r="K57" t="s">
        <v>999</v>
      </c>
      <c r="R57" t="s">
        <v>836</v>
      </c>
    </row>
    <row r="58" spans="2:18" x14ac:dyDescent="0.25">
      <c r="B58" s="67" t="s">
        <v>605</v>
      </c>
      <c r="D58" t="s">
        <v>807</v>
      </c>
      <c r="K58" t="s">
        <v>1000</v>
      </c>
      <c r="R58" t="s">
        <v>807</v>
      </c>
    </row>
    <row r="59" spans="2:18" x14ac:dyDescent="0.25">
      <c r="B59" s="67" t="s">
        <v>606</v>
      </c>
      <c r="D59" t="s">
        <v>835</v>
      </c>
      <c r="K59" t="s">
        <v>1001</v>
      </c>
      <c r="R59" t="s">
        <v>835</v>
      </c>
    </row>
    <row r="60" spans="2:18" x14ac:dyDescent="0.25">
      <c r="B60" s="67" t="s">
        <v>607</v>
      </c>
      <c r="D60" t="s">
        <v>846</v>
      </c>
      <c r="K60" t="s">
        <v>1002</v>
      </c>
      <c r="R60" t="s">
        <v>846</v>
      </c>
    </row>
    <row r="61" spans="2:18" x14ac:dyDescent="0.25">
      <c r="B61" s="67" t="s">
        <v>608</v>
      </c>
      <c r="D61" t="s">
        <v>845</v>
      </c>
      <c r="K61" t="s">
        <v>1003</v>
      </c>
      <c r="R61" t="s">
        <v>845</v>
      </c>
    </row>
    <row r="62" spans="2:18" x14ac:dyDescent="0.25">
      <c r="B62" s="67" t="s">
        <v>609</v>
      </c>
      <c r="D62" t="s">
        <v>870</v>
      </c>
      <c r="K62" t="s">
        <v>1004</v>
      </c>
      <c r="R62" t="s">
        <v>870</v>
      </c>
    </row>
    <row r="63" spans="2:18" x14ac:dyDescent="0.25">
      <c r="B63" s="67" t="s">
        <v>610</v>
      </c>
      <c r="D63" t="s">
        <v>857</v>
      </c>
      <c r="K63" t="s">
        <v>1005</v>
      </c>
      <c r="R63" t="s">
        <v>857</v>
      </c>
    </row>
    <row r="64" spans="2:18" x14ac:dyDescent="0.25">
      <c r="B64" s="67" t="s">
        <v>611</v>
      </c>
      <c r="D64" t="s">
        <v>797</v>
      </c>
      <c r="K64" t="s">
        <v>1006</v>
      </c>
      <c r="R64" t="s">
        <v>797</v>
      </c>
    </row>
    <row r="65" spans="2:18" x14ac:dyDescent="0.25">
      <c r="B65" s="67" t="s">
        <v>612</v>
      </c>
      <c r="D65" t="s">
        <v>802</v>
      </c>
      <c r="K65" t="s">
        <v>1007</v>
      </c>
      <c r="R65" t="s">
        <v>802</v>
      </c>
    </row>
    <row r="66" spans="2:18" x14ac:dyDescent="0.25">
      <c r="B66" s="67" t="s">
        <v>613</v>
      </c>
      <c r="D66" t="s">
        <v>798</v>
      </c>
      <c r="K66" t="s">
        <v>1008</v>
      </c>
      <c r="R66" t="s">
        <v>798</v>
      </c>
    </row>
    <row r="67" spans="2:18" x14ac:dyDescent="0.25">
      <c r="B67" s="67" t="s">
        <v>614</v>
      </c>
      <c r="D67" t="s">
        <v>801</v>
      </c>
      <c r="K67" t="s">
        <v>1009</v>
      </c>
      <c r="R67" t="s">
        <v>801</v>
      </c>
    </row>
    <row r="68" spans="2:18" x14ac:dyDescent="0.25">
      <c r="B68" s="67" t="s">
        <v>615</v>
      </c>
      <c r="D68" t="s">
        <v>825</v>
      </c>
      <c r="K68" t="s">
        <v>1010</v>
      </c>
      <c r="R68" t="s">
        <v>825</v>
      </c>
    </row>
    <row r="69" spans="2:18" x14ac:dyDescent="0.25">
      <c r="B69" s="67" t="s">
        <v>616</v>
      </c>
      <c r="D69" t="s">
        <v>800</v>
      </c>
      <c r="K69" t="s">
        <v>1011</v>
      </c>
      <c r="R69" t="s">
        <v>800</v>
      </c>
    </row>
    <row r="70" spans="2:18" x14ac:dyDescent="0.25">
      <c r="B70" s="67" t="s">
        <v>617</v>
      </c>
      <c r="D70" t="s">
        <v>840</v>
      </c>
      <c r="K70" t="s">
        <v>1012</v>
      </c>
      <c r="R70" t="s">
        <v>840</v>
      </c>
    </row>
    <row r="71" spans="2:18" x14ac:dyDescent="0.25">
      <c r="B71" s="67" t="s">
        <v>618</v>
      </c>
      <c r="D71" t="s">
        <v>810</v>
      </c>
      <c r="K71" t="s">
        <v>1013</v>
      </c>
      <c r="R71" t="s">
        <v>810</v>
      </c>
    </row>
    <row r="72" spans="2:18" x14ac:dyDescent="0.25">
      <c r="B72" s="67" t="s">
        <v>619</v>
      </c>
      <c r="D72" t="s">
        <v>839</v>
      </c>
      <c r="K72" t="s">
        <v>1014</v>
      </c>
      <c r="R72" t="s">
        <v>839</v>
      </c>
    </row>
    <row r="73" spans="2:18" x14ac:dyDescent="0.25">
      <c r="B73" s="67" t="s">
        <v>620</v>
      </c>
      <c r="D73" t="s">
        <v>823</v>
      </c>
      <c r="K73" t="s">
        <v>1015</v>
      </c>
      <c r="R73" t="s">
        <v>823</v>
      </c>
    </row>
    <row r="74" spans="2:18" x14ac:dyDescent="0.25">
      <c r="B74" s="67" t="s">
        <v>621</v>
      </c>
      <c r="D74" t="s">
        <v>804</v>
      </c>
      <c r="K74" t="s">
        <v>1016</v>
      </c>
      <c r="R74" t="s">
        <v>804</v>
      </c>
    </row>
    <row r="75" spans="2:18" x14ac:dyDescent="0.25">
      <c r="B75" s="67" t="s">
        <v>622</v>
      </c>
      <c r="D75" t="s">
        <v>808</v>
      </c>
      <c r="K75" t="s">
        <v>1017</v>
      </c>
      <c r="R75" t="s">
        <v>808</v>
      </c>
    </row>
    <row r="76" spans="2:18" x14ac:dyDescent="0.25">
      <c r="B76" s="67" t="s">
        <v>623</v>
      </c>
      <c r="D76" t="s">
        <v>805</v>
      </c>
      <c r="K76" t="s">
        <v>1018</v>
      </c>
      <c r="R76" t="s">
        <v>805</v>
      </c>
    </row>
    <row r="77" spans="2:18" x14ac:dyDescent="0.25">
      <c r="B77" s="67" t="s">
        <v>624</v>
      </c>
      <c r="D77" t="s">
        <v>856</v>
      </c>
      <c r="K77" t="s">
        <v>1019</v>
      </c>
      <c r="R77" t="s">
        <v>856</v>
      </c>
    </row>
    <row r="78" spans="2:18" x14ac:dyDescent="0.25">
      <c r="B78" s="67" t="s">
        <v>625</v>
      </c>
      <c r="D78" t="s">
        <v>859</v>
      </c>
      <c r="K78" t="s">
        <v>1020</v>
      </c>
      <c r="R78" t="s">
        <v>859</v>
      </c>
    </row>
    <row r="79" spans="2:18" x14ac:dyDescent="0.25">
      <c r="B79" s="67" t="s">
        <v>626</v>
      </c>
      <c r="D79" t="s">
        <v>822</v>
      </c>
      <c r="K79" t="s">
        <v>1021</v>
      </c>
      <c r="R79" t="s">
        <v>822</v>
      </c>
    </row>
    <row r="80" spans="2:18" x14ac:dyDescent="0.25">
      <c r="B80" s="67" t="s">
        <v>627</v>
      </c>
      <c r="D80" t="s">
        <v>829</v>
      </c>
      <c r="K80" t="s">
        <v>1022</v>
      </c>
      <c r="R80" t="s">
        <v>829</v>
      </c>
    </row>
    <row r="81" spans="2:18" x14ac:dyDescent="0.25">
      <c r="B81" s="67" t="s">
        <v>628</v>
      </c>
      <c r="D81" t="s">
        <v>799</v>
      </c>
      <c r="K81" t="s">
        <v>1023</v>
      </c>
      <c r="R81" t="s">
        <v>799</v>
      </c>
    </row>
    <row r="82" spans="2:18" x14ac:dyDescent="0.25">
      <c r="B82" s="67" t="s">
        <v>629</v>
      </c>
      <c r="D82" t="s">
        <v>838</v>
      </c>
      <c r="K82" t="s">
        <v>1024</v>
      </c>
      <c r="R82" t="s">
        <v>838</v>
      </c>
    </row>
    <row r="83" spans="2:18" x14ac:dyDescent="0.25">
      <c r="B83" s="67" t="s">
        <v>630</v>
      </c>
      <c r="D83" t="s">
        <v>843</v>
      </c>
      <c r="K83" t="s">
        <v>1025</v>
      </c>
      <c r="R83" t="s">
        <v>843</v>
      </c>
    </row>
    <row r="84" spans="2:18" x14ac:dyDescent="0.25">
      <c r="B84" s="67" t="s">
        <v>631</v>
      </c>
      <c r="D84" t="s">
        <v>826</v>
      </c>
      <c r="K84" t="s">
        <v>1026</v>
      </c>
      <c r="R84" t="s">
        <v>826</v>
      </c>
    </row>
    <row r="85" spans="2:18" x14ac:dyDescent="0.25">
      <c r="B85" s="67" t="s">
        <v>632</v>
      </c>
      <c r="D85" t="s">
        <v>806</v>
      </c>
      <c r="K85" t="s">
        <v>1027</v>
      </c>
      <c r="R85" t="s">
        <v>806</v>
      </c>
    </row>
    <row r="86" spans="2:18" x14ac:dyDescent="0.25">
      <c r="B86" s="67" t="s">
        <v>633</v>
      </c>
      <c r="D86" t="s">
        <v>795</v>
      </c>
      <c r="K86" t="s">
        <v>1028</v>
      </c>
      <c r="R86" t="s">
        <v>795</v>
      </c>
    </row>
    <row r="87" spans="2:18" x14ac:dyDescent="0.25">
      <c r="B87" s="67" t="s">
        <v>634</v>
      </c>
      <c r="D87" t="s">
        <v>831</v>
      </c>
      <c r="K87" t="s">
        <v>1029</v>
      </c>
      <c r="R87" t="s">
        <v>831</v>
      </c>
    </row>
    <row r="88" spans="2:18" x14ac:dyDescent="0.25">
      <c r="B88" s="67" t="s">
        <v>635</v>
      </c>
      <c r="D88" t="s">
        <v>794</v>
      </c>
      <c r="K88" t="s">
        <v>1030</v>
      </c>
      <c r="R88" t="s">
        <v>794</v>
      </c>
    </row>
    <row r="89" spans="2:18" x14ac:dyDescent="0.25">
      <c r="B89" s="67" t="s">
        <v>636</v>
      </c>
      <c r="K89" t="s">
        <v>1031</v>
      </c>
    </row>
    <row r="90" spans="2:18" x14ac:dyDescent="0.25">
      <c r="B90" s="67" t="s">
        <v>637</v>
      </c>
      <c r="K90" t="s">
        <v>1032</v>
      </c>
    </row>
    <row r="91" spans="2:18" x14ac:dyDescent="0.25">
      <c r="B91" s="67" t="s">
        <v>638</v>
      </c>
      <c r="K91" t="s">
        <v>1033</v>
      </c>
    </row>
    <row r="92" spans="2:18" x14ac:dyDescent="0.25">
      <c r="B92" s="67" t="s">
        <v>639</v>
      </c>
      <c r="K92" t="s">
        <v>1034</v>
      </c>
    </row>
    <row r="93" spans="2:18" x14ac:dyDescent="0.25">
      <c r="B93" s="67" t="s">
        <v>640</v>
      </c>
      <c r="K93" t="s">
        <v>1035</v>
      </c>
    </row>
    <row r="94" spans="2:18" x14ac:dyDescent="0.25">
      <c r="B94" s="67" t="s">
        <v>641</v>
      </c>
      <c r="K94" t="s">
        <v>1036</v>
      </c>
    </row>
    <row r="95" spans="2:18" x14ac:dyDescent="0.25">
      <c r="B95" s="67" t="s">
        <v>642</v>
      </c>
      <c r="K95" t="s">
        <v>1037</v>
      </c>
    </row>
    <row r="96" spans="2:18" x14ac:dyDescent="0.25">
      <c r="B96" s="67" t="s">
        <v>643</v>
      </c>
      <c r="K96" t="s">
        <v>1038</v>
      </c>
    </row>
    <row r="97" spans="2:11" x14ac:dyDescent="0.25">
      <c r="B97" s="67" t="s">
        <v>644</v>
      </c>
      <c r="K97" t="s">
        <v>1039</v>
      </c>
    </row>
    <row r="98" spans="2:11" x14ac:dyDescent="0.25">
      <c r="B98" s="67" t="s">
        <v>645</v>
      </c>
      <c r="K98" t="s">
        <v>1040</v>
      </c>
    </row>
    <row r="99" spans="2:11" x14ac:dyDescent="0.25">
      <c r="B99" s="67" t="s">
        <v>646</v>
      </c>
      <c r="K99" t="s">
        <v>1041</v>
      </c>
    </row>
    <row r="100" spans="2:11" x14ac:dyDescent="0.25">
      <c r="B100" s="67" t="s">
        <v>647</v>
      </c>
      <c r="K100" t="s">
        <v>1042</v>
      </c>
    </row>
    <row r="101" spans="2:11" x14ac:dyDescent="0.25">
      <c r="B101" s="67" t="s">
        <v>648</v>
      </c>
      <c r="K101" t="s">
        <v>1043</v>
      </c>
    </row>
    <row r="102" spans="2:11" x14ac:dyDescent="0.25">
      <c r="B102" s="67" t="s">
        <v>649</v>
      </c>
      <c r="K102" t="s">
        <v>1044</v>
      </c>
    </row>
    <row r="103" spans="2:11" x14ac:dyDescent="0.25">
      <c r="B103" s="67" t="s">
        <v>650</v>
      </c>
      <c r="K103" t="s">
        <v>1045</v>
      </c>
    </row>
    <row r="104" spans="2:11" x14ac:dyDescent="0.25">
      <c r="B104" s="67" t="s">
        <v>651</v>
      </c>
      <c r="K104" t="s">
        <v>1046</v>
      </c>
    </row>
    <row r="105" spans="2:11" x14ac:dyDescent="0.25">
      <c r="B105" s="67" t="s">
        <v>652</v>
      </c>
      <c r="K105" t="s">
        <v>1047</v>
      </c>
    </row>
    <row r="106" spans="2:11" x14ac:dyDescent="0.25">
      <c r="B106" s="67" t="s">
        <v>653</v>
      </c>
      <c r="K106" t="s">
        <v>1048</v>
      </c>
    </row>
    <row r="107" spans="2:11" x14ac:dyDescent="0.25">
      <c r="B107" s="67" t="s">
        <v>654</v>
      </c>
      <c r="K107" t="s">
        <v>1049</v>
      </c>
    </row>
    <row r="108" spans="2:11" x14ac:dyDescent="0.25">
      <c r="B108" s="67" t="s">
        <v>655</v>
      </c>
      <c r="K108" t="s">
        <v>1050</v>
      </c>
    </row>
    <row r="109" spans="2:11" x14ac:dyDescent="0.25">
      <c r="B109" s="67" t="s">
        <v>656</v>
      </c>
      <c r="K109" t="s">
        <v>1051</v>
      </c>
    </row>
    <row r="110" spans="2:11" x14ac:dyDescent="0.25">
      <c r="B110" s="67" t="s">
        <v>657</v>
      </c>
      <c r="K110" t="s">
        <v>1052</v>
      </c>
    </row>
    <row r="111" spans="2:11" x14ac:dyDescent="0.25">
      <c r="B111" s="67" t="s">
        <v>658</v>
      </c>
      <c r="K111" t="s">
        <v>1053</v>
      </c>
    </row>
    <row r="112" spans="2:11" x14ac:dyDescent="0.25">
      <c r="B112" s="67" t="s">
        <v>659</v>
      </c>
      <c r="K112" t="s">
        <v>1054</v>
      </c>
    </row>
    <row r="113" spans="2:11" x14ac:dyDescent="0.25">
      <c r="B113" s="67" t="s">
        <v>660</v>
      </c>
      <c r="K113" t="s">
        <v>1055</v>
      </c>
    </row>
    <row r="114" spans="2:11" x14ac:dyDescent="0.25">
      <c r="B114" s="67" t="s">
        <v>661</v>
      </c>
      <c r="K114" t="s">
        <v>1056</v>
      </c>
    </row>
    <row r="115" spans="2:11" x14ac:dyDescent="0.25">
      <c r="B115" s="67" t="s">
        <v>662</v>
      </c>
      <c r="K115" t="s">
        <v>1057</v>
      </c>
    </row>
    <row r="116" spans="2:11" x14ac:dyDescent="0.25">
      <c r="B116" s="67" t="s">
        <v>663</v>
      </c>
      <c r="K116" t="s">
        <v>1058</v>
      </c>
    </row>
    <row r="117" spans="2:11" x14ac:dyDescent="0.25">
      <c r="B117" s="67" t="s">
        <v>664</v>
      </c>
      <c r="K117" t="s">
        <v>1059</v>
      </c>
    </row>
    <row r="118" spans="2:11" x14ac:dyDescent="0.25">
      <c r="B118" s="67" t="s">
        <v>665</v>
      </c>
      <c r="K118" t="s">
        <v>1060</v>
      </c>
    </row>
    <row r="119" spans="2:11" x14ac:dyDescent="0.25">
      <c r="B119" s="67" t="s">
        <v>666</v>
      </c>
      <c r="K119" t="s">
        <v>1061</v>
      </c>
    </row>
    <row r="120" spans="2:11" x14ac:dyDescent="0.25">
      <c r="B120" s="67" t="s">
        <v>667</v>
      </c>
      <c r="K120" t="s">
        <v>1062</v>
      </c>
    </row>
    <row r="121" spans="2:11" x14ac:dyDescent="0.25">
      <c r="B121" s="67" t="s">
        <v>668</v>
      </c>
      <c r="K121" t="s">
        <v>1063</v>
      </c>
    </row>
    <row r="122" spans="2:11" x14ac:dyDescent="0.25">
      <c r="B122" s="67" t="s">
        <v>669</v>
      </c>
      <c r="K122" t="s">
        <v>1064</v>
      </c>
    </row>
    <row r="123" spans="2:11" x14ac:dyDescent="0.25">
      <c r="B123" s="67" t="s">
        <v>670</v>
      </c>
      <c r="K123" t="s">
        <v>1065</v>
      </c>
    </row>
    <row r="124" spans="2:11" x14ac:dyDescent="0.25">
      <c r="B124" s="67" t="s">
        <v>671</v>
      </c>
      <c r="K124" t="s">
        <v>1066</v>
      </c>
    </row>
    <row r="125" spans="2:11" x14ac:dyDescent="0.25">
      <c r="B125" s="67" t="s">
        <v>672</v>
      </c>
      <c r="K125" t="s">
        <v>1067</v>
      </c>
    </row>
    <row r="126" spans="2:11" x14ac:dyDescent="0.25">
      <c r="B126" s="67" t="s">
        <v>673</v>
      </c>
      <c r="K126" t="s">
        <v>1068</v>
      </c>
    </row>
    <row r="127" spans="2:11" x14ac:dyDescent="0.25">
      <c r="B127" s="67" t="s">
        <v>674</v>
      </c>
      <c r="K127" t="s">
        <v>1069</v>
      </c>
    </row>
    <row r="128" spans="2:11" x14ac:dyDescent="0.25">
      <c r="B128" s="67" t="s">
        <v>675</v>
      </c>
      <c r="K128" t="s">
        <v>1070</v>
      </c>
    </row>
    <row r="129" spans="2:11" x14ac:dyDescent="0.25">
      <c r="B129" s="67" t="s">
        <v>676</v>
      </c>
      <c r="K129" t="s">
        <v>1071</v>
      </c>
    </row>
    <row r="130" spans="2:11" x14ac:dyDescent="0.25">
      <c r="B130" s="67" t="s">
        <v>677</v>
      </c>
      <c r="K130" t="s">
        <v>1072</v>
      </c>
    </row>
    <row r="131" spans="2:11" x14ac:dyDescent="0.25">
      <c r="B131" s="67" t="s">
        <v>678</v>
      </c>
      <c r="K131" t="s">
        <v>1073</v>
      </c>
    </row>
    <row r="132" spans="2:11" x14ac:dyDescent="0.25">
      <c r="B132" s="67" t="s">
        <v>679</v>
      </c>
      <c r="K132" t="s">
        <v>1074</v>
      </c>
    </row>
    <row r="133" spans="2:11" x14ac:dyDescent="0.25">
      <c r="B133" s="67" t="s">
        <v>680</v>
      </c>
      <c r="K133" t="s">
        <v>1075</v>
      </c>
    </row>
    <row r="134" spans="2:11" x14ac:dyDescent="0.25">
      <c r="B134" s="67" t="s">
        <v>681</v>
      </c>
      <c r="K134" t="s">
        <v>1076</v>
      </c>
    </row>
    <row r="135" spans="2:11" x14ac:dyDescent="0.25">
      <c r="B135" s="67" t="s">
        <v>682</v>
      </c>
      <c r="K135" t="s">
        <v>1077</v>
      </c>
    </row>
    <row r="136" spans="2:11" x14ac:dyDescent="0.25">
      <c r="B136" s="67" t="s">
        <v>683</v>
      </c>
      <c r="K136" t="s">
        <v>1078</v>
      </c>
    </row>
    <row r="137" spans="2:11" x14ac:dyDescent="0.25">
      <c r="B137" s="67" t="s">
        <v>684</v>
      </c>
      <c r="K137" t="s">
        <v>1079</v>
      </c>
    </row>
    <row r="138" spans="2:11" x14ac:dyDescent="0.25">
      <c r="B138" s="67" t="s">
        <v>685</v>
      </c>
      <c r="K138" t="s">
        <v>1080</v>
      </c>
    </row>
    <row r="139" spans="2:11" x14ac:dyDescent="0.25">
      <c r="B139" s="67" t="s">
        <v>686</v>
      </c>
      <c r="K139" t="s">
        <v>1081</v>
      </c>
    </row>
    <row r="140" spans="2:11" x14ac:dyDescent="0.25">
      <c r="B140" s="67" t="s">
        <v>687</v>
      </c>
      <c r="K140" t="s">
        <v>1082</v>
      </c>
    </row>
    <row r="141" spans="2:11" x14ac:dyDescent="0.25">
      <c r="B141" s="67" t="s">
        <v>688</v>
      </c>
      <c r="K141" t="s">
        <v>1083</v>
      </c>
    </row>
    <row r="142" spans="2:11" x14ac:dyDescent="0.25">
      <c r="B142" s="67" t="s">
        <v>689</v>
      </c>
      <c r="K142" t="s">
        <v>1084</v>
      </c>
    </row>
    <row r="143" spans="2:11" x14ac:dyDescent="0.25">
      <c r="B143" s="67" t="s">
        <v>690</v>
      </c>
      <c r="K143" t="s">
        <v>1085</v>
      </c>
    </row>
    <row r="144" spans="2:11" x14ac:dyDescent="0.25">
      <c r="B144" s="67" t="s">
        <v>691</v>
      </c>
      <c r="K144" t="s">
        <v>1086</v>
      </c>
    </row>
    <row r="145" spans="2:11" x14ac:dyDescent="0.25">
      <c r="B145" s="67" t="s">
        <v>692</v>
      </c>
      <c r="K145" t="s">
        <v>1087</v>
      </c>
    </row>
    <row r="146" spans="2:11" x14ac:dyDescent="0.25">
      <c r="B146" s="67" t="s">
        <v>693</v>
      </c>
      <c r="K146" t="s">
        <v>1088</v>
      </c>
    </row>
    <row r="147" spans="2:11" x14ac:dyDescent="0.25">
      <c r="B147" s="67" t="s">
        <v>694</v>
      </c>
      <c r="K147" t="s">
        <v>1089</v>
      </c>
    </row>
    <row r="148" spans="2:11" x14ac:dyDescent="0.25">
      <c r="B148" s="67" t="s">
        <v>695</v>
      </c>
      <c r="K148" t="s">
        <v>1090</v>
      </c>
    </row>
    <row r="149" spans="2:11" x14ac:dyDescent="0.25">
      <c r="B149" s="67" t="s">
        <v>696</v>
      </c>
      <c r="K149" t="s">
        <v>1091</v>
      </c>
    </row>
    <row r="150" spans="2:11" x14ac:dyDescent="0.25">
      <c r="B150" s="67" t="s">
        <v>697</v>
      </c>
      <c r="K150" t="s">
        <v>1092</v>
      </c>
    </row>
    <row r="151" spans="2:11" x14ac:dyDescent="0.25">
      <c r="B151" s="67" t="s">
        <v>698</v>
      </c>
      <c r="K151" t="s">
        <v>1093</v>
      </c>
    </row>
    <row r="152" spans="2:11" x14ac:dyDescent="0.25">
      <c r="B152" s="67" t="s">
        <v>699</v>
      </c>
      <c r="K152" t="s">
        <v>1094</v>
      </c>
    </row>
    <row r="153" spans="2:11" x14ac:dyDescent="0.25">
      <c r="B153" s="67" t="s">
        <v>700</v>
      </c>
      <c r="K153" t="s">
        <v>1095</v>
      </c>
    </row>
    <row r="154" spans="2:11" x14ac:dyDescent="0.25">
      <c r="B154" s="67" t="s">
        <v>701</v>
      </c>
      <c r="K154" t="s">
        <v>1096</v>
      </c>
    </row>
    <row r="155" spans="2:11" x14ac:dyDescent="0.25">
      <c r="B155" s="67" t="s">
        <v>702</v>
      </c>
      <c r="K155" t="s">
        <v>1097</v>
      </c>
    </row>
    <row r="156" spans="2:11" x14ac:dyDescent="0.25">
      <c r="B156" s="67" t="s">
        <v>703</v>
      </c>
      <c r="K156" t="s">
        <v>1098</v>
      </c>
    </row>
    <row r="157" spans="2:11" x14ac:dyDescent="0.25">
      <c r="B157" s="67" t="s">
        <v>704</v>
      </c>
      <c r="K157" t="s">
        <v>1099</v>
      </c>
    </row>
    <row r="158" spans="2:11" x14ac:dyDescent="0.25">
      <c r="B158" s="67" t="s">
        <v>705</v>
      </c>
      <c r="K158" t="s">
        <v>1100</v>
      </c>
    </row>
    <row r="159" spans="2:11" x14ac:dyDescent="0.25">
      <c r="B159" s="67" t="s">
        <v>706</v>
      </c>
      <c r="K159" t="s">
        <v>1101</v>
      </c>
    </row>
    <row r="160" spans="2:11" x14ac:dyDescent="0.25">
      <c r="B160" s="67" t="s">
        <v>707</v>
      </c>
      <c r="K160" t="s">
        <v>1102</v>
      </c>
    </row>
    <row r="161" spans="2:11" x14ac:dyDescent="0.25">
      <c r="B161" s="67" t="s">
        <v>708</v>
      </c>
      <c r="K161" t="s">
        <v>1103</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1192</v>
      </c>
      <c r="S1" t="s">
        <v>17</v>
      </c>
      <c r="V1" t="s">
        <v>18</v>
      </c>
      <c r="Y1" t="s">
        <v>207</v>
      </c>
      <c r="AE1" t="s">
        <v>297</v>
      </c>
      <c r="AI1" t="s">
        <v>327</v>
      </c>
    </row>
    <row r="2" spans="1:35" x14ac:dyDescent="0.25">
      <c r="A2">
        <v>0</v>
      </c>
      <c r="E2" t="s">
        <v>19</v>
      </c>
      <c r="F2">
        <v>1</v>
      </c>
      <c r="H2">
        <v>65</v>
      </c>
      <c r="I2">
        <v>0.65</v>
      </c>
      <c r="K2" s="322">
        <v>43892</v>
      </c>
      <c r="L2" s="322"/>
      <c r="M2" s="322"/>
      <c r="S2" s="7">
        <f>IF(Demand!$C$6="","",Demand!$C$6)</f>
        <v>43893</v>
      </c>
      <c r="V2">
        <v>1</v>
      </c>
      <c r="Y2" t="s">
        <v>210</v>
      </c>
      <c r="Z2" t="s">
        <v>208</v>
      </c>
      <c r="AA2" t="s">
        <v>209</v>
      </c>
      <c r="AE2" t="s">
        <v>57</v>
      </c>
      <c r="AI2" t="str">
        <f ca="1">"Baseline: "&amp;TEXT(MAX('SPC background (hide)'!$I$5:$I$11),"#")&amp;" wks"</f>
        <v>Baseline: 10 wks</v>
      </c>
    </row>
    <row r="3" spans="1:35" x14ac:dyDescent="0.25">
      <c r="A3">
        <v>1</v>
      </c>
      <c r="C3" t="s">
        <v>20</v>
      </c>
      <c r="E3" t="s">
        <v>21</v>
      </c>
      <c r="F3">
        <v>2</v>
      </c>
      <c r="H3">
        <v>70</v>
      </c>
      <c r="I3">
        <v>0.7</v>
      </c>
      <c r="K3" s="322">
        <f>K2+7</f>
        <v>43899</v>
      </c>
      <c r="S3" s="7">
        <f>IF($S$2="","",S2+7)</f>
        <v>43900</v>
      </c>
      <c r="V3">
        <v>1.5</v>
      </c>
      <c r="Y3" t="s">
        <v>32</v>
      </c>
      <c r="Z3" t="str">
        <f>Setup!C27</f>
        <v>Modality 1</v>
      </c>
      <c r="AA3" t="str">
        <f>IF(Z3="",Y3,Z3)</f>
        <v>Modality 1</v>
      </c>
      <c r="AE3" t="str">
        <f>IF(Capacity!B17="","",ROW(A1)&amp;". "&amp;Capacity!B17)</f>
        <v>1. Clinic 1</v>
      </c>
      <c r="AF3" s="67"/>
      <c r="AI3">
        <v>20</v>
      </c>
    </row>
    <row r="4" spans="1:35" x14ac:dyDescent="0.25">
      <c r="A4">
        <v>2</v>
      </c>
      <c r="C4" t="s">
        <v>22</v>
      </c>
      <c r="E4" t="s">
        <v>23</v>
      </c>
      <c r="F4">
        <v>3</v>
      </c>
      <c r="H4">
        <v>75</v>
      </c>
      <c r="I4">
        <v>0.75</v>
      </c>
      <c r="K4" s="322">
        <f t="shared" ref="K4:K54" si="0">K3+7</f>
        <v>43906</v>
      </c>
      <c r="S4" s="7">
        <f t="shared" ref="S4:S53" si="1">IF($S$2="","",S3+7)</f>
        <v>43907</v>
      </c>
      <c r="V4">
        <v>2</v>
      </c>
      <c r="Y4" t="s">
        <v>34</v>
      </c>
      <c r="Z4" t="str">
        <f>Setup!C28</f>
        <v>Modality 2</v>
      </c>
      <c r="AA4" t="str">
        <f t="shared" ref="AA4:AA12" si="2">IF(Z4="",Y4,Z4)</f>
        <v>Modality 2</v>
      </c>
      <c r="AE4" s="67" t="str">
        <f>IF(Capacity!B18="","",ROW(A2)&amp;". "&amp;Capacity!B18)</f>
        <v/>
      </c>
      <c r="AF4" s="67"/>
      <c r="AI4">
        <v>21</v>
      </c>
    </row>
    <row r="5" spans="1:35" x14ac:dyDescent="0.25">
      <c r="A5">
        <v>3</v>
      </c>
      <c r="H5">
        <v>80</v>
      </c>
      <c r="I5">
        <v>0.8</v>
      </c>
      <c r="K5" s="322">
        <f t="shared" si="0"/>
        <v>43913</v>
      </c>
      <c r="S5" s="7">
        <f t="shared" si="1"/>
        <v>43914</v>
      </c>
      <c r="V5">
        <v>2.5</v>
      </c>
      <c r="Y5" t="s">
        <v>36</v>
      </c>
      <c r="Z5" t="str">
        <f>Setup!C29</f>
        <v>Modality 3</v>
      </c>
      <c r="AA5" t="str">
        <f t="shared" si="2"/>
        <v>Modality 3</v>
      </c>
      <c r="AE5" s="67" t="str">
        <f>IF(Capacity!B19="","",ROW(A3)&amp;". "&amp;Capacity!B19)</f>
        <v/>
      </c>
      <c r="AF5" s="67"/>
      <c r="AI5" s="67">
        <v>22</v>
      </c>
    </row>
    <row r="6" spans="1:35" x14ac:dyDescent="0.25">
      <c r="A6">
        <v>4</v>
      </c>
      <c r="C6" t="s">
        <v>22</v>
      </c>
      <c r="E6" t="s">
        <v>19</v>
      </c>
      <c r="I6">
        <v>0.85</v>
      </c>
      <c r="K6" s="322">
        <f t="shared" si="0"/>
        <v>43920</v>
      </c>
      <c r="S6" s="7">
        <f t="shared" si="1"/>
        <v>43921</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22">
        <f t="shared" si="0"/>
        <v>43927</v>
      </c>
      <c r="S7" s="7">
        <f t="shared" si="1"/>
        <v>43928</v>
      </c>
      <c r="V7">
        <v>3.5</v>
      </c>
      <c r="Y7" t="s">
        <v>40</v>
      </c>
      <c r="Z7" t="str">
        <f>Setup!C31</f>
        <v>Modality 5</v>
      </c>
      <c r="AA7" t="str">
        <f t="shared" si="2"/>
        <v>Modality 5</v>
      </c>
      <c r="AE7" s="67" t="str">
        <f>IF(Capacity!B21="","",ROW(A5)&amp;". "&amp;Capacity!B21)</f>
        <v/>
      </c>
      <c r="AF7" s="67"/>
      <c r="AI7" s="67">
        <v>24</v>
      </c>
    </row>
    <row r="8" spans="1:35" x14ac:dyDescent="0.25">
      <c r="A8">
        <v>6</v>
      </c>
      <c r="K8" s="322">
        <f t="shared" si="0"/>
        <v>43934</v>
      </c>
      <c r="S8" s="7">
        <f t="shared" si="1"/>
        <v>43935</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22">
        <f t="shared" si="0"/>
        <v>43941</v>
      </c>
      <c r="S9" s="7">
        <f t="shared" si="1"/>
        <v>43942</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22">
        <f t="shared" si="0"/>
        <v>43948</v>
      </c>
      <c r="S10" s="7">
        <f t="shared" si="1"/>
        <v>43949</v>
      </c>
      <c r="V10">
        <v>5</v>
      </c>
      <c r="Y10" t="s">
        <v>46</v>
      </c>
      <c r="Z10" t="str">
        <f>Setup!C34</f>
        <v>Modality 8</v>
      </c>
      <c r="AA10" t="str">
        <f t="shared" si="2"/>
        <v>Modality 8</v>
      </c>
      <c r="AE10" s="67" t="str">
        <f>IF(Capacity!B24="","",ROW(A8)&amp;". "&amp;Capacity!B24)</f>
        <v/>
      </c>
      <c r="AF10" s="67"/>
      <c r="AI10" s="67">
        <v>27</v>
      </c>
    </row>
    <row r="11" spans="1:35" x14ac:dyDescent="0.25">
      <c r="A11">
        <v>9</v>
      </c>
      <c r="C11" t="s">
        <v>1186</v>
      </c>
      <c r="K11" s="322">
        <f t="shared" si="0"/>
        <v>43955</v>
      </c>
      <c r="S11" s="7">
        <f t="shared" si="1"/>
        <v>43956</v>
      </c>
      <c r="V11">
        <v>5.5</v>
      </c>
      <c r="Y11" t="s">
        <v>48</v>
      </c>
      <c r="Z11" t="str">
        <f>Setup!C35</f>
        <v>Modality 9</v>
      </c>
      <c r="AA11" t="str">
        <f t="shared" si="2"/>
        <v>Modality 9</v>
      </c>
      <c r="AE11" s="67" t="str">
        <f>IF(Capacity!B25="","",ROW(A9)&amp;". "&amp;Capacity!B25)</f>
        <v/>
      </c>
      <c r="AF11" s="67"/>
      <c r="AI11" s="67">
        <v>28</v>
      </c>
    </row>
    <row r="12" spans="1:35" x14ac:dyDescent="0.25">
      <c r="A12">
        <v>10</v>
      </c>
      <c r="K12" s="322">
        <f t="shared" si="0"/>
        <v>43962</v>
      </c>
      <c r="S12" s="7">
        <f t="shared" si="1"/>
        <v>43963</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22">
        <f t="shared" si="0"/>
        <v>43969</v>
      </c>
      <c r="S13" s="7">
        <f t="shared" si="1"/>
        <v>43970</v>
      </c>
      <c r="V13">
        <v>6.5</v>
      </c>
      <c r="AA13" t="s">
        <v>211</v>
      </c>
      <c r="AE13" s="67" t="str">
        <f>IF(Capacity!B27="","",ROW(A11)&amp;". "&amp;Capacity!B27)</f>
        <v/>
      </c>
      <c r="AF13" s="67"/>
      <c r="AI13" s="67">
        <v>30</v>
      </c>
    </row>
    <row r="14" spans="1:35" x14ac:dyDescent="0.25">
      <c r="A14">
        <v>12</v>
      </c>
      <c r="E14" t="s">
        <v>25</v>
      </c>
      <c r="H14" t="s">
        <v>876</v>
      </c>
      <c r="K14" s="322">
        <f t="shared" si="0"/>
        <v>43976</v>
      </c>
      <c r="S14" s="7">
        <f t="shared" si="1"/>
        <v>43977</v>
      </c>
      <c r="V14">
        <v>7</v>
      </c>
      <c r="AE14" s="67" t="str">
        <f>IF(Capacity!B28="","",ROW(A12)&amp;". "&amp;Capacity!B28)</f>
        <v/>
      </c>
      <c r="AF14" s="67"/>
      <c r="AI14" s="67">
        <v>31</v>
      </c>
    </row>
    <row r="15" spans="1:35" x14ac:dyDescent="0.25">
      <c r="A15">
        <v>13</v>
      </c>
      <c r="K15" s="322">
        <f t="shared" si="0"/>
        <v>43983</v>
      </c>
      <c r="S15" s="7">
        <f t="shared" si="1"/>
        <v>43984</v>
      </c>
      <c r="V15">
        <v>7.5</v>
      </c>
      <c r="AE15" s="67" t="str">
        <f>IF(Capacity!B29="","",ROW(A13)&amp;". "&amp;Capacity!B29)</f>
        <v/>
      </c>
      <c r="AF15" s="67"/>
      <c r="AI15" s="67">
        <v>32</v>
      </c>
    </row>
    <row r="16" spans="1:35" x14ac:dyDescent="0.25">
      <c r="A16">
        <v>14</v>
      </c>
      <c r="E16" t="s">
        <v>88</v>
      </c>
      <c r="K16" s="322">
        <f t="shared" si="0"/>
        <v>43990</v>
      </c>
      <c r="S16" s="7">
        <f t="shared" si="1"/>
        <v>43991</v>
      </c>
      <c r="V16">
        <v>8</v>
      </c>
      <c r="AE16" s="67" t="str">
        <f>IF(Capacity!B30="","",ROW(A14)&amp;". "&amp;Capacity!B30)</f>
        <v/>
      </c>
      <c r="AF16" s="67"/>
      <c r="AI16" s="67">
        <v>33</v>
      </c>
    </row>
    <row r="17" spans="1:35" x14ac:dyDescent="0.25">
      <c r="A17">
        <v>15</v>
      </c>
      <c r="E17" t="s">
        <v>87</v>
      </c>
      <c r="K17" s="322">
        <f t="shared" si="0"/>
        <v>43997</v>
      </c>
      <c r="S17" s="7">
        <f t="shared" si="1"/>
        <v>43998</v>
      </c>
      <c r="V17">
        <v>8.5</v>
      </c>
      <c r="AE17" s="67" t="str">
        <f>IF(Capacity!B31="","",ROW(A15)&amp;". "&amp;Capacity!B31)</f>
        <v/>
      </c>
      <c r="AF17" s="67"/>
      <c r="AI17" s="67">
        <v>34</v>
      </c>
    </row>
    <row r="18" spans="1:35" x14ac:dyDescent="0.25">
      <c r="A18">
        <v>16</v>
      </c>
      <c r="K18" s="322">
        <f t="shared" si="0"/>
        <v>44004</v>
      </c>
      <c r="S18" s="7">
        <f t="shared" si="1"/>
        <v>44005</v>
      </c>
      <c r="V18">
        <v>9</v>
      </c>
      <c r="AE18" s="67" t="str">
        <f>IF(Capacity!B32="","",ROW(A16)&amp;". "&amp;Capacity!B32)</f>
        <v/>
      </c>
      <c r="AF18" s="67"/>
      <c r="AI18" s="67">
        <v>35</v>
      </c>
    </row>
    <row r="19" spans="1:35" x14ac:dyDescent="0.25">
      <c r="A19">
        <v>17</v>
      </c>
      <c r="E19" t="s">
        <v>402</v>
      </c>
      <c r="K19" s="322">
        <f t="shared" si="0"/>
        <v>44011</v>
      </c>
      <c r="S19" s="7">
        <f t="shared" si="1"/>
        <v>44012</v>
      </c>
      <c r="V19">
        <v>9.5</v>
      </c>
      <c r="AE19" s="67" t="str">
        <f>IF(Capacity!B33="","",ROW(A17)&amp;". "&amp;Capacity!B33)</f>
        <v/>
      </c>
      <c r="AF19" s="67"/>
      <c r="AI19" s="67">
        <v>36</v>
      </c>
    </row>
    <row r="20" spans="1:35" x14ac:dyDescent="0.25">
      <c r="A20">
        <v>18</v>
      </c>
      <c r="E20" t="s">
        <v>401</v>
      </c>
      <c r="K20" s="322">
        <f t="shared" si="0"/>
        <v>44018</v>
      </c>
      <c r="S20" s="7">
        <f t="shared" si="1"/>
        <v>44019</v>
      </c>
      <c r="V20">
        <v>10</v>
      </c>
      <c r="AE20" s="67" t="str">
        <f>IF(Capacity!B34="","",ROW(A18)&amp;". "&amp;Capacity!B34)</f>
        <v/>
      </c>
      <c r="AF20" s="67"/>
      <c r="AI20" s="67">
        <v>37</v>
      </c>
    </row>
    <row r="21" spans="1:35" x14ac:dyDescent="0.25">
      <c r="A21">
        <v>19</v>
      </c>
      <c r="K21" s="322">
        <f t="shared" si="0"/>
        <v>44025</v>
      </c>
      <c r="S21" s="7">
        <f t="shared" si="1"/>
        <v>44026</v>
      </c>
      <c r="V21">
        <v>10.5</v>
      </c>
      <c r="AE21" s="67" t="str">
        <f>IF(Capacity!B35="","",ROW(A19)&amp;". "&amp;Capacity!B35)</f>
        <v/>
      </c>
      <c r="AF21" s="67"/>
      <c r="AI21" s="67">
        <v>38</v>
      </c>
    </row>
    <row r="22" spans="1:35" x14ac:dyDescent="0.25">
      <c r="A22">
        <v>20</v>
      </c>
      <c r="E22" t="s">
        <v>24</v>
      </c>
      <c r="K22" s="322">
        <f t="shared" si="0"/>
        <v>44032</v>
      </c>
      <c r="S22" s="7">
        <f t="shared" si="1"/>
        <v>44033</v>
      </c>
      <c r="V22">
        <v>11</v>
      </c>
      <c r="AE22" s="67" t="str">
        <f>IF(Capacity!B36="","",ROW(A20)&amp;". "&amp;Capacity!B36)</f>
        <v/>
      </c>
      <c r="AF22" s="67"/>
      <c r="AI22" s="67">
        <v>39</v>
      </c>
    </row>
    <row r="23" spans="1:35" x14ac:dyDescent="0.25">
      <c r="A23">
        <v>21</v>
      </c>
      <c r="E23" t="s">
        <v>421</v>
      </c>
      <c r="K23" s="322">
        <f t="shared" si="0"/>
        <v>44039</v>
      </c>
      <c r="S23" s="7">
        <f t="shared" si="1"/>
        <v>44040</v>
      </c>
      <c r="V23">
        <v>11.5</v>
      </c>
      <c r="AE23" s="67" t="str">
        <f>IF(Capacity!B37="","",ROW(A21)&amp;". "&amp;Capacity!B37)</f>
        <v/>
      </c>
      <c r="AF23" s="67"/>
      <c r="AI23" s="67">
        <v>40</v>
      </c>
    </row>
    <row r="24" spans="1:35" x14ac:dyDescent="0.25">
      <c r="A24">
        <v>22</v>
      </c>
      <c r="H24" t="s">
        <v>249</v>
      </c>
      <c r="K24" s="322">
        <f t="shared" si="0"/>
        <v>44046</v>
      </c>
      <c r="S24" s="7">
        <f t="shared" si="1"/>
        <v>44047</v>
      </c>
      <c r="V24">
        <v>12</v>
      </c>
      <c r="AE24" s="67" t="str">
        <f>IF(Capacity!B38="","",ROW(A22)&amp;". "&amp;Capacity!B38)</f>
        <v/>
      </c>
      <c r="AF24" s="67"/>
      <c r="AI24" s="67">
        <v>41</v>
      </c>
    </row>
    <row r="25" spans="1:35" x14ac:dyDescent="0.25">
      <c r="A25">
        <v>23</v>
      </c>
      <c r="E25" t="s">
        <v>480</v>
      </c>
      <c r="H25" t="s">
        <v>1244</v>
      </c>
      <c r="K25" s="322">
        <f t="shared" si="0"/>
        <v>44053</v>
      </c>
      <c r="S25" s="7">
        <f t="shared" si="1"/>
        <v>44054</v>
      </c>
      <c r="AE25" s="67" t="str">
        <f>IF(Capacity!B39="","",ROW(A23)&amp;". "&amp;Capacity!B39)</f>
        <v/>
      </c>
      <c r="AF25" s="67"/>
      <c r="AI25" s="67">
        <v>42</v>
      </c>
    </row>
    <row r="26" spans="1:35" x14ac:dyDescent="0.25">
      <c r="A26">
        <v>24</v>
      </c>
      <c r="E26" t="s">
        <v>481</v>
      </c>
      <c r="K26" s="322">
        <f t="shared" si="0"/>
        <v>44060</v>
      </c>
      <c r="S26" s="7">
        <f t="shared" si="1"/>
        <v>44061</v>
      </c>
      <c r="AE26" s="67" t="str">
        <f>IF(Capacity!B40="","",ROW(A24)&amp;". "&amp;Capacity!B40)</f>
        <v/>
      </c>
      <c r="AF26" s="67"/>
      <c r="AI26" s="67">
        <v>43</v>
      </c>
    </row>
    <row r="27" spans="1:35" x14ac:dyDescent="0.25">
      <c r="A27">
        <v>25</v>
      </c>
      <c r="K27" s="322">
        <f t="shared" si="0"/>
        <v>44067</v>
      </c>
      <c r="S27" s="7">
        <f t="shared" si="1"/>
        <v>44068</v>
      </c>
      <c r="AE27" s="67" t="str">
        <f>IF(Capacity!B41="","",ROW(A25)&amp;". "&amp;Capacity!B41)</f>
        <v/>
      </c>
      <c r="AF27" s="67"/>
      <c r="AI27" s="67">
        <v>44</v>
      </c>
    </row>
    <row r="28" spans="1:35" x14ac:dyDescent="0.25">
      <c r="A28">
        <v>26</v>
      </c>
      <c r="K28" s="322">
        <f t="shared" si="0"/>
        <v>44074</v>
      </c>
      <c r="S28" s="7">
        <f t="shared" si="1"/>
        <v>44075</v>
      </c>
      <c r="AE28" s="67" t="str">
        <f>IF(Capacity!B42="","",ROW(A26)&amp;". "&amp;Capacity!B42)</f>
        <v/>
      </c>
      <c r="AF28" s="67"/>
      <c r="AI28" s="67">
        <v>45</v>
      </c>
    </row>
    <row r="29" spans="1:35" x14ac:dyDescent="0.25">
      <c r="A29">
        <v>27</v>
      </c>
      <c r="C29" t="s">
        <v>194</v>
      </c>
      <c r="E29" t="s">
        <v>482</v>
      </c>
      <c r="K29" s="322">
        <f t="shared" si="0"/>
        <v>44081</v>
      </c>
      <c r="S29" s="7">
        <f t="shared" si="1"/>
        <v>44082</v>
      </c>
      <c r="AE29" s="67" t="str">
        <f>IF(Capacity!B43="","",ROW(A27)&amp;". "&amp;Capacity!B43)</f>
        <v/>
      </c>
      <c r="AF29" s="67"/>
      <c r="AI29" s="67">
        <v>46</v>
      </c>
    </row>
    <row r="30" spans="1:35" x14ac:dyDescent="0.25">
      <c r="A30">
        <v>28</v>
      </c>
      <c r="C30" t="s">
        <v>192</v>
      </c>
      <c r="K30" s="322">
        <f t="shared" si="0"/>
        <v>44088</v>
      </c>
      <c r="S30" s="7">
        <f t="shared" si="1"/>
        <v>44089</v>
      </c>
      <c r="AE30" s="67" t="str">
        <f>IF(Capacity!B44="","",ROW(A28)&amp;". "&amp;Capacity!B44)</f>
        <v/>
      </c>
      <c r="AF30" s="67"/>
      <c r="AI30" s="67">
        <v>47</v>
      </c>
    </row>
    <row r="31" spans="1:35" x14ac:dyDescent="0.25">
      <c r="A31">
        <v>29</v>
      </c>
      <c r="C31" t="s">
        <v>193</v>
      </c>
      <c r="K31" s="322">
        <f t="shared" si="0"/>
        <v>44095</v>
      </c>
      <c r="S31" s="7">
        <f t="shared" si="1"/>
        <v>44096</v>
      </c>
      <c r="AE31" s="67" t="str">
        <f>IF(Capacity!B45="","",ROW(A29)&amp;". "&amp;Capacity!B45)</f>
        <v/>
      </c>
      <c r="AF31" s="67"/>
      <c r="AI31" s="67">
        <v>48</v>
      </c>
    </row>
    <row r="32" spans="1:35" x14ac:dyDescent="0.25">
      <c r="A32">
        <v>30</v>
      </c>
      <c r="K32" s="322">
        <f t="shared" si="0"/>
        <v>44102</v>
      </c>
      <c r="S32" s="7">
        <f t="shared" si="1"/>
        <v>44103</v>
      </c>
      <c r="AE32" s="67" t="str">
        <f>IF(Capacity!B46="","",ROW(A30)&amp;". "&amp;Capacity!B46)</f>
        <v/>
      </c>
      <c r="AF32" s="67"/>
      <c r="AI32" s="67">
        <v>49</v>
      </c>
    </row>
    <row r="33" spans="1:35" x14ac:dyDescent="0.25">
      <c r="A33">
        <v>31</v>
      </c>
      <c r="K33" s="322">
        <f t="shared" si="0"/>
        <v>44109</v>
      </c>
      <c r="S33" s="7">
        <f t="shared" si="1"/>
        <v>44110</v>
      </c>
      <c r="AE33" s="67" t="str">
        <f>IF(Capacity!B47="","",ROW(A31)&amp;". "&amp;Capacity!B47)</f>
        <v/>
      </c>
      <c r="AF33" s="67"/>
      <c r="AI33" s="67">
        <v>50</v>
      </c>
    </row>
    <row r="34" spans="1:35" x14ac:dyDescent="0.25">
      <c r="A34">
        <v>32</v>
      </c>
      <c r="C34" t="s">
        <v>24</v>
      </c>
      <c r="K34" s="322">
        <f t="shared" si="0"/>
        <v>44116</v>
      </c>
      <c r="S34" s="7">
        <f t="shared" si="1"/>
        <v>44117</v>
      </c>
      <c r="AE34" s="67" t="str">
        <f>IF(Capacity!B48="","",ROW(A32)&amp;". "&amp;Capacity!B48)</f>
        <v/>
      </c>
      <c r="AF34" s="67"/>
      <c r="AI34" s="67">
        <v>51</v>
      </c>
    </row>
    <row r="35" spans="1:35" x14ac:dyDescent="0.25">
      <c r="A35">
        <v>33</v>
      </c>
      <c r="C35" t="s">
        <v>102</v>
      </c>
      <c r="K35" s="322">
        <f t="shared" si="0"/>
        <v>44123</v>
      </c>
      <c r="S35" s="7">
        <f t="shared" si="1"/>
        <v>44124</v>
      </c>
      <c r="AE35" s="67" t="str">
        <f>IF(Capacity!B49="","",ROW(A33)&amp;". "&amp;Capacity!B49)</f>
        <v/>
      </c>
      <c r="AF35" s="67"/>
      <c r="AI35" s="67">
        <v>52</v>
      </c>
    </row>
    <row r="36" spans="1:35" x14ac:dyDescent="0.25">
      <c r="A36">
        <v>34</v>
      </c>
      <c r="K36" s="322">
        <f t="shared" si="0"/>
        <v>44130</v>
      </c>
      <c r="S36" s="7">
        <f t="shared" si="1"/>
        <v>44131</v>
      </c>
      <c r="AE36" s="67" t="str">
        <f>IF(Capacity!B50="","",ROW(A34)&amp;". "&amp;Capacity!B50)</f>
        <v/>
      </c>
      <c r="AF36" s="67"/>
    </row>
    <row r="37" spans="1:35" x14ac:dyDescent="0.25">
      <c r="A37">
        <v>35</v>
      </c>
      <c r="K37" s="322">
        <f t="shared" si="0"/>
        <v>44137</v>
      </c>
      <c r="S37" s="7">
        <f t="shared" si="1"/>
        <v>44138</v>
      </c>
      <c r="AE37" s="67" t="str">
        <f>IF(Capacity!B51="","",ROW(A35)&amp;". "&amp;Capacity!B51)</f>
        <v/>
      </c>
      <c r="AF37" s="67"/>
    </row>
    <row r="38" spans="1:35" x14ac:dyDescent="0.25">
      <c r="A38">
        <v>36</v>
      </c>
      <c r="K38" s="322">
        <f t="shared" si="0"/>
        <v>44144</v>
      </c>
      <c r="S38" s="7">
        <f t="shared" si="1"/>
        <v>44145</v>
      </c>
      <c r="AE38" s="67" t="str">
        <f>IF(Capacity!B52="","",ROW(A36)&amp;". "&amp;Capacity!B52)</f>
        <v/>
      </c>
      <c r="AF38" s="67"/>
    </row>
    <row r="39" spans="1:35" x14ac:dyDescent="0.25">
      <c r="A39">
        <v>37</v>
      </c>
      <c r="K39" s="322">
        <f t="shared" si="0"/>
        <v>44151</v>
      </c>
      <c r="S39" s="7">
        <f t="shared" si="1"/>
        <v>44152</v>
      </c>
      <c r="AE39" s="67" t="str">
        <f>IF(Capacity!B53="","",ROW(A37)&amp;". "&amp;Capacity!B53)</f>
        <v/>
      </c>
      <c r="AF39" s="67"/>
    </row>
    <row r="40" spans="1:35" x14ac:dyDescent="0.25">
      <c r="A40">
        <v>38</v>
      </c>
      <c r="K40" s="322">
        <f t="shared" si="0"/>
        <v>44158</v>
      </c>
      <c r="S40" s="7">
        <f t="shared" si="1"/>
        <v>44159</v>
      </c>
      <c r="AE40" s="67" t="str">
        <f>IF(Capacity!B54="","",ROW(A38)&amp;". "&amp;Capacity!B54)</f>
        <v/>
      </c>
      <c r="AF40" s="67"/>
    </row>
    <row r="41" spans="1:35" x14ac:dyDescent="0.25">
      <c r="A41">
        <v>39</v>
      </c>
      <c r="K41" s="322">
        <f t="shared" si="0"/>
        <v>44165</v>
      </c>
      <c r="S41" s="7">
        <f t="shared" si="1"/>
        <v>44166</v>
      </c>
      <c r="AE41" s="67" t="str">
        <f>IF(Capacity!B55="","",ROW(A39)&amp;". "&amp;Capacity!B55)</f>
        <v/>
      </c>
      <c r="AF41" s="67"/>
    </row>
    <row r="42" spans="1:35" x14ac:dyDescent="0.25">
      <c r="A42">
        <v>40</v>
      </c>
      <c r="K42" s="322">
        <f t="shared" si="0"/>
        <v>44172</v>
      </c>
      <c r="S42" s="7">
        <f t="shared" si="1"/>
        <v>44173</v>
      </c>
      <c r="AE42" s="67" t="str">
        <f>IF(Capacity!B56="","",ROW(A40)&amp;". "&amp;Capacity!B56)</f>
        <v/>
      </c>
      <c r="AF42" s="67"/>
    </row>
    <row r="43" spans="1:35" x14ac:dyDescent="0.25">
      <c r="A43">
        <v>41</v>
      </c>
      <c r="K43" s="322">
        <f t="shared" si="0"/>
        <v>44179</v>
      </c>
      <c r="S43" s="7">
        <f t="shared" si="1"/>
        <v>44180</v>
      </c>
      <c r="AE43" s="67" t="str">
        <f>IF(Capacity!B57="","",ROW(A41)&amp;". "&amp;Capacity!B57)</f>
        <v/>
      </c>
      <c r="AF43" s="67"/>
    </row>
    <row r="44" spans="1:35" x14ac:dyDescent="0.25">
      <c r="A44">
        <v>42</v>
      </c>
      <c r="K44" s="322">
        <f t="shared" si="0"/>
        <v>44186</v>
      </c>
      <c r="S44" s="7">
        <f t="shared" si="1"/>
        <v>44187</v>
      </c>
      <c r="AE44" s="67" t="str">
        <f>IF(Capacity!B58="","",ROW(A42)&amp;". "&amp;Capacity!B58)</f>
        <v/>
      </c>
      <c r="AF44" s="67"/>
    </row>
    <row r="45" spans="1:35" x14ac:dyDescent="0.25">
      <c r="A45">
        <v>43</v>
      </c>
      <c r="K45" s="322">
        <f t="shared" si="0"/>
        <v>44193</v>
      </c>
      <c r="S45" s="7">
        <f t="shared" si="1"/>
        <v>44194</v>
      </c>
      <c r="AE45" s="67" t="str">
        <f>IF(Capacity!B59="","",ROW(A43)&amp;". "&amp;Capacity!B59)</f>
        <v/>
      </c>
      <c r="AF45" s="67"/>
    </row>
    <row r="46" spans="1:35" x14ac:dyDescent="0.25">
      <c r="A46">
        <v>44</v>
      </c>
      <c r="K46" s="322">
        <f t="shared" si="0"/>
        <v>44200</v>
      </c>
      <c r="S46" s="7">
        <f t="shared" si="1"/>
        <v>44201</v>
      </c>
      <c r="AE46" s="67" t="str">
        <f>IF(Capacity!B60="","",ROW(A44)&amp;". "&amp;Capacity!B60)</f>
        <v/>
      </c>
      <c r="AF46" s="67"/>
    </row>
    <row r="47" spans="1:35" x14ac:dyDescent="0.25">
      <c r="A47">
        <v>45</v>
      </c>
      <c r="K47" s="322">
        <f t="shared" si="0"/>
        <v>44207</v>
      </c>
      <c r="S47" s="7">
        <f t="shared" si="1"/>
        <v>44208</v>
      </c>
      <c r="AE47" s="67" t="str">
        <f>IF(Capacity!B61="","",ROW(A45)&amp;". "&amp;Capacity!B61)</f>
        <v/>
      </c>
      <c r="AF47" s="67"/>
    </row>
    <row r="48" spans="1:35" x14ac:dyDescent="0.25">
      <c r="A48">
        <v>46</v>
      </c>
      <c r="K48" s="322">
        <f t="shared" si="0"/>
        <v>44214</v>
      </c>
      <c r="S48" s="7">
        <f t="shared" si="1"/>
        <v>44215</v>
      </c>
      <c r="AE48" s="67" t="str">
        <f>IF(Capacity!B62="","",ROW(A46)&amp;". "&amp;Capacity!B62)</f>
        <v/>
      </c>
      <c r="AF48" s="67"/>
    </row>
    <row r="49" spans="1:32" x14ac:dyDescent="0.25">
      <c r="A49">
        <v>47</v>
      </c>
      <c r="K49" s="322">
        <f t="shared" si="0"/>
        <v>44221</v>
      </c>
      <c r="S49" s="7">
        <f t="shared" si="1"/>
        <v>44222</v>
      </c>
      <c r="AE49" s="67" t="str">
        <f>IF(Capacity!B63="","",ROW(A47)&amp;". "&amp;Capacity!B63)</f>
        <v/>
      </c>
      <c r="AF49" s="67"/>
    </row>
    <row r="50" spans="1:32" x14ac:dyDescent="0.25">
      <c r="A50">
        <v>48</v>
      </c>
      <c r="K50" s="322">
        <f t="shared" si="0"/>
        <v>44228</v>
      </c>
      <c r="S50" s="7">
        <f t="shared" si="1"/>
        <v>44229</v>
      </c>
      <c r="AE50" s="67" t="str">
        <f>IF(Capacity!B64="","",ROW(A48)&amp;". "&amp;Capacity!B64)</f>
        <v/>
      </c>
      <c r="AF50" s="67"/>
    </row>
    <row r="51" spans="1:32" x14ac:dyDescent="0.25">
      <c r="A51">
        <v>49</v>
      </c>
      <c r="K51" s="322">
        <f t="shared" si="0"/>
        <v>44235</v>
      </c>
      <c r="S51" s="7">
        <f t="shared" si="1"/>
        <v>44236</v>
      </c>
      <c r="AE51" s="67" t="str">
        <f>IF(Capacity!B65="","",ROW(A49)&amp;". "&amp;Capacity!B65)</f>
        <v/>
      </c>
      <c r="AF51" s="67"/>
    </row>
    <row r="52" spans="1:32" x14ac:dyDescent="0.25">
      <c r="A52">
        <v>50</v>
      </c>
      <c r="K52" s="322">
        <f t="shared" si="0"/>
        <v>44242</v>
      </c>
      <c r="S52" s="7">
        <f t="shared" si="1"/>
        <v>44243</v>
      </c>
      <c r="AE52" s="67" t="str">
        <f>IF(Capacity!B66="","",ROW(A50)&amp;". "&amp;Capacity!B66)</f>
        <v/>
      </c>
      <c r="AF52" s="67"/>
    </row>
    <row r="53" spans="1:32" x14ac:dyDescent="0.25">
      <c r="A53">
        <v>51</v>
      </c>
      <c r="K53" s="322">
        <f t="shared" si="0"/>
        <v>44249</v>
      </c>
      <c r="S53" s="7">
        <f t="shared" si="1"/>
        <v>44250</v>
      </c>
      <c r="AE53" s="67" t="str">
        <f>IF(Capacity!B67="","",ROW(A51)&amp;". "&amp;Capacity!B67)</f>
        <v/>
      </c>
      <c r="AF53" s="67"/>
    </row>
    <row r="54" spans="1:32" x14ac:dyDescent="0.25">
      <c r="A54">
        <v>52</v>
      </c>
      <c r="K54" s="322">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22" sqref="B22"/>
    </sheetView>
  </sheetViews>
  <sheetFormatPr defaultRowHeight="13.8" x14ac:dyDescent="0.25"/>
  <cols>
    <col min="2" max="2" width="129.09765625" customWidth="1"/>
  </cols>
  <sheetData>
    <row r="2" spans="2:17" x14ac:dyDescent="0.25">
      <c r="B2" s="285" t="str">
        <f>"Demand and capacity analysis notes for "&amp;Setup!C5&amp;", "&amp;Setup!C7</f>
        <v>Demand and capacity analysis notes for A. N. Other Trust, Test Service</v>
      </c>
    </row>
    <row r="4" spans="2:17" x14ac:dyDescent="0.25">
      <c r="B4" s="152"/>
      <c r="C4" s="67"/>
      <c r="D4" s="67"/>
      <c r="E4" s="67"/>
      <c r="F4" s="67"/>
      <c r="G4" s="67"/>
      <c r="H4" s="67"/>
      <c r="I4" s="67"/>
      <c r="J4" s="67"/>
      <c r="K4" s="67"/>
      <c r="L4" s="67"/>
      <c r="M4" s="67"/>
      <c r="N4" s="67"/>
      <c r="O4" s="67"/>
      <c r="P4" s="67"/>
      <c r="Q4" s="67"/>
    </row>
    <row r="5" spans="2:17" s="1" customFormat="1" x14ac:dyDescent="0.25">
      <c r="B5" s="328"/>
    </row>
    <row r="6" spans="2:17" s="1" customFormat="1" x14ac:dyDescent="0.25">
      <c r="B6" s="323"/>
    </row>
    <row r="7" spans="2:17" s="1" customFormat="1" x14ac:dyDescent="0.25">
      <c r="B7" s="329"/>
    </row>
    <row r="8" spans="2:17" s="1" customFormat="1" x14ac:dyDescent="0.25">
      <c r="B8" s="323"/>
    </row>
    <row r="9" spans="2:17" s="1" customFormat="1" x14ac:dyDescent="0.25">
      <c r="B9" s="323"/>
    </row>
    <row r="10" spans="2:17" s="1" customFormat="1" x14ac:dyDescent="0.25">
      <c r="B10" s="329"/>
    </row>
    <row r="11" spans="2:17" s="1" customFormat="1" x14ac:dyDescent="0.25">
      <c r="B11" s="323"/>
    </row>
    <row r="12" spans="2:17" s="1" customFormat="1" x14ac:dyDescent="0.25">
      <c r="B12" s="323"/>
    </row>
    <row r="13" spans="2:17" s="1" customFormat="1" x14ac:dyDescent="0.25">
      <c r="B13" s="329"/>
    </row>
    <row r="14" spans="2:17" s="1" customFormat="1" x14ac:dyDescent="0.25">
      <c r="B14" s="323"/>
    </row>
    <row r="15" spans="2:17" s="1" customFormat="1" x14ac:dyDescent="0.25">
      <c r="B15" s="323"/>
    </row>
    <row r="16" spans="2:17" s="1" customFormat="1" x14ac:dyDescent="0.25">
      <c r="B16" s="323"/>
    </row>
    <row r="17" spans="2:2" s="1" customFormat="1" x14ac:dyDescent="0.25">
      <c r="B17" s="323"/>
    </row>
    <row r="18" spans="2:2" s="1" customFormat="1" x14ac:dyDescent="0.25">
      <c r="B18" s="323"/>
    </row>
    <row r="19" spans="2:2" s="1" customFormat="1" x14ac:dyDescent="0.25">
      <c r="B19" s="323"/>
    </row>
    <row r="20" spans="2:2" s="1" customFormat="1" x14ac:dyDescent="0.25">
      <c r="B20" s="323"/>
    </row>
    <row r="21" spans="2:2" s="1" customFormat="1" x14ac:dyDescent="0.25">
      <c r="B21" s="323"/>
    </row>
    <row r="22" spans="2:2" s="1" customFormat="1" x14ac:dyDescent="0.25">
      <c r="B22" s="323"/>
    </row>
    <row r="23" spans="2:2" s="1" customFormat="1" x14ac:dyDescent="0.25">
      <c r="B23" s="323"/>
    </row>
    <row r="24" spans="2:2" s="1" customFormat="1" x14ac:dyDescent="0.25">
      <c r="B24" s="323"/>
    </row>
    <row r="25" spans="2:2" s="1" customFormat="1" x14ac:dyDescent="0.25">
      <c r="B25" s="323"/>
    </row>
    <row r="26" spans="2:2" s="1" customFormat="1" x14ac:dyDescent="0.25">
      <c r="B26" s="323"/>
    </row>
    <row r="27" spans="2:2" s="1" customFormat="1" x14ac:dyDescent="0.25">
      <c r="B27" s="323"/>
    </row>
    <row r="28" spans="2:2" s="1" customFormat="1" x14ac:dyDescent="0.25">
      <c r="B28" s="323"/>
    </row>
    <row r="29" spans="2:2" s="1" customFormat="1" x14ac:dyDescent="0.25">
      <c r="B29" s="323"/>
    </row>
    <row r="30" spans="2:2" s="1" customFormat="1" x14ac:dyDescent="0.25">
      <c r="B30" s="323"/>
    </row>
    <row r="31" spans="2:2" s="1" customFormat="1" x14ac:dyDescent="0.25">
      <c r="B31" s="323"/>
    </row>
    <row r="32" spans="2:2" s="1" customFormat="1" x14ac:dyDescent="0.25">
      <c r="B32" s="323"/>
    </row>
    <row r="33" spans="2:17" s="1" customFormat="1" x14ac:dyDescent="0.25">
      <c r="B33" s="323"/>
    </row>
    <row r="34" spans="2:17" s="1" customFormat="1" x14ac:dyDescent="0.25">
      <c r="B34" s="323"/>
    </row>
    <row r="35" spans="2:17" s="1" customFormat="1" x14ac:dyDescent="0.25">
      <c r="B35" s="323"/>
    </row>
    <row r="36" spans="2:17" s="1" customFormat="1" x14ac:dyDescent="0.25">
      <c r="B36" s="323"/>
    </row>
    <row r="37" spans="2:17" s="1" customFormat="1" x14ac:dyDescent="0.25">
      <c r="B37" s="323"/>
    </row>
    <row r="38" spans="2:17" s="1" customFormat="1" x14ac:dyDescent="0.25">
      <c r="B38" s="323"/>
    </row>
    <row r="39" spans="2:17" s="1" customFormat="1" x14ac:dyDescent="0.25">
      <c r="B39" s="323"/>
    </row>
    <row r="40" spans="2:17" s="1" customFormat="1" x14ac:dyDescent="0.25">
      <c r="B40" s="323"/>
    </row>
    <row r="41" spans="2:17" s="1" customFormat="1" x14ac:dyDescent="0.25">
      <c r="B41" s="323"/>
    </row>
    <row r="42" spans="2:17" s="1" customFormat="1" x14ac:dyDescent="0.25">
      <c r="B42" s="323"/>
    </row>
    <row r="43" spans="2:17" s="1" customFormat="1" x14ac:dyDescent="0.25">
      <c r="B43" s="323"/>
    </row>
    <row r="44" spans="2:17" x14ac:dyDescent="0.25">
      <c r="B44" s="323"/>
      <c r="C44" s="67"/>
      <c r="D44" s="67"/>
      <c r="E44" s="67"/>
      <c r="F44" s="67"/>
      <c r="G44" s="67"/>
      <c r="H44" s="67"/>
      <c r="I44" s="67"/>
      <c r="J44" s="67"/>
      <c r="K44" s="67"/>
      <c r="L44" s="67"/>
      <c r="M44" s="67"/>
      <c r="N44" s="67"/>
      <c r="O44" s="67"/>
      <c r="P44" s="67"/>
      <c r="Q44" s="67"/>
    </row>
    <row r="45" spans="2:17" x14ac:dyDescent="0.25">
      <c r="B45" s="323"/>
    </row>
    <row r="46" spans="2:17" x14ac:dyDescent="0.25">
      <c r="B46" s="323"/>
    </row>
    <row r="47" spans="2:17" x14ac:dyDescent="0.25">
      <c r="B47" s="323"/>
    </row>
    <row r="48" spans="2:17" x14ac:dyDescent="0.25">
      <c r="B48" s="323"/>
    </row>
    <row r="49" spans="2:2" x14ac:dyDescent="0.25">
      <c r="B49" s="323"/>
    </row>
    <row r="50" spans="2:2" x14ac:dyDescent="0.25">
      <c r="B50" s="323"/>
    </row>
    <row r="51" spans="2:2" x14ac:dyDescent="0.25">
      <c r="B51" s="323"/>
    </row>
    <row r="52" spans="2:2" x14ac:dyDescent="0.25">
      <c r="B52" s="323"/>
    </row>
    <row r="53" spans="2:2" x14ac:dyDescent="0.25">
      <c r="B53" s="323"/>
    </row>
    <row r="54" spans="2:2" x14ac:dyDescent="0.25">
      <c r="B54" s="323"/>
    </row>
    <row r="55" spans="2:2" x14ac:dyDescent="0.25">
      <c r="B55" s="323"/>
    </row>
    <row r="56" spans="2:2" x14ac:dyDescent="0.25">
      <c r="B56" s="323"/>
    </row>
    <row r="57" spans="2:2" x14ac:dyDescent="0.25">
      <c r="B57" s="321"/>
    </row>
    <row r="58" spans="2:2" x14ac:dyDescent="0.25">
      <c r="B58" s="321"/>
    </row>
    <row r="59" spans="2:2" x14ac:dyDescent="0.25">
      <c r="B59" s="321"/>
    </row>
    <row r="60" spans="2:2" x14ac:dyDescent="0.25">
      <c r="B60" s="321"/>
    </row>
    <row r="61" spans="2:2" x14ac:dyDescent="0.25">
      <c r="B61" s="321"/>
    </row>
    <row r="62" spans="2:2" x14ac:dyDescent="0.25">
      <c r="B62" s="321"/>
    </row>
    <row r="63" spans="2:2" x14ac:dyDescent="0.25">
      <c r="B63" s="321"/>
    </row>
    <row r="64" spans="2:2" x14ac:dyDescent="0.25">
      <c r="B64" s="321"/>
    </row>
    <row r="65" spans="2:2" x14ac:dyDescent="0.25">
      <c r="B65" s="321"/>
    </row>
    <row r="66" spans="2:2" x14ac:dyDescent="0.25">
      <c r="B66" s="321"/>
    </row>
    <row r="67" spans="2:2" x14ac:dyDescent="0.25">
      <c r="B67" s="321"/>
    </row>
    <row r="68" spans="2:2" x14ac:dyDescent="0.25">
      <c r="B68" s="321"/>
    </row>
    <row r="69" spans="2:2" x14ac:dyDescent="0.25">
      <c r="B69" s="321"/>
    </row>
    <row r="70" spans="2:2" x14ac:dyDescent="0.25">
      <c r="B70" s="321"/>
    </row>
    <row r="71" spans="2:2" x14ac:dyDescent="0.25">
      <c r="B71" s="321"/>
    </row>
    <row r="72" spans="2:2" x14ac:dyDescent="0.25">
      <c r="B72" s="321"/>
    </row>
    <row r="73" spans="2:2" x14ac:dyDescent="0.25">
      <c r="B73" s="321"/>
    </row>
    <row r="74" spans="2:2" x14ac:dyDescent="0.25">
      <c r="B74" s="321"/>
    </row>
    <row r="75" spans="2:2" x14ac:dyDescent="0.25">
      <c r="B75" s="321"/>
    </row>
    <row r="76" spans="2:2" x14ac:dyDescent="0.25">
      <c r="B76" s="321"/>
    </row>
    <row r="77" spans="2:2" x14ac:dyDescent="0.25">
      <c r="B77" s="321"/>
    </row>
    <row r="78" spans="2:2" x14ac:dyDescent="0.25">
      <c r="B78" s="321"/>
    </row>
    <row r="79" spans="2:2" x14ac:dyDescent="0.25">
      <c r="B79" s="321"/>
    </row>
    <row r="80" spans="2:2" x14ac:dyDescent="0.25">
      <c r="B80" s="321"/>
    </row>
    <row r="81" spans="2:2" x14ac:dyDescent="0.25">
      <c r="B81" s="321"/>
    </row>
    <row r="82" spans="2:2" x14ac:dyDescent="0.25">
      <c r="B82" s="321"/>
    </row>
    <row r="83" spans="2:2" x14ac:dyDescent="0.25">
      <c r="B83" s="321"/>
    </row>
    <row r="84" spans="2:2" x14ac:dyDescent="0.25">
      <c r="B84" s="321"/>
    </row>
    <row r="85" spans="2:2" x14ac:dyDescent="0.25">
      <c r="B85" s="321"/>
    </row>
    <row r="86" spans="2:2" x14ac:dyDescent="0.25">
      <c r="B86" s="321"/>
    </row>
    <row r="87" spans="2:2" x14ac:dyDescent="0.25">
      <c r="B87" s="321"/>
    </row>
    <row r="88" spans="2:2" x14ac:dyDescent="0.25">
      <c r="B88" s="321"/>
    </row>
    <row r="89" spans="2:2" x14ac:dyDescent="0.25">
      <c r="B89" s="321"/>
    </row>
    <row r="90" spans="2:2" x14ac:dyDescent="0.25">
      <c r="B90" s="321"/>
    </row>
    <row r="91" spans="2:2" x14ac:dyDescent="0.25">
      <c r="B91" s="321"/>
    </row>
    <row r="92" spans="2:2" x14ac:dyDescent="0.25">
      <c r="B92" s="321"/>
    </row>
    <row r="93" spans="2:2" x14ac:dyDescent="0.25">
      <c r="B93" s="321"/>
    </row>
    <row r="94" spans="2:2" x14ac:dyDescent="0.25">
      <c r="B94" s="321"/>
    </row>
    <row r="95" spans="2:2" x14ac:dyDescent="0.25">
      <c r="B95" s="321"/>
    </row>
    <row r="96" spans="2:2" x14ac:dyDescent="0.25">
      <c r="B96" s="321"/>
    </row>
    <row r="97" spans="2:2" x14ac:dyDescent="0.25">
      <c r="B97" s="321"/>
    </row>
    <row r="98" spans="2:2" x14ac:dyDescent="0.25">
      <c r="B98" s="321"/>
    </row>
    <row r="99" spans="2:2" x14ac:dyDescent="0.25">
      <c r="B99" s="321"/>
    </row>
    <row r="100" spans="2:2" x14ac:dyDescent="0.25">
      <c r="B100" s="321"/>
    </row>
    <row r="101" spans="2:2" x14ac:dyDescent="0.25">
      <c r="B101" s="321"/>
    </row>
    <row r="102" spans="2:2" x14ac:dyDescent="0.25">
      <c r="B102" s="321"/>
    </row>
    <row r="103" spans="2:2" x14ac:dyDescent="0.25">
      <c r="B103" s="321"/>
    </row>
    <row r="104" spans="2:2" x14ac:dyDescent="0.25">
      <c r="B104" s="321"/>
    </row>
    <row r="105" spans="2:2" x14ac:dyDescent="0.25">
      <c r="B105" s="321"/>
    </row>
    <row r="106" spans="2:2" x14ac:dyDescent="0.25">
      <c r="B106" s="321"/>
    </row>
    <row r="107" spans="2:2" x14ac:dyDescent="0.25">
      <c r="B107" s="321"/>
    </row>
    <row r="108" spans="2:2" x14ac:dyDescent="0.25">
      <c r="B108" s="321"/>
    </row>
    <row r="109" spans="2:2" x14ac:dyDescent="0.25">
      <c r="B109" s="324"/>
    </row>
    <row r="110" spans="2:2" x14ac:dyDescent="0.25">
      <c r="B110" s="324"/>
    </row>
    <row r="111" spans="2:2" x14ac:dyDescent="0.25">
      <c r="B111" s="324"/>
    </row>
    <row r="112" spans="2:2" x14ac:dyDescent="0.25">
      <c r="B112" s="324"/>
    </row>
    <row r="113" spans="2:2" x14ac:dyDescent="0.25">
      <c r="B113" s="324"/>
    </row>
    <row r="114" spans="2:2" x14ac:dyDescent="0.25">
      <c r="B114" s="324"/>
    </row>
    <row r="115" spans="2:2" x14ac:dyDescent="0.25">
      <c r="B115" s="324"/>
    </row>
    <row r="116" spans="2:2" x14ac:dyDescent="0.25">
      <c r="B116" s="324"/>
    </row>
    <row r="117" spans="2:2" x14ac:dyDescent="0.25">
      <c r="B117" s="324"/>
    </row>
    <row r="118" spans="2:2" x14ac:dyDescent="0.25">
      <c r="B118" s="324"/>
    </row>
    <row r="119" spans="2:2" x14ac:dyDescent="0.25">
      <c r="B119" s="324"/>
    </row>
    <row r="120" spans="2:2" x14ac:dyDescent="0.25">
      <c r="B120" s="324"/>
    </row>
    <row r="121" spans="2:2" x14ac:dyDescent="0.25">
      <c r="B121" s="324"/>
    </row>
    <row r="122" spans="2:2" x14ac:dyDescent="0.25">
      <c r="B122" s="324"/>
    </row>
    <row r="123" spans="2:2" x14ac:dyDescent="0.25">
      <c r="B123" s="324"/>
    </row>
    <row r="124" spans="2:2" x14ac:dyDescent="0.25">
      <c r="B124" s="324"/>
    </row>
    <row r="125" spans="2:2" x14ac:dyDescent="0.25">
      <c r="B125" s="324"/>
    </row>
    <row r="126" spans="2:2" x14ac:dyDescent="0.25">
      <c r="B126" s="324"/>
    </row>
    <row r="127" spans="2:2" x14ac:dyDescent="0.25">
      <c r="B127" s="324"/>
    </row>
    <row r="128" spans="2:2" x14ac:dyDescent="0.25">
      <c r="B128" s="324"/>
    </row>
    <row r="129" spans="2:2" x14ac:dyDescent="0.25">
      <c r="B129" s="324"/>
    </row>
    <row r="130" spans="2:2" x14ac:dyDescent="0.25">
      <c r="B130" s="324"/>
    </row>
    <row r="131" spans="2:2" x14ac:dyDescent="0.25">
      <c r="B131" s="324"/>
    </row>
    <row r="132" spans="2:2" x14ac:dyDescent="0.25">
      <c r="B132" s="324"/>
    </row>
    <row r="133" spans="2:2" x14ac:dyDescent="0.25">
      <c r="B133" s="324"/>
    </row>
    <row r="134" spans="2:2" x14ac:dyDescent="0.25">
      <c r="B134" s="324"/>
    </row>
    <row r="135" spans="2:2" x14ac:dyDescent="0.25">
      <c r="B135" s="324"/>
    </row>
    <row r="136" spans="2:2" x14ac:dyDescent="0.25">
      <c r="B136" s="324"/>
    </row>
    <row r="137" spans="2:2" x14ac:dyDescent="0.25">
      <c r="B137" s="324"/>
    </row>
    <row r="138" spans="2:2" x14ac:dyDescent="0.25">
      <c r="B138" s="324"/>
    </row>
    <row r="139" spans="2:2" x14ac:dyDescent="0.25">
      <c r="B139" s="324"/>
    </row>
    <row r="140" spans="2:2" x14ac:dyDescent="0.25">
      <c r="B140" s="324"/>
    </row>
    <row r="141" spans="2:2" x14ac:dyDescent="0.25">
      <c r="B141" s="324"/>
    </row>
    <row r="142" spans="2:2" x14ac:dyDescent="0.25">
      <c r="B142" s="324"/>
    </row>
    <row r="143" spans="2:2" x14ac:dyDescent="0.25">
      <c r="B143" s="324"/>
    </row>
    <row r="144" spans="2:2" x14ac:dyDescent="0.25">
      <c r="B144" s="324"/>
    </row>
    <row r="145" spans="2:2" x14ac:dyDescent="0.25">
      <c r="B145" s="324"/>
    </row>
    <row r="146" spans="2:2" x14ac:dyDescent="0.25">
      <c r="B146" s="324"/>
    </row>
    <row r="147" spans="2:2" x14ac:dyDescent="0.25">
      <c r="B147" s="324"/>
    </row>
    <row r="148" spans="2:2" x14ac:dyDescent="0.25">
      <c r="B148" s="324"/>
    </row>
    <row r="149" spans="2:2" x14ac:dyDescent="0.25">
      <c r="B149" s="324"/>
    </row>
    <row r="150" spans="2:2" x14ac:dyDescent="0.25">
      <c r="B150" s="324"/>
    </row>
    <row r="151" spans="2:2" x14ac:dyDescent="0.25">
      <c r="B151" s="324"/>
    </row>
    <row r="152" spans="2:2" x14ac:dyDescent="0.25">
      <c r="B152" s="324"/>
    </row>
    <row r="153" spans="2:2" x14ac:dyDescent="0.25">
      <c r="B153" s="324"/>
    </row>
    <row r="154" spans="2:2" x14ac:dyDescent="0.25">
      <c r="B154" s="324"/>
    </row>
    <row r="155" spans="2:2" x14ac:dyDescent="0.25">
      <c r="B155" s="324"/>
    </row>
    <row r="156" spans="2:2" x14ac:dyDescent="0.25">
      <c r="B156" s="324"/>
    </row>
    <row r="157" spans="2:2" x14ac:dyDescent="0.25">
      <c r="B157" s="324"/>
    </row>
    <row r="158" spans="2:2" x14ac:dyDescent="0.25">
      <c r="B158" s="324"/>
    </row>
    <row r="159" spans="2:2" x14ac:dyDescent="0.25">
      <c r="B159" s="324"/>
    </row>
    <row r="160" spans="2:2" x14ac:dyDescent="0.25">
      <c r="B160" s="324"/>
    </row>
    <row r="161" spans="2:2" x14ac:dyDescent="0.25">
      <c r="B161" s="324"/>
    </row>
    <row r="162" spans="2:2" x14ac:dyDescent="0.25">
      <c r="B162" s="324"/>
    </row>
    <row r="163" spans="2:2" x14ac:dyDescent="0.25">
      <c r="B163" s="324"/>
    </row>
    <row r="164" spans="2:2" x14ac:dyDescent="0.25">
      <c r="B164" s="324"/>
    </row>
    <row r="165" spans="2:2" x14ac:dyDescent="0.25">
      <c r="B165" s="324"/>
    </row>
    <row r="166" spans="2:2" x14ac:dyDescent="0.25">
      <c r="B166" s="324"/>
    </row>
    <row r="167" spans="2:2" x14ac:dyDescent="0.25">
      <c r="B167" s="324"/>
    </row>
    <row r="168" spans="2:2" x14ac:dyDescent="0.25">
      <c r="B168" s="324"/>
    </row>
    <row r="169" spans="2:2" x14ac:dyDescent="0.25">
      <c r="B169" s="324"/>
    </row>
    <row r="170" spans="2:2" x14ac:dyDescent="0.25">
      <c r="B170" s="324"/>
    </row>
    <row r="171" spans="2:2" x14ac:dyDescent="0.25">
      <c r="B171" s="324"/>
    </row>
    <row r="172" spans="2:2" x14ac:dyDescent="0.25">
      <c r="B172" s="324"/>
    </row>
    <row r="173" spans="2:2" x14ac:dyDescent="0.25">
      <c r="B173" s="324"/>
    </row>
    <row r="174" spans="2:2" x14ac:dyDescent="0.25">
      <c r="B174" s="324"/>
    </row>
    <row r="175" spans="2:2" x14ac:dyDescent="0.25">
      <c r="B175" s="324"/>
    </row>
    <row r="176" spans="2:2" x14ac:dyDescent="0.25">
      <c r="B176" s="324"/>
    </row>
    <row r="177" spans="2:2" x14ac:dyDescent="0.25">
      <c r="B177" s="324"/>
    </row>
    <row r="178" spans="2:2" x14ac:dyDescent="0.25">
      <c r="B178" s="324"/>
    </row>
    <row r="179" spans="2:2" x14ac:dyDescent="0.25">
      <c r="B179" s="324"/>
    </row>
    <row r="180" spans="2:2" x14ac:dyDescent="0.25">
      <c r="B180" s="324"/>
    </row>
    <row r="181" spans="2:2" x14ac:dyDescent="0.25">
      <c r="B181" s="324"/>
    </row>
    <row r="182" spans="2:2" x14ac:dyDescent="0.25">
      <c r="B182" s="324"/>
    </row>
    <row r="183" spans="2:2" x14ac:dyDescent="0.25">
      <c r="B183" s="324"/>
    </row>
    <row r="184" spans="2:2" x14ac:dyDescent="0.25">
      <c r="B184" s="324"/>
    </row>
    <row r="185" spans="2:2" x14ac:dyDescent="0.25">
      <c r="B185" s="324"/>
    </row>
    <row r="186" spans="2:2" x14ac:dyDescent="0.25">
      <c r="B186" s="324"/>
    </row>
    <row r="187" spans="2:2" x14ac:dyDescent="0.25">
      <c r="B187" s="324"/>
    </row>
    <row r="188" spans="2:2" x14ac:dyDescent="0.25">
      <c r="B188" s="324"/>
    </row>
    <row r="189" spans="2:2" x14ac:dyDescent="0.25">
      <c r="B189" s="324"/>
    </row>
    <row r="190" spans="2:2" x14ac:dyDescent="0.25">
      <c r="B190" s="324"/>
    </row>
    <row r="191" spans="2:2" x14ac:dyDescent="0.25">
      <c r="B191" s="324"/>
    </row>
    <row r="192" spans="2:2" x14ac:dyDescent="0.25">
      <c r="B192" s="324"/>
    </row>
    <row r="193" spans="2:2" x14ac:dyDescent="0.25">
      <c r="B193" s="324"/>
    </row>
    <row r="194" spans="2:2" x14ac:dyDescent="0.25">
      <c r="B194" s="324"/>
    </row>
    <row r="195" spans="2:2" x14ac:dyDescent="0.25">
      <c r="B195" s="324"/>
    </row>
    <row r="196" spans="2:2" x14ac:dyDescent="0.25">
      <c r="B196" s="324"/>
    </row>
    <row r="197" spans="2:2" x14ac:dyDescent="0.25">
      <c r="B197" s="324"/>
    </row>
    <row r="198" spans="2:2" x14ac:dyDescent="0.25">
      <c r="B198" s="324"/>
    </row>
    <row r="199" spans="2:2" x14ac:dyDescent="0.25">
      <c r="B199" s="324"/>
    </row>
    <row r="200" spans="2:2" x14ac:dyDescent="0.25">
      <c r="B200" s="324"/>
    </row>
    <row r="201" spans="2:2" x14ac:dyDescent="0.25">
      <c r="B201" s="324"/>
    </row>
    <row r="202" spans="2:2" x14ac:dyDescent="0.25">
      <c r="B202" s="324"/>
    </row>
    <row r="203" spans="2:2" x14ac:dyDescent="0.25">
      <c r="B203" s="324"/>
    </row>
    <row r="204" spans="2:2" x14ac:dyDescent="0.25">
      <c r="B204" s="324"/>
    </row>
    <row r="205" spans="2:2" x14ac:dyDescent="0.25">
      <c r="B205" s="324"/>
    </row>
    <row r="206" spans="2:2" x14ac:dyDescent="0.25">
      <c r="B206" s="324"/>
    </row>
    <row r="207" spans="2:2" x14ac:dyDescent="0.25">
      <c r="B207" s="324"/>
    </row>
    <row r="208" spans="2:2" x14ac:dyDescent="0.25">
      <c r="B208" s="324"/>
    </row>
    <row r="209" spans="2:2" x14ac:dyDescent="0.25">
      <c r="B209" s="324"/>
    </row>
    <row r="210" spans="2:2" x14ac:dyDescent="0.25">
      <c r="B210" s="324"/>
    </row>
    <row r="211" spans="2:2" x14ac:dyDescent="0.25">
      <c r="B211" s="324"/>
    </row>
    <row r="212" spans="2:2" x14ac:dyDescent="0.25">
      <c r="B212" s="324"/>
    </row>
    <row r="213" spans="2:2" x14ac:dyDescent="0.25">
      <c r="B213" s="324"/>
    </row>
    <row r="214" spans="2:2" x14ac:dyDescent="0.25">
      <c r="B214" s="324"/>
    </row>
    <row r="215" spans="2:2" x14ac:dyDescent="0.25">
      <c r="B215" s="324"/>
    </row>
    <row r="216" spans="2:2" x14ac:dyDescent="0.25">
      <c r="B216" s="324"/>
    </row>
    <row r="217" spans="2:2" x14ac:dyDescent="0.25">
      <c r="B217" s="324"/>
    </row>
    <row r="218" spans="2:2" x14ac:dyDescent="0.25">
      <c r="B218" s="324"/>
    </row>
    <row r="219" spans="2:2" x14ac:dyDescent="0.25">
      <c r="B219" s="324"/>
    </row>
    <row r="220" spans="2:2" x14ac:dyDescent="0.25">
      <c r="B220" s="324"/>
    </row>
    <row r="221" spans="2:2" x14ac:dyDescent="0.25">
      <c r="B221" s="324"/>
    </row>
    <row r="222" spans="2:2" x14ac:dyDescent="0.25">
      <c r="B222" s="324"/>
    </row>
    <row r="223" spans="2:2" x14ac:dyDescent="0.25">
      <c r="B223" s="324"/>
    </row>
    <row r="224" spans="2:2" x14ac:dyDescent="0.25">
      <c r="B224" s="324"/>
    </row>
    <row r="225" spans="2:2" x14ac:dyDescent="0.25">
      <c r="B225" s="324"/>
    </row>
    <row r="226" spans="2:2" x14ac:dyDescent="0.25">
      <c r="B226" s="324"/>
    </row>
    <row r="227" spans="2:2" x14ac:dyDescent="0.25">
      <c r="B227" s="324"/>
    </row>
    <row r="228" spans="2:2" x14ac:dyDescent="0.25">
      <c r="B228" s="324"/>
    </row>
    <row r="229" spans="2:2" x14ac:dyDescent="0.25">
      <c r="B229" s="324"/>
    </row>
    <row r="230" spans="2:2" x14ac:dyDescent="0.25">
      <c r="B230" s="324"/>
    </row>
    <row r="231" spans="2:2" x14ac:dyDescent="0.25">
      <c r="B231" s="324"/>
    </row>
    <row r="232" spans="2:2" x14ac:dyDescent="0.25">
      <c r="B232" s="324"/>
    </row>
    <row r="233" spans="2:2" x14ac:dyDescent="0.25">
      <c r="B233" s="324"/>
    </row>
    <row r="234" spans="2:2" x14ac:dyDescent="0.25">
      <c r="B234" s="324"/>
    </row>
    <row r="235" spans="2:2" x14ac:dyDescent="0.25">
      <c r="B235" s="324"/>
    </row>
    <row r="236" spans="2:2" x14ac:dyDescent="0.25">
      <c r="B236" s="324"/>
    </row>
    <row r="237" spans="2:2" x14ac:dyDescent="0.25">
      <c r="B237" s="324"/>
    </row>
    <row r="238" spans="2:2" x14ac:dyDescent="0.25">
      <c r="B238" s="324"/>
    </row>
    <row r="239" spans="2:2" x14ac:dyDescent="0.25">
      <c r="B239" s="324"/>
    </row>
    <row r="240" spans="2:2" x14ac:dyDescent="0.25">
      <c r="B240" s="324"/>
    </row>
    <row r="241" spans="2:2" x14ac:dyDescent="0.25">
      <c r="B241" s="324"/>
    </row>
    <row r="242" spans="2:2" x14ac:dyDescent="0.25">
      <c r="B242" s="324"/>
    </row>
    <row r="243" spans="2:2" x14ac:dyDescent="0.25">
      <c r="B243" s="324"/>
    </row>
    <row r="244" spans="2:2" x14ac:dyDescent="0.25">
      <c r="B244" s="324"/>
    </row>
    <row r="245" spans="2:2" x14ac:dyDescent="0.25">
      <c r="B245" s="324"/>
    </row>
    <row r="246" spans="2:2" x14ac:dyDescent="0.25">
      <c r="B246" s="324"/>
    </row>
    <row r="247" spans="2:2" x14ac:dyDescent="0.25">
      <c r="B247" s="324"/>
    </row>
    <row r="248" spans="2:2" x14ac:dyDescent="0.25">
      <c r="B248" s="324"/>
    </row>
    <row r="249" spans="2:2" x14ac:dyDescent="0.25">
      <c r="B249" s="324"/>
    </row>
    <row r="250" spans="2:2" x14ac:dyDescent="0.25">
      <c r="B250" s="324"/>
    </row>
    <row r="251" spans="2:2" x14ac:dyDescent="0.25">
      <c r="B251" s="324"/>
    </row>
    <row r="252" spans="2:2" x14ac:dyDescent="0.25">
      <c r="B252" s="324"/>
    </row>
    <row r="253" spans="2:2" x14ac:dyDescent="0.25">
      <c r="B253" s="324"/>
    </row>
    <row r="254" spans="2:2" x14ac:dyDescent="0.25">
      <c r="B254" s="324"/>
    </row>
    <row r="255" spans="2:2" x14ac:dyDescent="0.25">
      <c r="B255" s="324"/>
    </row>
    <row r="256" spans="2:2" x14ac:dyDescent="0.25">
      <c r="B256" s="324"/>
    </row>
    <row r="257" spans="2:2" x14ac:dyDescent="0.25">
      <c r="B257" s="324"/>
    </row>
    <row r="258" spans="2:2" x14ac:dyDescent="0.25">
      <c r="B258" s="324"/>
    </row>
    <row r="259" spans="2:2" x14ac:dyDescent="0.25">
      <c r="B259" s="324"/>
    </row>
    <row r="260" spans="2:2" x14ac:dyDescent="0.25">
      <c r="B260" s="324"/>
    </row>
    <row r="261" spans="2:2" x14ac:dyDescent="0.25">
      <c r="B261" s="324"/>
    </row>
    <row r="262" spans="2:2" x14ac:dyDescent="0.25">
      <c r="B262" s="324"/>
    </row>
    <row r="263" spans="2:2" x14ac:dyDescent="0.25">
      <c r="B263" s="324"/>
    </row>
    <row r="264" spans="2:2" x14ac:dyDescent="0.25">
      <c r="B264" s="324"/>
    </row>
    <row r="265" spans="2:2" x14ac:dyDescent="0.25">
      <c r="B265" s="324"/>
    </row>
    <row r="266" spans="2:2" x14ac:dyDescent="0.25">
      <c r="B266" s="324"/>
    </row>
    <row r="267" spans="2:2" x14ac:dyDescent="0.25">
      <c r="B267" s="324"/>
    </row>
    <row r="268" spans="2:2" x14ac:dyDescent="0.25">
      <c r="B268" s="324"/>
    </row>
    <row r="269" spans="2:2" x14ac:dyDescent="0.25">
      <c r="B269" s="324"/>
    </row>
    <row r="270" spans="2:2" x14ac:dyDescent="0.25">
      <c r="B270" s="324"/>
    </row>
    <row r="271" spans="2:2" x14ac:dyDescent="0.25">
      <c r="B271" s="324"/>
    </row>
    <row r="272" spans="2:2" x14ac:dyDescent="0.25">
      <c r="B272" s="324"/>
    </row>
    <row r="273" spans="2:2" x14ac:dyDescent="0.25">
      <c r="B273" s="324"/>
    </row>
    <row r="274" spans="2:2" x14ac:dyDescent="0.25">
      <c r="B274" s="324"/>
    </row>
    <row r="275" spans="2:2" x14ac:dyDescent="0.25">
      <c r="B275" s="324"/>
    </row>
    <row r="276" spans="2:2" x14ac:dyDescent="0.25">
      <c r="B276" s="324"/>
    </row>
    <row r="277" spans="2:2" x14ac:dyDescent="0.25">
      <c r="B277" s="324"/>
    </row>
    <row r="278" spans="2:2" x14ac:dyDescent="0.25">
      <c r="B278" s="324"/>
    </row>
    <row r="279" spans="2:2" x14ac:dyDescent="0.25">
      <c r="B279" s="324"/>
    </row>
    <row r="280" spans="2:2" x14ac:dyDescent="0.25">
      <c r="B280" s="324"/>
    </row>
    <row r="281" spans="2:2" x14ac:dyDescent="0.25">
      <c r="B281" s="324"/>
    </row>
    <row r="282" spans="2:2" x14ac:dyDescent="0.25">
      <c r="B282" s="324"/>
    </row>
    <row r="283" spans="2:2" x14ac:dyDescent="0.25">
      <c r="B283" s="324"/>
    </row>
    <row r="284" spans="2:2" x14ac:dyDescent="0.25">
      <c r="B284" s="324"/>
    </row>
    <row r="285" spans="2:2" x14ac:dyDescent="0.25">
      <c r="B285" s="324"/>
    </row>
    <row r="286" spans="2:2" x14ac:dyDescent="0.25">
      <c r="B286" s="324"/>
    </row>
    <row r="287" spans="2:2" x14ac:dyDescent="0.25">
      <c r="B287" s="324"/>
    </row>
    <row r="288" spans="2:2" x14ac:dyDescent="0.25">
      <c r="B288" s="324"/>
    </row>
    <row r="289" spans="2:2" x14ac:dyDescent="0.25">
      <c r="B289" s="324"/>
    </row>
    <row r="290" spans="2:2" x14ac:dyDescent="0.25">
      <c r="B290" s="324"/>
    </row>
    <row r="291" spans="2:2" x14ac:dyDescent="0.25">
      <c r="B291" s="324"/>
    </row>
    <row r="292" spans="2:2" x14ac:dyDescent="0.25">
      <c r="B292" s="324"/>
    </row>
    <row r="293" spans="2:2" x14ac:dyDescent="0.25">
      <c r="B293" s="324"/>
    </row>
    <row r="294" spans="2:2" x14ac:dyDescent="0.25">
      <c r="B294" s="324"/>
    </row>
    <row r="295" spans="2:2" x14ac:dyDescent="0.25">
      <c r="B295" s="324"/>
    </row>
    <row r="296" spans="2:2" x14ac:dyDescent="0.25">
      <c r="B296" s="324"/>
    </row>
    <row r="297" spans="2:2" x14ac:dyDescent="0.25">
      <c r="B297" s="324"/>
    </row>
    <row r="298" spans="2:2" x14ac:dyDescent="0.25">
      <c r="B298" s="324"/>
    </row>
    <row r="299" spans="2:2" x14ac:dyDescent="0.25">
      <c r="B299" s="324"/>
    </row>
    <row r="300" spans="2:2" x14ac:dyDescent="0.25">
      <c r="B300" s="324"/>
    </row>
    <row r="301" spans="2:2" x14ac:dyDescent="0.25">
      <c r="B301" s="324"/>
    </row>
    <row r="302" spans="2:2" x14ac:dyDescent="0.25">
      <c r="B302" s="324"/>
    </row>
    <row r="303" spans="2:2" x14ac:dyDescent="0.25">
      <c r="B303" s="324"/>
    </row>
    <row r="304" spans="2:2" x14ac:dyDescent="0.25">
      <c r="B304" s="324"/>
    </row>
    <row r="305" spans="2:2" x14ac:dyDescent="0.25">
      <c r="B305" s="324"/>
    </row>
    <row r="306" spans="2:2" x14ac:dyDescent="0.25">
      <c r="B306" s="324"/>
    </row>
    <row r="307" spans="2:2" x14ac:dyDescent="0.25">
      <c r="B307" s="324"/>
    </row>
    <row r="308" spans="2:2" x14ac:dyDescent="0.25">
      <c r="B308" s="324"/>
    </row>
    <row r="309" spans="2:2" x14ac:dyDescent="0.25">
      <c r="B309" s="324"/>
    </row>
    <row r="310" spans="2:2" x14ac:dyDescent="0.25">
      <c r="B310" s="324"/>
    </row>
    <row r="311" spans="2:2" x14ac:dyDescent="0.25">
      <c r="B311" s="324"/>
    </row>
    <row r="312" spans="2:2" x14ac:dyDescent="0.25">
      <c r="B312" s="324"/>
    </row>
    <row r="313" spans="2:2" x14ac:dyDescent="0.25">
      <c r="B313" s="324"/>
    </row>
    <row r="314" spans="2:2" x14ac:dyDescent="0.25">
      <c r="B314" s="324"/>
    </row>
    <row r="315" spans="2:2" x14ac:dyDescent="0.25">
      <c r="B315" s="324"/>
    </row>
    <row r="316" spans="2:2" x14ac:dyDescent="0.25">
      <c r="B316" s="324"/>
    </row>
    <row r="317" spans="2:2" x14ac:dyDescent="0.25">
      <c r="B317" s="324"/>
    </row>
    <row r="318" spans="2:2" x14ac:dyDescent="0.25">
      <c r="B318" s="324"/>
    </row>
    <row r="319" spans="2:2" x14ac:dyDescent="0.25">
      <c r="B319" s="324"/>
    </row>
    <row r="320" spans="2:2" x14ac:dyDescent="0.25">
      <c r="B320" s="324"/>
    </row>
    <row r="321" spans="2:2" x14ac:dyDescent="0.25">
      <c r="B321" s="324"/>
    </row>
    <row r="322" spans="2:2" x14ac:dyDescent="0.25">
      <c r="B322" s="324"/>
    </row>
    <row r="323" spans="2:2" x14ac:dyDescent="0.25">
      <c r="B323" s="324"/>
    </row>
    <row r="324" spans="2:2" x14ac:dyDescent="0.25">
      <c r="B324" s="324"/>
    </row>
    <row r="325" spans="2:2" x14ac:dyDescent="0.25">
      <c r="B325" s="324"/>
    </row>
    <row r="326" spans="2:2" x14ac:dyDescent="0.25">
      <c r="B326" s="324"/>
    </row>
    <row r="327" spans="2:2" x14ac:dyDescent="0.25">
      <c r="B327" s="324"/>
    </row>
    <row r="328" spans="2:2" x14ac:dyDescent="0.25">
      <c r="B328" s="324"/>
    </row>
    <row r="329" spans="2:2" x14ac:dyDescent="0.25">
      <c r="B329" s="324"/>
    </row>
    <row r="330" spans="2:2" x14ac:dyDescent="0.25">
      <c r="B330" s="324"/>
    </row>
    <row r="331" spans="2:2" x14ac:dyDescent="0.25">
      <c r="B331" s="324"/>
    </row>
    <row r="332" spans="2:2" x14ac:dyDescent="0.25">
      <c r="B332" s="324"/>
    </row>
    <row r="333" spans="2:2" x14ac:dyDescent="0.25">
      <c r="B333" s="324"/>
    </row>
    <row r="334" spans="2:2" x14ac:dyDescent="0.25">
      <c r="B334" s="324"/>
    </row>
    <row r="335" spans="2:2" x14ac:dyDescent="0.25">
      <c r="B335" s="324"/>
    </row>
    <row r="336" spans="2:2" x14ac:dyDescent="0.25">
      <c r="B336" s="324"/>
    </row>
    <row r="337" spans="2:2" x14ac:dyDescent="0.25">
      <c r="B337" s="324"/>
    </row>
    <row r="338" spans="2:2" x14ac:dyDescent="0.25">
      <c r="B338" s="324"/>
    </row>
    <row r="339" spans="2:2" x14ac:dyDescent="0.25">
      <c r="B339" s="324"/>
    </row>
    <row r="340" spans="2:2" x14ac:dyDescent="0.25">
      <c r="B340" s="324"/>
    </row>
    <row r="341" spans="2:2" x14ac:dyDescent="0.25">
      <c r="B341" s="324"/>
    </row>
    <row r="342" spans="2:2" x14ac:dyDescent="0.25">
      <c r="B342" s="324"/>
    </row>
    <row r="343" spans="2:2" x14ac:dyDescent="0.25">
      <c r="B343" s="324"/>
    </row>
    <row r="344" spans="2:2" x14ac:dyDescent="0.25">
      <c r="B344" s="324"/>
    </row>
    <row r="345" spans="2:2" x14ac:dyDescent="0.25">
      <c r="B345" s="324"/>
    </row>
    <row r="346" spans="2:2" x14ac:dyDescent="0.25">
      <c r="B346" s="324"/>
    </row>
    <row r="347" spans="2:2" x14ac:dyDescent="0.25">
      <c r="B347" s="324"/>
    </row>
    <row r="348" spans="2:2" x14ac:dyDescent="0.25">
      <c r="B348" s="324"/>
    </row>
    <row r="349" spans="2:2" x14ac:dyDescent="0.25">
      <c r="B349" s="324"/>
    </row>
    <row r="350" spans="2:2" x14ac:dyDescent="0.25">
      <c r="B350" s="324"/>
    </row>
    <row r="351" spans="2:2" x14ac:dyDescent="0.25">
      <c r="B351" s="324"/>
    </row>
    <row r="352" spans="2:2" x14ac:dyDescent="0.25">
      <c r="B352" s="324"/>
    </row>
    <row r="353" spans="2:2" x14ac:dyDescent="0.25">
      <c r="B353" s="324"/>
    </row>
    <row r="354" spans="2:2" x14ac:dyDescent="0.25">
      <c r="B354" s="324"/>
    </row>
    <row r="355" spans="2:2" x14ac:dyDescent="0.25">
      <c r="B355" s="324"/>
    </row>
    <row r="356" spans="2:2" x14ac:dyDescent="0.25">
      <c r="B356" s="324"/>
    </row>
    <row r="357" spans="2:2" x14ac:dyDescent="0.25">
      <c r="B357" s="324"/>
    </row>
    <row r="358" spans="2:2" x14ac:dyDescent="0.25">
      <c r="B358" s="324"/>
    </row>
    <row r="359" spans="2:2" x14ac:dyDescent="0.25">
      <c r="B359" s="324"/>
    </row>
    <row r="360" spans="2:2" x14ac:dyDescent="0.25">
      <c r="B360" s="324"/>
    </row>
    <row r="361" spans="2:2" x14ac:dyDescent="0.25">
      <c r="B361" s="324"/>
    </row>
    <row r="362" spans="2:2" x14ac:dyDescent="0.25">
      <c r="B362" s="324"/>
    </row>
    <row r="363" spans="2:2" x14ac:dyDescent="0.25">
      <c r="B363" s="324"/>
    </row>
    <row r="364" spans="2:2" x14ac:dyDescent="0.25">
      <c r="B364" s="324"/>
    </row>
    <row r="365" spans="2:2" x14ac:dyDescent="0.25">
      <c r="B365" s="324"/>
    </row>
    <row r="366" spans="2:2" x14ac:dyDescent="0.25">
      <c r="B366" s="324"/>
    </row>
    <row r="367" spans="2:2" x14ac:dyDescent="0.25">
      <c r="B367" s="324"/>
    </row>
    <row r="368" spans="2:2" x14ac:dyDescent="0.25">
      <c r="B368" s="324"/>
    </row>
    <row r="369" spans="2:2" x14ac:dyDescent="0.25">
      <c r="B369" s="324"/>
    </row>
    <row r="370" spans="2:2" x14ac:dyDescent="0.25">
      <c r="B370" s="324"/>
    </row>
    <row r="371" spans="2:2" x14ac:dyDescent="0.25">
      <c r="B371" s="324"/>
    </row>
    <row r="372" spans="2:2" x14ac:dyDescent="0.25">
      <c r="B372" s="324"/>
    </row>
    <row r="373" spans="2:2" x14ac:dyDescent="0.25">
      <c r="B373" s="324"/>
    </row>
    <row r="374" spans="2:2" x14ac:dyDescent="0.25">
      <c r="B374" s="324"/>
    </row>
    <row r="375" spans="2:2" x14ac:dyDescent="0.25">
      <c r="B375" s="324"/>
    </row>
    <row r="376" spans="2:2" x14ac:dyDescent="0.25">
      <c r="B376" s="324"/>
    </row>
    <row r="377" spans="2:2" x14ac:dyDescent="0.25">
      <c r="B377" s="324"/>
    </row>
    <row r="378" spans="2:2" x14ac:dyDescent="0.25">
      <c r="B378" s="324"/>
    </row>
    <row r="379" spans="2:2" x14ac:dyDescent="0.25">
      <c r="B379" s="324"/>
    </row>
    <row r="380" spans="2:2" x14ac:dyDescent="0.25">
      <c r="B380" s="324"/>
    </row>
    <row r="381" spans="2:2" x14ac:dyDescent="0.25">
      <c r="B381" s="324"/>
    </row>
    <row r="382" spans="2:2" x14ac:dyDescent="0.25">
      <c r="B382" s="324"/>
    </row>
    <row r="383" spans="2:2" x14ac:dyDescent="0.25">
      <c r="B383" s="324"/>
    </row>
    <row r="384" spans="2:2" x14ac:dyDescent="0.25">
      <c r="B384" s="324"/>
    </row>
    <row r="385" spans="2:2" x14ac:dyDescent="0.25">
      <c r="B385" s="324"/>
    </row>
    <row r="386" spans="2:2" x14ac:dyDescent="0.25">
      <c r="B386" s="324"/>
    </row>
    <row r="387" spans="2:2" x14ac:dyDescent="0.25">
      <c r="B387" s="324"/>
    </row>
    <row r="388" spans="2:2" x14ac:dyDescent="0.25">
      <c r="B388" s="324"/>
    </row>
    <row r="389" spans="2:2" x14ac:dyDescent="0.25">
      <c r="B389" s="324"/>
    </row>
    <row r="390" spans="2:2" x14ac:dyDescent="0.25">
      <c r="B390" s="324"/>
    </row>
    <row r="391" spans="2:2" x14ac:dyDescent="0.25">
      <c r="B391" s="324"/>
    </row>
    <row r="392" spans="2:2" x14ac:dyDescent="0.25">
      <c r="B392" s="324"/>
    </row>
    <row r="393" spans="2:2" x14ac:dyDescent="0.25">
      <c r="B393" s="324"/>
    </row>
    <row r="394" spans="2:2" x14ac:dyDescent="0.25">
      <c r="B394" s="324"/>
    </row>
    <row r="395" spans="2:2" x14ac:dyDescent="0.25">
      <c r="B395" s="324"/>
    </row>
    <row r="396" spans="2:2" x14ac:dyDescent="0.25">
      <c r="B396" s="324"/>
    </row>
    <row r="397" spans="2:2" x14ac:dyDescent="0.25">
      <c r="B397" s="324"/>
    </row>
    <row r="398" spans="2:2" x14ac:dyDescent="0.25">
      <c r="B398" s="324"/>
    </row>
    <row r="399" spans="2:2" x14ac:dyDescent="0.25">
      <c r="B399" s="324"/>
    </row>
    <row r="400" spans="2:2" x14ac:dyDescent="0.25">
      <c r="B400" s="324"/>
    </row>
    <row r="401" spans="2:2" x14ac:dyDescent="0.25">
      <c r="B401" s="324"/>
    </row>
    <row r="402" spans="2:2" x14ac:dyDescent="0.25">
      <c r="B402" s="324"/>
    </row>
    <row r="403" spans="2:2" x14ac:dyDescent="0.25">
      <c r="B403" s="324"/>
    </row>
    <row r="404" spans="2:2" x14ac:dyDescent="0.25">
      <c r="B404" s="324"/>
    </row>
    <row r="405" spans="2:2" x14ac:dyDescent="0.25">
      <c r="B405" s="324"/>
    </row>
    <row r="406" spans="2:2" x14ac:dyDescent="0.25">
      <c r="B406" s="324"/>
    </row>
    <row r="407" spans="2:2" x14ac:dyDescent="0.25">
      <c r="B407" s="324"/>
    </row>
    <row r="408" spans="2:2" x14ac:dyDescent="0.25">
      <c r="B408" s="324"/>
    </row>
    <row r="409" spans="2:2" x14ac:dyDescent="0.25">
      <c r="B409" s="324"/>
    </row>
    <row r="410" spans="2:2" x14ac:dyDescent="0.25">
      <c r="B410" s="324"/>
    </row>
    <row r="411" spans="2:2" x14ac:dyDescent="0.25">
      <c r="B411" s="324"/>
    </row>
    <row r="412" spans="2:2" x14ac:dyDescent="0.25">
      <c r="B412" s="324"/>
    </row>
    <row r="413" spans="2:2" x14ac:dyDescent="0.25">
      <c r="B413" s="324"/>
    </row>
    <row r="414" spans="2:2" x14ac:dyDescent="0.25">
      <c r="B414" s="324"/>
    </row>
    <row r="415" spans="2:2" x14ac:dyDescent="0.25">
      <c r="B415" s="324"/>
    </row>
    <row r="416" spans="2:2" x14ac:dyDescent="0.25">
      <c r="B416" s="324"/>
    </row>
    <row r="417" spans="2:2" x14ac:dyDescent="0.25">
      <c r="B417" s="324"/>
    </row>
    <row r="418" spans="2:2" x14ac:dyDescent="0.25">
      <c r="B418" s="324"/>
    </row>
    <row r="419" spans="2:2" x14ac:dyDescent="0.25">
      <c r="B419" s="324"/>
    </row>
    <row r="420" spans="2:2" x14ac:dyDescent="0.25">
      <c r="B420" s="324"/>
    </row>
    <row r="421" spans="2:2" x14ac:dyDescent="0.25">
      <c r="B421" s="324"/>
    </row>
    <row r="422" spans="2:2" x14ac:dyDescent="0.25">
      <c r="B422" s="324"/>
    </row>
    <row r="423" spans="2:2" x14ac:dyDescent="0.25">
      <c r="B423" s="324"/>
    </row>
    <row r="424" spans="2:2" x14ac:dyDescent="0.25">
      <c r="B424" s="324"/>
    </row>
    <row r="425" spans="2:2" x14ac:dyDescent="0.25">
      <c r="B425" s="324"/>
    </row>
    <row r="426" spans="2:2" x14ac:dyDescent="0.25">
      <c r="B426" s="324"/>
    </row>
    <row r="427" spans="2:2" x14ac:dyDescent="0.25">
      <c r="B427" s="324"/>
    </row>
    <row r="428" spans="2:2" x14ac:dyDescent="0.25">
      <c r="B428" s="324"/>
    </row>
    <row r="429" spans="2:2" x14ac:dyDescent="0.25">
      <c r="B429" s="324"/>
    </row>
    <row r="430" spans="2:2" x14ac:dyDescent="0.25">
      <c r="B430" s="153"/>
    </row>
    <row r="431" spans="2:2" x14ac:dyDescent="0.25">
      <c r="B431" s="153"/>
    </row>
    <row r="432" spans="2:2" x14ac:dyDescent="0.25">
      <c r="B432" s="153"/>
    </row>
    <row r="433" spans="2:2" x14ac:dyDescent="0.25">
      <c r="B433" s="153"/>
    </row>
    <row r="434" spans="2:2" x14ac:dyDescent="0.25">
      <c r="B434" s="153"/>
    </row>
    <row r="435" spans="2:2" x14ac:dyDescent="0.25">
      <c r="B435" s="153"/>
    </row>
    <row r="436" spans="2:2" x14ac:dyDescent="0.25">
      <c r="B436" s="153"/>
    </row>
    <row r="437" spans="2:2" x14ac:dyDescent="0.25">
      <c r="B437" s="153"/>
    </row>
    <row r="438" spans="2:2" x14ac:dyDescent="0.25">
      <c r="B438" s="153"/>
    </row>
    <row r="439" spans="2:2" x14ac:dyDescent="0.25">
      <c r="B439" s="153"/>
    </row>
    <row r="440" spans="2:2" x14ac:dyDescent="0.25">
      <c r="B440" s="153"/>
    </row>
    <row r="441" spans="2:2" x14ac:dyDescent="0.25">
      <c r="B441" s="153"/>
    </row>
    <row r="442" spans="2:2" x14ac:dyDescent="0.25">
      <c r="B442" s="153"/>
    </row>
    <row r="443" spans="2:2" x14ac:dyDescent="0.25">
      <c r="B443" s="153"/>
    </row>
    <row r="444" spans="2:2" x14ac:dyDescent="0.25">
      <c r="B444" s="153"/>
    </row>
    <row r="445" spans="2:2" x14ac:dyDescent="0.25">
      <c r="B445" s="153"/>
    </row>
    <row r="446" spans="2:2" x14ac:dyDescent="0.25">
      <c r="B446" s="153"/>
    </row>
    <row r="447" spans="2:2" x14ac:dyDescent="0.25">
      <c r="B447" s="153"/>
    </row>
    <row r="448" spans="2:2" x14ac:dyDescent="0.25">
      <c r="B448" s="153"/>
    </row>
    <row r="449" spans="2:2" x14ac:dyDescent="0.25">
      <c r="B449" s="153"/>
    </row>
    <row r="450" spans="2:2" x14ac:dyDescent="0.25">
      <c r="B450" s="153"/>
    </row>
    <row r="451" spans="2:2" x14ac:dyDescent="0.25">
      <c r="B451" s="153"/>
    </row>
    <row r="452" spans="2:2" x14ac:dyDescent="0.25">
      <c r="B452" s="153"/>
    </row>
    <row r="453" spans="2:2" x14ac:dyDescent="0.25">
      <c r="B453" s="153"/>
    </row>
    <row r="454" spans="2:2" x14ac:dyDescent="0.25">
      <c r="B454" s="153"/>
    </row>
    <row r="455" spans="2:2" x14ac:dyDescent="0.25">
      <c r="B455" s="153"/>
    </row>
    <row r="456" spans="2:2" x14ac:dyDescent="0.25">
      <c r="B456" s="153"/>
    </row>
    <row r="457" spans="2:2" x14ac:dyDescent="0.25">
      <c r="B457" s="153"/>
    </row>
    <row r="458" spans="2:2" x14ac:dyDescent="0.25">
      <c r="B458" s="153"/>
    </row>
    <row r="459" spans="2:2" x14ac:dyDescent="0.25">
      <c r="B459" s="153"/>
    </row>
    <row r="460" spans="2:2" x14ac:dyDescent="0.25">
      <c r="B460" s="153"/>
    </row>
    <row r="461" spans="2:2" x14ac:dyDescent="0.25">
      <c r="B461" s="153"/>
    </row>
    <row r="462" spans="2:2" x14ac:dyDescent="0.25">
      <c r="B462" s="153"/>
    </row>
    <row r="463" spans="2:2" x14ac:dyDescent="0.25">
      <c r="B463" s="153"/>
    </row>
    <row r="464" spans="2:2" x14ac:dyDescent="0.25">
      <c r="B464" s="153"/>
    </row>
    <row r="465" spans="2:2" x14ac:dyDescent="0.25">
      <c r="B465" s="153"/>
    </row>
    <row r="466" spans="2:2" x14ac:dyDescent="0.25">
      <c r="B466" s="153"/>
    </row>
    <row r="467" spans="2:2" x14ac:dyDescent="0.25">
      <c r="B467" s="153"/>
    </row>
    <row r="468" spans="2:2" x14ac:dyDescent="0.25">
      <c r="B468" s="153"/>
    </row>
    <row r="469" spans="2:2" x14ac:dyDescent="0.25">
      <c r="B469" s="153"/>
    </row>
    <row r="470" spans="2:2" x14ac:dyDescent="0.25">
      <c r="B470" s="153"/>
    </row>
    <row r="471" spans="2:2" x14ac:dyDescent="0.25">
      <c r="B471" s="153"/>
    </row>
    <row r="472" spans="2:2" x14ac:dyDescent="0.25">
      <c r="B472" s="153"/>
    </row>
    <row r="473" spans="2:2" x14ac:dyDescent="0.25">
      <c r="B473" s="153"/>
    </row>
    <row r="474" spans="2:2" x14ac:dyDescent="0.25">
      <c r="B474" s="153"/>
    </row>
    <row r="475" spans="2:2" x14ac:dyDescent="0.25">
      <c r="B475" s="153"/>
    </row>
    <row r="476" spans="2:2" x14ac:dyDescent="0.25">
      <c r="B476" s="153"/>
    </row>
    <row r="477" spans="2:2" x14ac:dyDescent="0.25">
      <c r="B477" s="153"/>
    </row>
    <row r="478" spans="2:2" x14ac:dyDescent="0.25">
      <c r="B478" s="153"/>
    </row>
    <row r="479" spans="2:2" x14ac:dyDescent="0.25">
      <c r="B479" s="153"/>
    </row>
    <row r="480" spans="2:2" x14ac:dyDescent="0.25">
      <c r="B480" s="153"/>
    </row>
    <row r="481" spans="2:2" x14ac:dyDescent="0.25">
      <c r="B481" s="153"/>
    </row>
    <row r="482" spans="2:2" x14ac:dyDescent="0.25">
      <c r="B482" s="153"/>
    </row>
    <row r="483" spans="2:2" x14ac:dyDescent="0.25">
      <c r="B483" s="153"/>
    </row>
    <row r="484" spans="2:2" x14ac:dyDescent="0.25">
      <c r="B484" s="153"/>
    </row>
    <row r="485" spans="2:2" x14ac:dyDescent="0.25">
      <c r="B485" s="153"/>
    </row>
    <row r="486" spans="2:2" x14ac:dyDescent="0.25">
      <c r="B486" s="153"/>
    </row>
    <row r="487" spans="2:2" x14ac:dyDescent="0.25">
      <c r="B487" s="153"/>
    </row>
    <row r="488" spans="2:2" x14ac:dyDescent="0.25">
      <c r="B488" s="153"/>
    </row>
    <row r="489" spans="2:2" x14ac:dyDescent="0.25">
      <c r="B489" s="153"/>
    </row>
    <row r="490" spans="2:2" x14ac:dyDescent="0.25">
      <c r="B490" s="153"/>
    </row>
    <row r="491" spans="2:2" x14ac:dyDescent="0.25">
      <c r="B491" s="153"/>
    </row>
    <row r="492" spans="2:2" x14ac:dyDescent="0.25">
      <c r="B492" s="153"/>
    </row>
    <row r="493" spans="2:2" x14ac:dyDescent="0.25">
      <c r="B493" s="153"/>
    </row>
    <row r="494" spans="2:2" x14ac:dyDescent="0.25">
      <c r="B494" s="153"/>
    </row>
    <row r="495" spans="2:2" x14ac:dyDescent="0.25">
      <c r="B495" s="153"/>
    </row>
    <row r="496" spans="2:2" x14ac:dyDescent="0.25">
      <c r="B496" s="153"/>
    </row>
    <row r="497" spans="2:2" x14ac:dyDescent="0.25">
      <c r="B497" s="153"/>
    </row>
    <row r="498" spans="2:2" x14ac:dyDescent="0.25">
      <c r="B498" s="153"/>
    </row>
    <row r="499" spans="2:2" x14ac:dyDescent="0.25">
      <c r="B499" s="153"/>
    </row>
    <row r="500" spans="2:2" x14ac:dyDescent="0.25">
      <c r="B500" s="153"/>
    </row>
    <row r="501" spans="2:2" x14ac:dyDescent="0.25">
      <c r="B501" s="153"/>
    </row>
    <row r="502" spans="2:2" x14ac:dyDescent="0.25">
      <c r="B502" s="153"/>
    </row>
    <row r="503" spans="2:2" x14ac:dyDescent="0.25">
      <c r="B503" s="153"/>
    </row>
    <row r="504" spans="2:2" x14ac:dyDescent="0.25">
      <c r="B504" s="153"/>
    </row>
    <row r="505" spans="2:2" x14ac:dyDescent="0.25">
      <c r="B505" s="153"/>
    </row>
    <row r="506" spans="2:2" x14ac:dyDescent="0.25">
      <c r="B506" s="153"/>
    </row>
    <row r="507" spans="2:2" x14ac:dyDescent="0.25">
      <c r="B507" s="153"/>
    </row>
    <row r="508" spans="2:2" x14ac:dyDescent="0.25">
      <c r="B508" s="153"/>
    </row>
    <row r="509" spans="2:2" x14ac:dyDescent="0.25">
      <c r="B509" s="153"/>
    </row>
    <row r="510" spans="2:2" x14ac:dyDescent="0.25">
      <c r="B510" s="153"/>
    </row>
    <row r="511" spans="2:2" x14ac:dyDescent="0.25">
      <c r="B511" s="153"/>
    </row>
    <row r="512" spans="2:2" x14ac:dyDescent="0.25">
      <c r="B512" s="153"/>
    </row>
    <row r="513" spans="2:2" x14ac:dyDescent="0.25">
      <c r="B513" s="153"/>
    </row>
    <row r="514" spans="2:2" x14ac:dyDescent="0.25">
      <c r="B514" s="153"/>
    </row>
    <row r="515" spans="2:2" x14ac:dyDescent="0.25">
      <c r="B515" s="153"/>
    </row>
    <row r="516" spans="2:2" x14ac:dyDescent="0.25">
      <c r="B516" s="153"/>
    </row>
    <row r="517" spans="2:2" x14ac:dyDescent="0.25">
      <c r="B517" s="153"/>
    </row>
    <row r="518" spans="2:2" x14ac:dyDescent="0.25">
      <c r="B518" s="153"/>
    </row>
    <row r="519" spans="2:2" x14ac:dyDescent="0.25">
      <c r="B519" s="153"/>
    </row>
    <row r="520" spans="2:2" x14ac:dyDescent="0.25">
      <c r="B520" s="153"/>
    </row>
    <row r="521" spans="2:2" x14ac:dyDescent="0.25">
      <c r="B521" s="153"/>
    </row>
    <row r="522" spans="2:2" x14ac:dyDescent="0.25">
      <c r="B522" s="153"/>
    </row>
    <row r="523" spans="2:2" x14ac:dyDescent="0.25">
      <c r="B523" s="153"/>
    </row>
    <row r="524" spans="2:2" x14ac:dyDescent="0.25">
      <c r="B524" s="153"/>
    </row>
    <row r="525" spans="2:2" x14ac:dyDescent="0.25">
      <c r="B525" s="153"/>
    </row>
    <row r="526" spans="2:2" x14ac:dyDescent="0.25">
      <c r="B526" s="153"/>
    </row>
    <row r="527" spans="2:2" x14ac:dyDescent="0.25">
      <c r="B527" s="153"/>
    </row>
    <row r="528" spans="2:2" x14ac:dyDescent="0.25">
      <c r="B528" s="153"/>
    </row>
    <row r="529" spans="2:2" x14ac:dyDescent="0.25">
      <c r="B529" s="153"/>
    </row>
    <row r="530" spans="2:2" x14ac:dyDescent="0.25">
      <c r="B530" s="153"/>
    </row>
    <row r="531" spans="2:2" x14ac:dyDescent="0.25">
      <c r="B531" s="153"/>
    </row>
    <row r="532" spans="2:2" x14ac:dyDescent="0.25">
      <c r="B532" s="153"/>
    </row>
    <row r="533" spans="2:2" x14ac:dyDescent="0.25">
      <c r="B533" s="153"/>
    </row>
    <row r="534" spans="2:2" x14ac:dyDescent="0.25">
      <c r="B534" s="153"/>
    </row>
    <row r="535" spans="2:2" x14ac:dyDescent="0.25">
      <c r="B535" s="153"/>
    </row>
    <row r="536" spans="2:2" x14ac:dyDescent="0.25">
      <c r="B536" s="153"/>
    </row>
    <row r="537" spans="2:2" x14ac:dyDescent="0.25">
      <c r="B537" s="153"/>
    </row>
    <row r="538" spans="2:2" x14ac:dyDescent="0.25">
      <c r="B538" s="153"/>
    </row>
    <row r="539" spans="2:2" x14ac:dyDescent="0.25">
      <c r="B539" s="153"/>
    </row>
    <row r="540" spans="2:2" x14ac:dyDescent="0.25">
      <c r="B540" s="153"/>
    </row>
    <row r="541" spans="2:2" x14ac:dyDescent="0.25">
      <c r="B541" s="153"/>
    </row>
    <row r="542" spans="2:2" x14ac:dyDescent="0.25">
      <c r="B542" s="153"/>
    </row>
    <row r="543" spans="2:2" x14ac:dyDescent="0.25">
      <c r="B543" s="153"/>
    </row>
    <row r="544" spans="2:2" x14ac:dyDescent="0.25">
      <c r="B544" s="153"/>
    </row>
    <row r="545" spans="2:2" x14ac:dyDescent="0.25">
      <c r="B545" s="153"/>
    </row>
    <row r="546" spans="2:2" x14ac:dyDescent="0.25">
      <c r="B546" s="153"/>
    </row>
    <row r="547" spans="2:2" x14ac:dyDescent="0.25">
      <c r="B547" s="153"/>
    </row>
    <row r="548" spans="2:2" x14ac:dyDescent="0.25">
      <c r="B548" s="153"/>
    </row>
    <row r="549" spans="2:2" x14ac:dyDescent="0.25">
      <c r="B549" s="153"/>
    </row>
    <row r="550" spans="2:2" x14ac:dyDescent="0.25">
      <c r="B550" s="153"/>
    </row>
    <row r="551" spans="2:2" x14ac:dyDescent="0.25">
      <c r="B551" s="153"/>
    </row>
    <row r="552" spans="2:2" x14ac:dyDescent="0.25">
      <c r="B552" s="153"/>
    </row>
    <row r="553" spans="2:2" x14ac:dyDescent="0.25">
      <c r="B553" s="153"/>
    </row>
    <row r="554" spans="2:2" x14ac:dyDescent="0.25">
      <c r="B554" s="153"/>
    </row>
    <row r="555" spans="2:2" x14ac:dyDescent="0.25">
      <c r="B555" s="153"/>
    </row>
    <row r="556" spans="2:2" x14ac:dyDescent="0.25">
      <c r="B556" s="153"/>
    </row>
    <row r="557" spans="2:2" x14ac:dyDescent="0.25">
      <c r="B557" s="153"/>
    </row>
    <row r="558" spans="2:2" x14ac:dyDescent="0.25">
      <c r="B558" s="153"/>
    </row>
    <row r="559" spans="2:2" x14ac:dyDescent="0.25">
      <c r="B559" s="153"/>
    </row>
    <row r="560" spans="2:2" x14ac:dyDescent="0.25">
      <c r="B560" s="153"/>
    </row>
    <row r="561" spans="2:2" x14ac:dyDescent="0.25">
      <c r="B561" s="153"/>
    </row>
    <row r="562" spans="2:2" x14ac:dyDescent="0.25">
      <c r="B562" s="153"/>
    </row>
    <row r="563" spans="2:2" x14ac:dyDescent="0.25">
      <c r="B563" s="153"/>
    </row>
    <row r="564" spans="2:2" x14ac:dyDescent="0.25">
      <c r="B564" s="153"/>
    </row>
    <row r="565" spans="2:2" x14ac:dyDescent="0.25">
      <c r="B565" s="153"/>
    </row>
    <row r="566" spans="2:2" x14ac:dyDescent="0.25">
      <c r="B566" s="153"/>
    </row>
    <row r="567" spans="2:2" x14ac:dyDescent="0.25">
      <c r="B567" s="153"/>
    </row>
    <row r="568" spans="2:2" x14ac:dyDescent="0.25">
      <c r="B568" s="153"/>
    </row>
    <row r="569" spans="2:2" x14ac:dyDescent="0.25">
      <c r="B569" s="153"/>
    </row>
    <row r="570" spans="2:2" x14ac:dyDescent="0.25">
      <c r="B570" s="153"/>
    </row>
    <row r="571" spans="2:2" x14ac:dyDescent="0.25">
      <c r="B571" s="153"/>
    </row>
    <row r="572" spans="2:2" x14ac:dyDescent="0.25">
      <c r="B572" s="153"/>
    </row>
    <row r="573" spans="2:2" x14ac:dyDescent="0.25">
      <c r="B573" s="153"/>
    </row>
    <row r="574" spans="2:2" x14ac:dyDescent="0.25">
      <c r="B574" s="153"/>
    </row>
    <row r="575" spans="2:2" x14ac:dyDescent="0.25">
      <c r="B575" s="153"/>
    </row>
    <row r="576" spans="2:2" x14ac:dyDescent="0.25">
      <c r="B576" s="153"/>
    </row>
    <row r="577" spans="2:2" x14ac:dyDescent="0.25">
      <c r="B577" s="153"/>
    </row>
    <row r="578" spans="2:2" x14ac:dyDescent="0.25">
      <c r="B578" s="153"/>
    </row>
    <row r="579" spans="2:2" x14ac:dyDescent="0.25">
      <c r="B579" s="153"/>
    </row>
    <row r="580" spans="2:2" x14ac:dyDescent="0.25">
      <c r="B580" s="153"/>
    </row>
    <row r="581" spans="2:2" x14ac:dyDescent="0.25">
      <c r="B581" s="153"/>
    </row>
    <row r="582" spans="2:2" x14ac:dyDescent="0.25">
      <c r="B582" s="153"/>
    </row>
    <row r="583" spans="2:2" x14ac:dyDescent="0.25">
      <c r="B583" s="153"/>
    </row>
    <row r="584" spans="2:2" x14ac:dyDescent="0.25">
      <c r="B584" s="153"/>
    </row>
    <row r="585" spans="2:2" x14ac:dyDescent="0.25">
      <c r="B585" s="153"/>
    </row>
    <row r="586" spans="2:2" x14ac:dyDescent="0.25">
      <c r="B586" s="153"/>
    </row>
    <row r="587" spans="2:2" x14ac:dyDescent="0.25">
      <c r="B587" s="153"/>
    </row>
    <row r="588" spans="2:2" x14ac:dyDescent="0.25">
      <c r="B588" s="153"/>
    </row>
    <row r="589" spans="2:2" x14ac:dyDescent="0.25">
      <c r="B589" s="153"/>
    </row>
    <row r="590" spans="2:2" x14ac:dyDescent="0.25">
      <c r="B590" s="153"/>
    </row>
    <row r="591" spans="2:2" x14ac:dyDescent="0.25">
      <c r="B591" s="153"/>
    </row>
    <row r="592" spans="2:2" x14ac:dyDescent="0.25">
      <c r="B592" s="153"/>
    </row>
    <row r="593" spans="2:2" x14ac:dyDescent="0.25">
      <c r="B593" s="153"/>
    </row>
    <row r="594" spans="2:2" x14ac:dyDescent="0.25">
      <c r="B594" s="153"/>
    </row>
    <row r="595" spans="2:2" x14ac:dyDescent="0.25">
      <c r="B595" s="153"/>
    </row>
    <row r="596" spans="2:2" x14ac:dyDescent="0.25">
      <c r="B596" s="153"/>
    </row>
    <row r="597" spans="2:2" x14ac:dyDescent="0.25">
      <c r="B597" s="153"/>
    </row>
    <row r="598" spans="2:2" x14ac:dyDescent="0.25">
      <c r="B598" s="153"/>
    </row>
    <row r="599" spans="2:2" x14ac:dyDescent="0.25">
      <c r="B599" s="153"/>
    </row>
    <row r="600" spans="2:2" x14ac:dyDescent="0.25">
      <c r="B600" s="153"/>
    </row>
    <row r="601" spans="2:2" x14ac:dyDescent="0.25">
      <c r="B601" s="153"/>
    </row>
    <row r="602" spans="2:2" x14ac:dyDescent="0.25">
      <c r="B602" s="153"/>
    </row>
    <row r="603" spans="2:2" x14ac:dyDescent="0.25">
      <c r="B603" s="153"/>
    </row>
    <row r="604" spans="2:2" x14ac:dyDescent="0.25">
      <c r="B604" s="153"/>
    </row>
    <row r="605" spans="2:2" x14ac:dyDescent="0.25">
      <c r="B605" s="153"/>
    </row>
    <row r="606" spans="2:2" x14ac:dyDescent="0.25">
      <c r="B606" s="153"/>
    </row>
    <row r="607" spans="2:2" x14ac:dyDescent="0.25">
      <c r="B607" s="153"/>
    </row>
    <row r="608" spans="2:2" x14ac:dyDescent="0.25">
      <c r="B608" s="153"/>
    </row>
    <row r="609" spans="2:2" x14ac:dyDescent="0.25">
      <c r="B609" s="153"/>
    </row>
    <row r="610" spans="2:2" x14ac:dyDescent="0.25">
      <c r="B610" s="153"/>
    </row>
    <row r="611" spans="2:2" x14ac:dyDescent="0.25">
      <c r="B611" s="153"/>
    </row>
    <row r="612" spans="2:2" x14ac:dyDescent="0.25">
      <c r="B612" s="153"/>
    </row>
    <row r="613" spans="2:2" x14ac:dyDescent="0.25">
      <c r="B613" s="153"/>
    </row>
    <row r="614" spans="2:2" x14ac:dyDescent="0.25">
      <c r="B614" s="153"/>
    </row>
    <row r="615" spans="2:2" x14ac:dyDescent="0.25">
      <c r="B615" s="153"/>
    </row>
    <row r="616" spans="2:2" x14ac:dyDescent="0.25">
      <c r="B616" s="153"/>
    </row>
    <row r="617" spans="2:2" x14ac:dyDescent="0.25">
      <c r="B617" s="153"/>
    </row>
    <row r="618" spans="2:2" x14ac:dyDescent="0.25">
      <c r="B618" s="153"/>
    </row>
    <row r="619" spans="2:2" x14ac:dyDescent="0.25">
      <c r="B619" s="153"/>
    </row>
    <row r="620" spans="2:2" x14ac:dyDescent="0.25">
      <c r="B620" s="153"/>
    </row>
    <row r="621" spans="2:2" x14ac:dyDescent="0.25">
      <c r="B621" s="153"/>
    </row>
    <row r="622" spans="2:2" x14ac:dyDescent="0.25">
      <c r="B622" s="153"/>
    </row>
    <row r="623" spans="2:2" x14ac:dyDescent="0.25">
      <c r="B623" s="153"/>
    </row>
    <row r="624" spans="2:2" x14ac:dyDescent="0.25">
      <c r="B624" s="153"/>
    </row>
    <row r="625" spans="2:2" x14ac:dyDescent="0.25">
      <c r="B625" s="153"/>
    </row>
    <row r="626" spans="2:2" x14ac:dyDescent="0.25">
      <c r="B626" s="153"/>
    </row>
    <row r="627" spans="2:2" x14ac:dyDescent="0.25">
      <c r="B627" s="153"/>
    </row>
    <row r="628" spans="2:2" x14ac:dyDescent="0.25">
      <c r="B628" s="153"/>
    </row>
    <row r="629" spans="2:2" x14ac:dyDescent="0.25">
      <c r="B629" s="153"/>
    </row>
    <row r="630" spans="2:2" x14ac:dyDescent="0.25">
      <c r="B630" s="153"/>
    </row>
    <row r="631" spans="2:2" x14ac:dyDescent="0.25">
      <c r="B631" s="153"/>
    </row>
    <row r="632" spans="2:2" x14ac:dyDescent="0.25">
      <c r="B632" s="153"/>
    </row>
    <row r="633" spans="2:2" x14ac:dyDescent="0.25">
      <c r="B633" s="153"/>
    </row>
    <row r="634" spans="2:2" x14ac:dyDescent="0.25">
      <c r="B634" s="153"/>
    </row>
    <row r="635" spans="2:2" x14ac:dyDescent="0.25">
      <c r="B635" s="153"/>
    </row>
    <row r="636" spans="2:2" x14ac:dyDescent="0.25">
      <c r="B636" s="153"/>
    </row>
    <row r="637" spans="2:2" x14ac:dyDescent="0.25">
      <c r="B637" s="153"/>
    </row>
    <row r="638" spans="2:2" x14ac:dyDescent="0.25">
      <c r="B638" s="153"/>
    </row>
    <row r="639" spans="2:2" x14ac:dyDescent="0.25">
      <c r="B639" s="153"/>
    </row>
    <row r="640" spans="2:2" x14ac:dyDescent="0.25">
      <c r="B640" s="153"/>
    </row>
    <row r="641" spans="2:2" x14ac:dyDescent="0.25">
      <c r="B641" s="153"/>
    </row>
    <row r="642" spans="2:2" x14ac:dyDescent="0.25">
      <c r="B642" s="153"/>
    </row>
    <row r="643" spans="2:2" x14ac:dyDescent="0.25">
      <c r="B643" s="153"/>
    </row>
    <row r="644" spans="2:2" x14ac:dyDescent="0.25">
      <c r="B644" s="153"/>
    </row>
    <row r="645" spans="2:2" x14ac:dyDescent="0.25">
      <c r="B645" s="153"/>
    </row>
    <row r="646" spans="2:2" x14ac:dyDescent="0.25">
      <c r="B646" s="153"/>
    </row>
    <row r="647" spans="2:2" x14ac:dyDescent="0.25">
      <c r="B647" s="153"/>
    </row>
    <row r="648" spans="2:2" x14ac:dyDescent="0.25">
      <c r="B648" s="153"/>
    </row>
    <row r="649" spans="2:2" x14ac:dyDescent="0.25">
      <c r="B649" s="153"/>
    </row>
    <row r="650" spans="2:2" x14ac:dyDescent="0.25">
      <c r="B650" s="153"/>
    </row>
    <row r="651" spans="2:2" x14ac:dyDescent="0.25">
      <c r="B651" s="153"/>
    </row>
    <row r="652" spans="2:2" x14ac:dyDescent="0.25">
      <c r="B652" s="153"/>
    </row>
    <row r="653" spans="2:2" x14ac:dyDescent="0.25">
      <c r="B653" s="153"/>
    </row>
    <row r="654" spans="2:2" x14ac:dyDescent="0.25">
      <c r="B654" s="153"/>
    </row>
    <row r="655" spans="2:2" x14ac:dyDescent="0.25">
      <c r="B655" s="153"/>
    </row>
    <row r="656" spans="2:2" x14ac:dyDescent="0.25">
      <c r="B656" s="153"/>
    </row>
    <row r="657" spans="2:2" x14ac:dyDescent="0.25">
      <c r="B657" s="153"/>
    </row>
    <row r="658" spans="2:2" x14ac:dyDescent="0.25">
      <c r="B658" s="153"/>
    </row>
    <row r="659" spans="2:2" x14ac:dyDescent="0.25">
      <c r="B659" s="153"/>
    </row>
    <row r="660" spans="2:2" x14ac:dyDescent="0.25">
      <c r="B660" s="153"/>
    </row>
    <row r="661" spans="2:2" x14ac:dyDescent="0.25">
      <c r="B661" s="153"/>
    </row>
    <row r="662" spans="2:2" x14ac:dyDescent="0.25">
      <c r="B662" s="153"/>
    </row>
    <row r="663" spans="2:2" x14ac:dyDescent="0.25">
      <c r="B663" s="153"/>
    </row>
    <row r="664" spans="2:2" x14ac:dyDescent="0.25">
      <c r="B664" s="153"/>
    </row>
    <row r="665" spans="2:2" x14ac:dyDescent="0.25">
      <c r="B665" s="153"/>
    </row>
    <row r="666" spans="2:2" x14ac:dyDescent="0.25">
      <c r="B666" s="153"/>
    </row>
    <row r="667" spans="2:2" x14ac:dyDescent="0.25">
      <c r="B667" s="153"/>
    </row>
    <row r="668" spans="2:2" x14ac:dyDescent="0.25">
      <c r="B668" s="153"/>
    </row>
    <row r="669" spans="2:2" x14ac:dyDescent="0.25">
      <c r="B669" s="153"/>
    </row>
    <row r="670" spans="2:2" x14ac:dyDescent="0.25">
      <c r="B670" s="153"/>
    </row>
    <row r="671" spans="2:2" x14ac:dyDescent="0.25">
      <c r="B671" s="153"/>
    </row>
    <row r="672" spans="2:2" x14ac:dyDescent="0.25">
      <c r="B672" s="153"/>
    </row>
    <row r="673" spans="2:2" x14ac:dyDescent="0.25">
      <c r="B673" s="153"/>
    </row>
    <row r="674" spans="2:2" x14ac:dyDescent="0.25">
      <c r="B674" s="153"/>
    </row>
    <row r="675" spans="2:2" x14ac:dyDescent="0.25">
      <c r="B675" s="153"/>
    </row>
    <row r="676" spans="2:2" x14ac:dyDescent="0.25">
      <c r="B676" s="153"/>
    </row>
    <row r="677" spans="2:2" x14ac:dyDescent="0.25">
      <c r="B677" s="153"/>
    </row>
    <row r="678" spans="2:2" x14ac:dyDescent="0.25">
      <c r="B678" s="153"/>
    </row>
    <row r="679" spans="2:2" x14ac:dyDescent="0.25">
      <c r="B679" s="153"/>
    </row>
    <row r="680" spans="2:2" x14ac:dyDescent="0.25">
      <c r="B680" s="153"/>
    </row>
    <row r="681" spans="2:2" x14ac:dyDescent="0.25">
      <c r="B681" s="153"/>
    </row>
    <row r="682" spans="2:2" x14ac:dyDescent="0.25">
      <c r="B682" s="153"/>
    </row>
    <row r="683" spans="2:2" x14ac:dyDescent="0.25">
      <c r="B683" s="153"/>
    </row>
    <row r="684" spans="2:2" x14ac:dyDescent="0.25">
      <c r="B684" s="153"/>
    </row>
    <row r="685" spans="2:2" x14ac:dyDescent="0.25">
      <c r="B685" s="153"/>
    </row>
    <row r="686" spans="2:2" x14ac:dyDescent="0.25">
      <c r="B686" s="153"/>
    </row>
    <row r="687" spans="2:2" x14ac:dyDescent="0.25">
      <c r="B687" s="153"/>
    </row>
    <row r="688" spans="2:2" x14ac:dyDescent="0.25">
      <c r="B688" s="153"/>
    </row>
    <row r="689" spans="2:2" x14ac:dyDescent="0.25">
      <c r="B689" s="153"/>
    </row>
    <row r="690" spans="2:2" x14ac:dyDescent="0.25">
      <c r="B690" s="153"/>
    </row>
    <row r="691" spans="2:2" x14ac:dyDescent="0.25">
      <c r="B691" s="153"/>
    </row>
    <row r="692" spans="2:2" x14ac:dyDescent="0.25">
      <c r="B692" s="153"/>
    </row>
    <row r="693" spans="2:2" x14ac:dyDescent="0.25">
      <c r="B693" s="153"/>
    </row>
    <row r="694" spans="2:2" x14ac:dyDescent="0.25">
      <c r="B694" s="153"/>
    </row>
    <row r="695" spans="2:2" x14ac:dyDescent="0.25">
      <c r="B695" s="153"/>
    </row>
    <row r="696" spans="2:2" x14ac:dyDescent="0.25">
      <c r="B696" s="153"/>
    </row>
    <row r="697" spans="2:2" x14ac:dyDescent="0.25">
      <c r="B697" s="153"/>
    </row>
    <row r="698" spans="2:2" x14ac:dyDescent="0.25">
      <c r="B698" s="153"/>
    </row>
    <row r="699" spans="2:2" x14ac:dyDescent="0.25">
      <c r="B699" s="153"/>
    </row>
    <row r="700" spans="2:2" x14ac:dyDescent="0.25">
      <c r="B700" s="153"/>
    </row>
    <row r="701" spans="2:2" x14ac:dyDescent="0.25">
      <c r="B701" s="153"/>
    </row>
    <row r="702" spans="2:2" x14ac:dyDescent="0.25">
      <c r="B702" s="153"/>
    </row>
    <row r="703" spans="2:2" x14ac:dyDescent="0.25">
      <c r="B703" s="153"/>
    </row>
    <row r="704" spans="2:2" x14ac:dyDescent="0.25">
      <c r="B704" s="153"/>
    </row>
    <row r="705" spans="2:2" x14ac:dyDescent="0.25">
      <c r="B705" s="153"/>
    </row>
    <row r="706" spans="2:2" x14ac:dyDescent="0.25">
      <c r="B706" s="153"/>
    </row>
    <row r="707" spans="2:2" x14ac:dyDescent="0.25">
      <c r="B707" s="153"/>
    </row>
    <row r="708" spans="2:2" x14ac:dyDescent="0.25">
      <c r="B708" s="153"/>
    </row>
    <row r="709" spans="2:2" x14ac:dyDescent="0.25">
      <c r="B709" s="153"/>
    </row>
    <row r="710" spans="2:2" x14ac:dyDescent="0.25">
      <c r="B710" s="153"/>
    </row>
    <row r="711" spans="2:2" x14ac:dyDescent="0.25">
      <c r="B711" s="153"/>
    </row>
    <row r="712" spans="2:2" x14ac:dyDescent="0.25">
      <c r="B712" s="153"/>
    </row>
    <row r="713" spans="2:2" x14ac:dyDescent="0.25">
      <c r="B713" s="153"/>
    </row>
    <row r="714" spans="2:2" x14ac:dyDescent="0.25">
      <c r="B714" s="153"/>
    </row>
    <row r="715" spans="2:2" x14ac:dyDescent="0.25">
      <c r="B715" s="153"/>
    </row>
    <row r="716" spans="2:2" x14ac:dyDescent="0.25">
      <c r="B716" s="153"/>
    </row>
    <row r="717" spans="2:2" x14ac:dyDescent="0.25">
      <c r="B717" s="153"/>
    </row>
    <row r="718" spans="2:2" x14ac:dyDescent="0.25">
      <c r="B718" s="153"/>
    </row>
    <row r="719" spans="2:2" x14ac:dyDescent="0.25">
      <c r="B719" s="153"/>
    </row>
    <row r="720" spans="2:2" x14ac:dyDescent="0.25">
      <c r="B720" s="153"/>
    </row>
    <row r="721" spans="2:2" x14ac:dyDescent="0.25">
      <c r="B721" s="153"/>
    </row>
    <row r="722" spans="2:2" x14ac:dyDescent="0.25">
      <c r="B722" s="153"/>
    </row>
    <row r="723" spans="2:2" x14ac:dyDescent="0.25">
      <c r="B723" s="153"/>
    </row>
    <row r="724" spans="2:2" x14ac:dyDescent="0.25">
      <c r="B724" s="153"/>
    </row>
    <row r="725" spans="2:2" x14ac:dyDescent="0.25">
      <c r="B725" s="153"/>
    </row>
    <row r="726" spans="2:2" x14ac:dyDescent="0.25">
      <c r="B726" s="153"/>
    </row>
    <row r="727" spans="2:2" x14ac:dyDescent="0.25">
      <c r="B727" s="153"/>
    </row>
    <row r="728" spans="2:2" x14ac:dyDescent="0.25">
      <c r="B728" s="153"/>
    </row>
    <row r="729" spans="2:2" x14ac:dyDescent="0.25">
      <c r="B729" s="153"/>
    </row>
    <row r="730" spans="2:2" x14ac:dyDescent="0.25">
      <c r="B730" s="153"/>
    </row>
    <row r="731" spans="2:2" x14ac:dyDescent="0.25">
      <c r="B731" s="153"/>
    </row>
    <row r="732" spans="2:2" x14ac:dyDescent="0.25">
      <c r="B732" s="153"/>
    </row>
    <row r="733" spans="2:2" x14ac:dyDescent="0.25">
      <c r="B733" s="153"/>
    </row>
    <row r="734" spans="2:2" x14ac:dyDescent="0.25">
      <c r="B734" s="153"/>
    </row>
    <row r="735" spans="2:2" x14ac:dyDescent="0.25">
      <c r="B735" s="153"/>
    </row>
    <row r="736" spans="2:2" x14ac:dyDescent="0.25">
      <c r="B736" s="153"/>
    </row>
    <row r="737" spans="2:2" x14ac:dyDescent="0.25">
      <c r="B737" s="153"/>
    </row>
    <row r="738" spans="2:2" x14ac:dyDescent="0.25">
      <c r="B738" s="153"/>
    </row>
    <row r="739" spans="2:2" x14ac:dyDescent="0.25">
      <c r="B739" s="153"/>
    </row>
    <row r="740" spans="2:2" x14ac:dyDescent="0.25">
      <c r="B740" s="153"/>
    </row>
    <row r="741" spans="2:2" x14ac:dyDescent="0.25">
      <c r="B741" s="153"/>
    </row>
    <row r="742" spans="2:2" x14ac:dyDescent="0.25">
      <c r="B742" s="153"/>
    </row>
    <row r="743" spans="2:2" x14ac:dyDescent="0.25">
      <c r="B743" s="153"/>
    </row>
    <row r="744" spans="2:2" x14ac:dyDescent="0.25">
      <c r="B744" s="153"/>
    </row>
    <row r="745" spans="2:2" x14ac:dyDescent="0.25">
      <c r="B745" s="153"/>
    </row>
    <row r="746" spans="2:2" x14ac:dyDescent="0.25">
      <c r="B746" s="153"/>
    </row>
    <row r="747" spans="2:2" x14ac:dyDescent="0.25">
      <c r="B747" s="153"/>
    </row>
    <row r="748" spans="2:2" x14ac:dyDescent="0.25">
      <c r="B748" s="153"/>
    </row>
    <row r="749" spans="2:2" x14ac:dyDescent="0.25">
      <c r="B749" s="153"/>
    </row>
    <row r="750" spans="2:2" x14ac:dyDescent="0.25">
      <c r="B750" s="153"/>
    </row>
    <row r="751" spans="2:2" x14ac:dyDescent="0.25">
      <c r="B751" s="153"/>
    </row>
    <row r="752" spans="2:2" x14ac:dyDescent="0.25">
      <c r="B752" s="153"/>
    </row>
    <row r="753" spans="2:2" x14ac:dyDescent="0.25">
      <c r="B753" s="153"/>
    </row>
    <row r="754" spans="2:2" x14ac:dyDescent="0.25">
      <c r="B754" s="153"/>
    </row>
    <row r="755" spans="2:2" x14ac:dyDescent="0.25">
      <c r="B755" s="153"/>
    </row>
    <row r="756" spans="2:2" x14ac:dyDescent="0.25">
      <c r="B756" s="153"/>
    </row>
    <row r="757" spans="2:2" x14ac:dyDescent="0.25">
      <c r="B757" s="153"/>
    </row>
    <row r="758" spans="2:2" x14ac:dyDescent="0.25">
      <c r="B758" s="153"/>
    </row>
    <row r="759" spans="2:2" x14ac:dyDescent="0.25">
      <c r="B759" s="153"/>
    </row>
    <row r="760" spans="2:2" x14ac:dyDescent="0.25">
      <c r="B760" s="153"/>
    </row>
    <row r="761" spans="2:2" x14ac:dyDescent="0.25">
      <c r="B761" s="153"/>
    </row>
    <row r="762" spans="2:2" x14ac:dyDescent="0.25">
      <c r="B762" s="153"/>
    </row>
    <row r="763" spans="2:2" x14ac:dyDescent="0.25">
      <c r="B763" s="153"/>
    </row>
    <row r="764" spans="2:2" x14ac:dyDescent="0.25">
      <c r="B764" s="153"/>
    </row>
    <row r="765" spans="2:2" x14ac:dyDescent="0.25">
      <c r="B765" s="153"/>
    </row>
    <row r="766" spans="2:2" x14ac:dyDescent="0.25">
      <c r="B766" s="153"/>
    </row>
    <row r="767" spans="2:2" x14ac:dyDescent="0.25">
      <c r="B767" s="153"/>
    </row>
    <row r="768" spans="2:2" x14ac:dyDescent="0.25">
      <c r="B768" s="153"/>
    </row>
    <row r="769" spans="2:2" x14ac:dyDescent="0.25">
      <c r="B769" s="153"/>
    </row>
    <row r="770" spans="2:2" x14ac:dyDescent="0.25">
      <c r="B770" s="153"/>
    </row>
    <row r="771" spans="2:2" x14ac:dyDescent="0.25">
      <c r="B771" s="153"/>
    </row>
    <row r="772" spans="2:2" x14ac:dyDescent="0.25">
      <c r="B772" s="153"/>
    </row>
    <row r="773" spans="2:2" x14ac:dyDescent="0.25">
      <c r="B773" s="153"/>
    </row>
    <row r="774" spans="2:2" x14ac:dyDescent="0.25">
      <c r="B774" s="153"/>
    </row>
    <row r="775" spans="2:2" x14ac:dyDescent="0.25">
      <c r="B775" s="153"/>
    </row>
    <row r="776" spans="2:2" x14ac:dyDescent="0.25">
      <c r="B776" s="153"/>
    </row>
    <row r="777" spans="2:2" x14ac:dyDescent="0.25">
      <c r="B777" s="153"/>
    </row>
    <row r="778" spans="2:2" x14ac:dyDescent="0.25">
      <c r="B778" s="153"/>
    </row>
    <row r="779" spans="2:2" x14ac:dyDescent="0.25">
      <c r="B779" s="153"/>
    </row>
    <row r="780" spans="2:2" x14ac:dyDescent="0.25">
      <c r="B780" s="153"/>
    </row>
    <row r="781" spans="2:2" x14ac:dyDescent="0.25">
      <c r="B781" s="153"/>
    </row>
    <row r="782" spans="2:2" x14ac:dyDescent="0.25">
      <c r="B782" s="153"/>
    </row>
    <row r="783" spans="2:2" x14ac:dyDescent="0.25">
      <c r="B783" s="153"/>
    </row>
    <row r="784" spans="2:2" x14ac:dyDescent="0.25">
      <c r="B784" s="153"/>
    </row>
    <row r="785" spans="2:2" x14ac:dyDescent="0.25">
      <c r="B785" s="153"/>
    </row>
    <row r="786" spans="2:2" x14ac:dyDescent="0.25">
      <c r="B786" s="153"/>
    </row>
    <row r="787" spans="2:2" x14ac:dyDescent="0.25">
      <c r="B787" s="153"/>
    </row>
    <row r="788" spans="2:2" x14ac:dyDescent="0.25">
      <c r="B788" s="153"/>
    </row>
    <row r="789" spans="2:2" x14ac:dyDescent="0.25">
      <c r="B789" s="153"/>
    </row>
    <row r="790" spans="2:2" x14ac:dyDescent="0.25">
      <c r="B790" s="153"/>
    </row>
    <row r="791" spans="2:2" x14ac:dyDescent="0.25">
      <c r="B791" s="153"/>
    </row>
    <row r="792" spans="2:2" x14ac:dyDescent="0.25">
      <c r="B792" s="153"/>
    </row>
    <row r="793" spans="2:2" x14ac:dyDescent="0.25">
      <c r="B793" s="153"/>
    </row>
    <row r="794" spans="2:2" x14ac:dyDescent="0.25">
      <c r="B794" s="153"/>
    </row>
    <row r="795" spans="2:2" x14ac:dyDescent="0.25">
      <c r="B795" s="153"/>
    </row>
    <row r="796" spans="2:2" x14ac:dyDescent="0.25">
      <c r="B796" s="153"/>
    </row>
    <row r="797" spans="2:2" x14ac:dyDescent="0.25">
      <c r="B797" s="153"/>
    </row>
    <row r="798" spans="2:2" x14ac:dyDescent="0.25">
      <c r="B798" s="153"/>
    </row>
    <row r="799" spans="2:2" x14ac:dyDescent="0.25">
      <c r="B799" s="153"/>
    </row>
    <row r="800" spans="2:2" x14ac:dyDescent="0.25">
      <c r="B800" s="153"/>
    </row>
    <row r="801" spans="2:2" x14ac:dyDescent="0.25">
      <c r="B801" s="153"/>
    </row>
    <row r="802" spans="2:2" x14ac:dyDescent="0.25">
      <c r="B802" s="153"/>
    </row>
    <row r="803" spans="2:2" x14ac:dyDescent="0.25">
      <c r="B803" s="153"/>
    </row>
    <row r="804" spans="2:2" x14ac:dyDescent="0.25">
      <c r="B804" s="153"/>
    </row>
    <row r="805" spans="2:2" x14ac:dyDescent="0.25">
      <c r="B805" s="153"/>
    </row>
    <row r="806" spans="2:2" x14ac:dyDescent="0.25">
      <c r="B806" s="153"/>
    </row>
    <row r="807" spans="2:2" x14ac:dyDescent="0.25">
      <c r="B807" s="153"/>
    </row>
    <row r="808" spans="2:2" x14ac:dyDescent="0.25">
      <c r="B808" s="153"/>
    </row>
    <row r="809" spans="2:2" x14ac:dyDescent="0.25">
      <c r="B809" s="153"/>
    </row>
    <row r="810" spans="2:2" x14ac:dyDescent="0.25">
      <c r="B810" s="153"/>
    </row>
    <row r="811" spans="2:2" x14ac:dyDescent="0.25">
      <c r="B811" s="153"/>
    </row>
    <row r="812" spans="2:2" x14ac:dyDescent="0.25">
      <c r="B812" s="153"/>
    </row>
    <row r="813" spans="2:2" x14ac:dyDescent="0.25">
      <c r="B813" s="153"/>
    </row>
    <row r="814" spans="2:2" x14ac:dyDescent="0.25">
      <c r="B814" s="153"/>
    </row>
    <row r="815" spans="2:2" x14ac:dyDescent="0.25">
      <c r="B815" s="153"/>
    </row>
    <row r="816" spans="2:2" x14ac:dyDescent="0.25">
      <c r="B816" s="153"/>
    </row>
    <row r="817" spans="2:2" x14ac:dyDescent="0.25">
      <c r="B817" s="153"/>
    </row>
    <row r="818" spans="2:2" x14ac:dyDescent="0.25">
      <c r="B818" s="153"/>
    </row>
    <row r="819" spans="2:2" x14ac:dyDescent="0.25">
      <c r="B819" s="153"/>
    </row>
    <row r="820" spans="2:2" x14ac:dyDescent="0.25">
      <c r="B820" s="153"/>
    </row>
    <row r="821" spans="2:2" x14ac:dyDescent="0.25">
      <c r="B821" s="153"/>
    </row>
    <row r="822" spans="2:2" x14ac:dyDescent="0.25">
      <c r="B822" s="153"/>
    </row>
    <row r="823" spans="2:2" x14ac:dyDescent="0.25">
      <c r="B823" s="153"/>
    </row>
    <row r="824" spans="2:2" x14ac:dyDescent="0.25">
      <c r="B824" s="153"/>
    </row>
    <row r="825" spans="2:2" x14ac:dyDescent="0.25">
      <c r="B825" s="153"/>
    </row>
    <row r="826" spans="2:2" x14ac:dyDescent="0.25">
      <c r="B826" s="153"/>
    </row>
    <row r="827" spans="2:2" x14ac:dyDescent="0.25">
      <c r="B827" s="153"/>
    </row>
    <row r="828" spans="2:2" x14ac:dyDescent="0.25">
      <c r="B828" s="153"/>
    </row>
    <row r="829" spans="2:2" x14ac:dyDescent="0.25">
      <c r="B829" s="153"/>
    </row>
    <row r="830" spans="2:2" x14ac:dyDescent="0.25">
      <c r="B830" s="153"/>
    </row>
    <row r="831" spans="2:2" x14ac:dyDescent="0.25">
      <c r="B831" s="153"/>
    </row>
    <row r="832" spans="2:2" x14ac:dyDescent="0.25">
      <c r="B832" s="153"/>
    </row>
    <row r="833" spans="2:2" x14ac:dyDescent="0.25">
      <c r="B833" s="153"/>
    </row>
    <row r="834" spans="2:2" x14ac:dyDescent="0.25">
      <c r="B834" s="153"/>
    </row>
    <row r="835" spans="2:2" x14ac:dyDescent="0.25">
      <c r="B835" s="153"/>
    </row>
    <row r="836" spans="2:2" x14ac:dyDescent="0.25">
      <c r="B836" s="153"/>
    </row>
    <row r="837" spans="2:2" x14ac:dyDescent="0.25">
      <c r="B837" s="153"/>
    </row>
    <row r="838" spans="2:2" x14ac:dyDescent="0.25">
      <c r="B838" s="153"/>
    </row>
    <row r="839" spans="2:2" x14ac:dyDescent="0.25">
      <c r="B839" s="153"/>
    </row>
    <row r="840" spans="2:2" x14ac:dyDescent="0.25">
      <c r="B840" s="153"/>
    </row>
    <row r="841" spans="2:2" x14ac:dyDescent="0.25">
      <c r="B841" s="153"/>
    </row>
    <row r="842" spans="2:2" x14ac:dyDescent="0.25">
      <c r="B842" s="153"/>
    </row>
    <row r="843" spans="2:2" x14ac:dyDescent="0.25">
      <c r="B843" s="153"/>
    </row>
    <row r="844" spans="2:2" x14ac:dyDescent="0.25">
      <c r="B844" s="153"/>
    </row>
    <row r="845" spans="2:2" x14ac:dyDescent="0.25">
      <c r="B845" s="153"/>
    </row>
    <row r="846" spans="2:2" x14ac:dyDescent="0.25">
      <c r="B846" s="153"/>
    </row>
    <row r="847" spans="2:2" x14ac:dyDescent="0.25">
      <c r="B847" s="153"/>
    </row>
    <row r="848" spans="2:2" x14ac:dyDescent="0.25">
      <c r="B848" s="153"/>
    </row>
    <row r="849" spans="2:2" x14ac:dyDescent="0.25">
      <c r="B849" s="153"/>
    </row>
    <row r="850" spans="2:2" x14ac:dyDescent="0.25">
      <c r="B850" s="153"/>
    </row>
    <row r="851" spans="2:2" x14ac:dyDescent="0.25">
      <c r="B851" s="153"/>
    </row>
    <row r="852" spans="2:2" x14ac:dyDescent="0.25">
      <c r="B852" s="153"/>
    </row>
    <row r="853" spans="2:2" x14ac:dyDescent="0.25">
      <c r="B853" s="153"/>
    </row>
    <row r="854" spans="2:2" x14ac:dyDescent="0.25">
      <c r="B854" s="153"/>
    </row>
    <row r="855" spans="2:2" x14ac:dyDescent="0.25">
      <c r="B855" s="153"/>
    </row>
    <row r="856" spans="2:2" x14ac:dyDescent="0.25">
      <c r="B856" s="153"/>
    </row>
    <row r="857" spans="2:2" x14ac:dyDescent="0.25">
      <c r="B857" s="153"/>
    </row>
    <row r="858" spans="2:2" x14ac:dyDescent="0.25">
      <c r="B858" s="153"/>
    </row>
    <row r="859" spans="2:2" x14ac:dyDescent="0.25">
      <c r="B859" s="153"/>
    </row>
    <row r="860" spans="2:2" x14ac:dyDescent="0.25">
      <c r="B860" s="153"/>
    </row>
    <row r="861" spans="2:2" x14ac:dyDescent="0.25">
      <c r="B861" s="153"/>
    </row>
    <row r="862" spans="2:2" x14ac:dyDescent="0.25">
      <c r="B862" s="153"/>
    </row>
    <row r="863" spans="2:2" x14ac:dyDescent="0.25">
      <c r="B863" s="153"/>
    </row>
    <row r="864" spans="2:2" x14ac:dyDescent="0.25">
      <c r="B864" s="153"/>
    </row>
    <row r="865" spans="2:2" x14ac:dyDescent="0.25">
      <c r="B865" s="153"/>
    </row>
    <row r="866" spans="2:2" x14ac:dyDescent="0.25">
      <c r="B866" s="153"/>
    </row>
    <row r="867" spans="2:2" x14ac:dyDescent="0.25">
      <c r="B867" s="153"/>
    </row>
    <row r="868" spans="2:2" x14ac:dyDescent="0.25">
      <c r="B868" s="153"/>
    </row>
    <row r="869" spans="2:2" x14ac:dyDescent="0.25">
      <c r="B869" s="153"/>
    </row>
    <row r="870" spans="2:2" x14ac:dyDescent="0.25">
      <c r="B870" s="153"/>
    </row>
    <row r="871" spans="2:2" x14ac:dyDescent="0.25">
      <c r="B871" s="153"/>
    </row>
    <row r="872" spans="2:2" x14ac:dyDescent="0.25">
      <c r="B872" s="153"/>
    </row>
    <row r="873" spans="2:2" x14ac:dyDescent="0.25">
      <c r="B873" s="153"/>
    </row>
    <row r="874" spans="2:2" x14ac:dyDescent="0.25">
      <c r="B874" s="153"/>
    </row>
    <row r="875" spans="2:2" x14ac:dyDescent="0.25">
      <c r="B875" s="153"/>
    </row>
    <row r="876" spans="2:2" x14ac:dyDescent="0.25">
      <c r="B876" s="153"/>
    </row>
    <row r="877" spans="2:2" x14ac:dyDescent="0.25">
      <c r="B877" s="153"/>
    </row>
    <row r="878" spans="2:2" x14ac:dyDescent="0.25">
      <c r="B878" s="153"/>
    </row>
    <row r="879" spans="2:2" x14ac:dyDescent="0.25">
      <c r="B879" s="153"/>
    </row>
    <row r="880" spans="2:2" x14ac:dyDescent="0.25">
      <c r="B880" s="153"/>
    </row>
    <row r="881" spans="2:2" x14ac:dyDescent="0.25">
      <c r="B881" s="153"/>
    </row>
    <row r="882" spans="2:2" x14ac:dyDescent="0.25">
      <c r="B882" s="153"/>
    </row>
    <row r="883" spans="2:2" x14ac:dyDescent="0.25">
      <c r="B883" s="153"/>
    </row>
    <row r="884" spans="2:2" x14ac:dyDescent="0.25">
      <c r="B884" s="153"/>
    </row>
    <row r="885" spans="2:2" x14ac:dyDescent="0.25">
      <c r="B885" s="153"/>
    </row>
    <row r="886" spans="2:2" x14ac:dyDescent="0.25">
      <c r="B886" s="153"/>
    </row>
    <row r="887" spans="2:2" x14ac:dyDescent="0.25">
      <c r="B887" s="153"/>
    </row>
    <row r="888" spans="2:2" x14ac:dyDescent="0.25">
      <c r="B888" s="153"/>
    </row>
    <row r="889" spans="2:2" x14ac:dyDescent="0.25">
      <c r="B889" s="153"/>
    </row>
    <row r="890" spans="2:2" x14ac:dyDescent="0.25">
      <c r="B890" s="153"/>
    </row>
    <row r="891" spans="2:2" x14ac:dyDescent="0.25">
      <c r="B891" s="153"/>
    </row>
    <row r="892" spans="2:2" x14ac:dyDescent="0.25">
      <c r="B892" s="153"/>
    </row>
    <row r="893" spans="2:2" x14ac:dyDescent="0.25">
      <c r="B893" s="153"/>
    </row>
    <row r="894" spans="2:2" x14ac:dyDescent="0.25">
      <c r="B894" s="153"/>
    </row>
    <row r="895" spans="2:2" x14ac:dyDescent="0.25">
      <c r="B895" s="153"/>
    </row>
    <row r="896" spans="2:2" x14ac:dyDescent="0.25">
      <c r="B896" s="153"/>
    </row>
    <row r="897" spans="2:2" x14ac:dyDescent="0.25">
      <c r="B897" s="153"/>
    </row>
    <row r="898" spans="2:2" x14ac:dyDescent="0.25">
      <c r="B898" s="153"/>
    </row>
    <row r="899" spans="2:2" x14ac:dyDescent="0.25">
      <c r="B899" s="153"/>
    </row>
    <row r="900" spans="2:2" x14ac:dyDescent="0.25">
      <c r="B900" s="153"/>
    </row>
    <row r="901" spans="2:2" x14ac:dyDescent="0.25">
      <c r="B901" s="153"/>
    </row>
    <row r="902" spans="2:2" x14ac:dyDescent="0.25">
      <c r="B902" s="153"/>
    </row>
    <row r="903" spans="2:2" x14ac:dyDescent="0.25">
      <c r="B903" s="153"/>
    </row>
    <row r="904" spans="2:2" x14ac:dyDescent="0.25">
      <c r="B904" s="153"/>
    </row>
    <row r="905" spans="2:2" x14ac:dyDescent="0.25">
      <c r="B905" s="153"/>
    </row>
    <row r="906" spans="2:2" x14ac:dyDescent="0.25">
      <c r="B906" s="153"/>
    </row>
    <row r="907" spans="2:2" x14ac:dyDescent="0.25">
      <c r="B907" s="153"/>
    </row>
    <row r="908" spans="2:2" x14ac:dyDescent="0.25">
      <c r="B908" s="153"/>
    </row>
    <row r="909" spans="2:2" x14ac:dyDescent="0.25">
      <c r="B909" s="153"/>
    </row>
    <row r="910" spans="2:2" x14ac:dyDescent="0.25">
      <c r="B910" s="153"/>
    </row>
    <row r="911" spans="2:2" x14ac:dyDescent="0.25">
      <c r="B911" s="153"/>
    </row>
    <row r="912" spans="2:2" x14ac:dyDescent="0.25">
      <c r="B912" s="153"/>
    </row>
    <row r="913" spans="2:2" x14ac:dyDescent="0.25">
      <c r="B913" s="153"/>
    </row>
    <row r="914" spans="2:2" x14ac:dyDescent="0.25">
      <c r="B914" s="153"/>
    </row>
    <row r="915" spans="2:2" x14ac:dyDescent="0.25">
      <c r="B915" s="153"/>
    </row>
    <row r="916" spans="2:2" x14ac:dyDescent="0.25">
      <c r="B916" s="153"/>
    </row>
    <row r="917" spans="2:2" x14ac:dyDescent="0.25">
      <c r="B917" s="153"/>
    </row>
    <row r="918" spans="2:2" x14ac:dyDescent="0.25">
      <c r="B918" s="153"/>
    </row>
    <row r="919" spans="2:2" x14ac:dyDescent="0.25">
      <c r="B919" s="153"/>
    </row>
    <row r="920" spans="2:2" x14ac:dyDescent="0.25">
      <c r="B920" s="153"/>
    </row>
    <row r="921" spans="2:2" x14ac:dyDescent="0.25">
      <c r="B921" s="153"/>
    </row>
    <row r="922" spans="2:2" x14ac:dyDescent="0.25">
      <c r="B922" s="153"/>
    </row>
    <row r="923" spans="2:2" x14ac:dyDescent="0.25">
      <c r="B923" s="153"/>
    </row>
    <row r="924" spans="2:2" x14ac:dyDescent="0.25">
      <c r="B924" s="153"/>
    </row>
    <row r="925" spans="2:2" x14ac:dyDescent="0.25">
      <c r="B925" s="153"/>
    </row>
    <row r="926" spans="2:2" x14ac:dyDescent="0.25">
      <c r="B926" s="153"/>
    </row>
    <row r="927" spans="2:2" x14ac:dyDescent="0.25">
      <c r="B927" s="153"/>
    </row>
    <row r="928" spans="2:2" x14ac:dyDescent="0.25">
      <c r="B928" s="153"/>
    </row>
    <row r="929" spans="2:2" x14ac:dyDescent="0.25">
      <c r="B929" s="153"/>
    </row>
    <row r="930" spans="2:2" x14ac:dyDescent="0.25">
      <c r="B930" s="153"/>
    </row>
    <row r="931" spans="2:2" x14ac:dyDescent="0.25">
      <c r="B931" s="153"/>
    </row>
    <row r="932" spans="2:2" x14ac:dyDescent="0.25">
      <c r="B932" s="153"/>
    </row>
    <row r="933" spans="2:2" x14ac:dyDescent="0.25">
      <c r="B933" s="153"/>
    </row>
    <row r="934" spans="2:2" x14ac:dyDescent="0.25">
      <c r="B934" s="153"/>
    </row>
    <row r="935" spans="2:2" x14ac:dyDescent="0.25">
      <c r="B935" s="153"/>
    </row>
    <row r="936" spans="2:2" x14ac:dyDescent="0.25">
      <c r="B936" s="153"/>
    </row>
    <row r="937" spans="2:2" x14ac:dyDescent="0.25">
      <c r="B937" s="153"/>
    </row>
    <row r="938" spans="2:2" x14ac:dyDescent="0.25">
      <c r="B938" s="153"/>
    </row>
    <row r="939" spans="2:2" x14ac:dyDescent="0.25">
      <c r="B939" s="153"/>
    </row>
    <row r="940" spans="2:2" x14ac:dyDescent="0.25">
      <c r="B940" s="153"/>
    </row>
    <row r="941" spans="2:2" x14ac:dyDescent="0.25">
      <c r="B941" s="153"/>
    </row>
    <row r="942" spans="2:2" x14ac:dyDescent="0.25">
      <c r="B942" s="153"/>
    </row>
    <row r="943" spans="2:2" x14ac:dyDescent="0.25">
      <c r="B943" s="153"/>
    </row>
    <row r="944" spans="2:2" x14ac:dyDescent="0.25">
      <c r="B944" s="153"/>
    </row>
    <row r="945" spans="2:2" x14ac:dyDescent="0.25">
      <c r="B945" s="153"/>
    </row>
    <row r="946" spans="2:2" x14ac:dyDescent="0.25">
      <c r="B946" s="153"/>
    </row>
    <row r="947" spans="2:2" x14ac:dyDescent="0.25">
      <c r="B947" s="153"/>
    </row>
    <row r="948" spans="2:2" x14ac:dyDescent="0.25">
      <c r="B948" s="153"/>
    </row>
    <row r="949" spans="2:2" x14ac:dyDescent="0.25">
      <c r="B949" s="153"/>
    </row>
    <row r="950" spans="2:2" x14ac:dyDescent="0.25">
      <c r="B950" s="153"/>
    </row>
    <row r="951" spans="2:2" x14ac:dyDescent="0.25">
      <c r="B951" s="153"/>
    </row>
    <row r="952" spans="2:2" x14ac:dyDescent="0.25">
      <c r="B952" s="153"/>
    </row>
    <row r="953" spans="2:2" x14ac:dyDescent="0.25">
      <c r="B953" s="153"/>
    </row>
    <row r="954" spans="2:2" x14ac:dyDescent="0.25">
      <c r="B954" s="153"/>
    </row>
    <row r="955" spans="2:2" x14ac:dyDescent="0.25">
      <c r="B955" s="153"/>
    </row>
    <row r="956" spans="2:2" x14ac:dyDescent="0.25">
      <c r="B956" s="153"/>
    </row>
    <row r="957" spans="2:2" x14ac:dyDescent="0.25">
      <c r="B957" s="153"/>
    </row>
    <row r="958" spans="2:2" x14ac:dyDescent="0.25">
      <c r="B958" s="153"/>
    </row>
    <row r="959" spans="2:2" x14ac:dyDescent="0.25">
      <c r="B959" s="153"/>
    </row>
    <row r="960" spans="2:2" x14ac:dyDescent="0.25">
      <c r="B960" s="153"/>
    </row>
    <row r="961" spans="2:2" x14ac:dyDescent="0.25">
      <c r="B961" s="153"/>
    </row>
    <row r="962" spans="2:2" x14ac:dyDescent="0.25">
      <c r="B962" s="153"/>
    </row>
    <row r="963" spans="2:2" x14ac:dyDescent="0.25">
      <c r="B963" s="153"/>
    </row>
    <row r="964" spans="2:2" x14ac:dyDescent="0.25">
      <c r="B964" s="153"/>
    </row>
    <row r="965" spans="2:2" x14ac:dyDescent="0.25">
      <c r="B965" s="153"/>
    </row>
    <row r="966" spans="2:2" x14ac:dyDescent="0.25">
      <c r="B966" s="153"/>
    </row>
    <row r="967" spans="2:2" x14ac:dyDescent="0.25">
      <c r="B967" s="153"/>
    </row>
    <row r="968" spans="2:2" x14ac:dyDescent="0.25">
      <c r="B968" s="153"/>
    </row>
    <row r="969" spans="2:2" x14ac:dyDescent="0.25">
      <c r="B969" s="153"/>
    </row>
    <row r="970" spans="2:2" x14ac:dyDescent="0.25">
      <c r="B970" s="153"/>
    </row>
    <row r="971" spans="2:2" x14ac:dyDescent="0.25">
      <c r="B971" s="153"/>
    </row>
    <row r="972" spans="2:2" x14ac:dyDescent="0.25">
      <c r="B972" s="153"/>
    </row>
    <row r="973" spans="2:2" x14ac:dyDescent="0.25">
      <c r="B973" s="153"/>
    </row>
    <row r="974" spans="2:2" x14ac:dyDescent="0.25">
      <c r="B974" s="153"/>
    </row>
    <row r="975" spans="2:2" x14ac:dyDescent="0.25">
      <c r="B975" s="153"/>
    </row>
    <row r="976" spans="2:2" x14ac:dyDescent="0.25">
      <c r="B976" s="153"/>
    </row>
    <row r="977" spans="2:2" x14ac:dyDescent="0.25">
      <c r="B977" s="153"/>
    </row>
    <row r="978" spans="2:2" x14ac:dyDescent="0.25">
      <c r="B978" s="153"/>
    </row>
    <row r="979" spans="2:2" x14ac:dyDescent="0.25">
      <c r="B979" s="153"/>
    </row>
    <row r="980" spans="2:2" x14ac:dyDescent="0.25">
      <c r="B980" s="153"/>
    </row>
    <row r="981" spans="2:2" x14ac:dyDescent="0.25">
      <c r="B981" s="153"/>
    </row>
    <row r="982" spans="2:2" x14ac:dyDescent="0.25">
      <c r="B982" s="153"/>
    </row>
    <row r="983" spans="2:2" x14ac:dyDescent="0.25">
      <c r="B983" s="153"/>
    </row>
    <row r="984" spans="2:2" x14ac:dyDescent="0.25">
      <c r="B984" s="153"/>
    </row>
    <row r="985" spans="2:2" x14ac:dyDescent="0.25">
      <c r="B985" s="153"/>
    </row>
    <row r="986" spans="2:2" x14ac:dyDescent="0.25">
      <c r="B986" s="153"/>
    </row>
    <row r="987" spans="2:2" x14ac:dyDescent="0.25">
      <c r="B987" s="153"/>
    </row>
    <row r="988" spans="2:2" x14ac:dyDescent="0.25">
      <c r="B988" s="153"/>
    </row>
    <row r="989" spans="2:2" x14ac:dyDescent="0.25">
      <c r="B989" s="153"/>
    </row>
    <row r="990" spans="2:2" x14ac:dyDescent="0.25">
      <c r="B990" s="153"/>
    </row>
    <row r="991" spans="2:2" x14ac:dyDescent="0.25">
      <c r="B991" s="153"/>
    </row>
    <row r="992" spans="2:2" x14ac:dyDescent="0.25">
      <c r="B992" s="153"/>
    </row>
    <row r="993" spans="2:2" x14ac:dyDescent="0.25">
      <c r="B993" s="153"/>
    </row>
    <row r="994" spans="2:2" x14ac:dyDescent="0.25">
      <c r="B994" s="153"/>
    </row>
    <row r="995" spans="2:2" x14ac:dyDescent="0.25">
      <c r="B995" s="153"/>
    </row>
    <row r="996" spans="2:2" x14ac:dyDescent="0.25">
      <c r="B996" s="153"/>
    </row>
    <row r="997" spans="2:2" x14ac:dyDescent="0.25">
      <c r="B997" s="153"/>
    </row>
    <row r="998" spans="2:2" x14ac:dyDescent="0.25">
      <c r="B998" s="153"/>
    </row>
    <row r="999" spans="2:2" x14ac:dyDescent="0.25">
      <c r="B999" s="153"/>
    </row>
    <row r="1000" spans="2:2" x14ac:dyDescent="0.25">
      <c r="B1000" s="153"/>
    </row>
    <row r="1001" spans="2:2" x14ac:dyDescent="0.25">
      <c r="B1001" s="153"/>
    </row>
    <row r="1002" spans="2:2" x14ac:dyDescent="0.25">
      <c r="B1002" s="153"/>
    </row>
    <row r="1003" spans="2:2" x14ac:dyDescent="0.25">
      <c r="B1003" s="153"/>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1" priority="7">
      <formula>IF(B5&lt;&gt;"",TRUE,FALSE)</formula>
    </cfRule>
  </conditionalFormatting>
  <conditionalFormatting sqref="B8">
    <cfRule type="expression" dxfId="40" priority="6">
      <formula>IF(B8&lt;&gt;"",TRUE,FALSE)</formula>
    </cfRule>
  </conditionalFormatting>
  <conditionalFormatting sqref="B17">
    <cfRule type="expression" dxfId="39" priority="4">
      <formula>IF(B17&lt;&gt;"",TRUE,FALSE)</formula>
    </cfRule>
  </conditionalFormatting>
  <conditionalFormatting sqref="B9">
    <cfRule type="expression" dxfId="38" priority="3">
      <formula>IF(B9&lt;&gt;"",TRUE,FALSE)</formula>
    </cfRule>
  </conditionalFormatting>
  <conditionalFormatting sqref="B10">
    <cfRule type="expression" dxfId="37" priority="2">
      <formula>IF(B10&lt;&gt;"",TRUE,FALSE)</formula>
    </cfRule>
  </conditionalFormatting>
  <conditionalFormatting sqref="B13">
    <cfRule type="expression" dxfId="36"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workbookViewId="0">
      <selection activeCell="I11" sqref="I11"/>
    </sheetView>
  </sheetViews>
  <sheetFormatPr defaultRowHeight="13.8" x14ac:dyDescent="0.25"/>
  <cols>
    <col min="57" max="57" width="0" hidden="1" customWidth="1"/>
  </cols>
  <sheetData>
    <row r="2" spans="1:9" x14ac:dyDescent="0.25">
      <c r="A2" s="2" t="s">
        <v>879</v>
      </c>
    </row>
    <row r="3" spans="1:9" x14ac:dyDescent="0.25">
      <c r="A3" s="274" t="s">
        <v>1221</v>
      </c>
    </row>
    <row r="4" spans="1:9" x14ac:dyDescent="0.25">
      <c r="A4" s="8"/>
      <c r="B4" s="8"/>
      <c r="C4" s="8"/>
      <c r="D4" s="8"/>
      <c r="E4" s="8"/>
      <c r="F4" s="8"/>
      <c r="G4" s="8"/>
      <c r="H4" s="8"/>
      <c r="I4" s="8"/>
    </row>
    <row r="5" spans="1:9" x14ac:dyDescent="0.25">
      <c r="A5" s="2" t="s">
        <v>27</v>
      </c>
      <c r="C5" s="380" t="s">
        <v>872</v>
      </c>
      <c r="D5" s="381"/>
      <c r="E5" s="381"/>
      <c r="F5" s="381"/>
      <c r="G5" s="382"/>
    </row>
    <row r="7" spans="1:9" x14ac:dyDescent="0.25">
      <c r="A7" s="2" t="s">
        <v>28</v>
      </c>
      <c r="C7" s="380" t="s">
        <v>899</v>
      </c>
      <c r="D7" s="381"/>
      <c r="E7" s="381"/>
      <c r="F7" s="381"/>
      <c r="G7" s="382"/>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83" t="s">
        <v>929</v>
      </c>
      <c r="B11" s="383"/>
      <c r="C11" s="383"/>
      <c r="D11" s="383"/>
      <c r="E11" s="383"/>
      <c r="F11" s="383"/>
      <c r="G11" s="383"/>
      <c r="H11" s="383"/>
      <c r="I11" s="210">
        <v>1</v>
      </c>
    </row>
    <row r="12" spans="1:9" x14ac:dyDescent="0.25">
      <c r="I12" s="4"/>
    </row>
    <row r="13" spans="1:9" x14ac:dyDescent="0.25">
      <c r="A13" s="383" t="s">
        <v>424</v>
      </c>
      <c r="B13" s="383"/>
      <c r="C13" s="383"/>
      <c r="D13" s="383"/>
      <c r="E13" s="383"/>
      <c r="F13" s="383"/>
      <c r="G13" s="383"/>
      <c r="H13" s="383"/>
      <c r="I13" s="210" t="s">
        <v>22</v>
      </c>
    </row>
    <row r="14" spans="1:9" x14ac:dyDescent="0.25">
      <c r="I14" s="4"/>
    </row>
    <row r="15" spans="1:9" x14ac:dyDescent="0.25">
      <c r="A15" s="383" t="s">
        <v>425</v>
      </c>
      <c r="B15" s="383"/>
      <c r="C15" s="383"/>
      <c r="D15" s="383"/>
      <c r="E15" s="383"/>
      <c r="F15" s="383"/>
      <c r="G15" s="383"/>
      <c r="H15" s="383"/>
      <c r="I15" s="210" t="s">
        <v>22</v>
      </c>
    </row>
    <row r="16" spans="1:9" x14ac:dyDescent="0.25">
      <c r="I16" s="4"/>
    </row>
    <row r="17" spans="1:9" x14ac:dyDescent="0.25">
      <c r="A17" s="383" t="s">
        <v>29</v>
      </c>
      <c r="B17" s="383"/>
      <c r="C17" s="383"/>
      <c r="D17" s="383"/>
      <c r="E17" s="383"/>
      <c r="F17" s="383"/>
      <c r="G17" s="383"/>
      <c r="H17" s="383"/>
      <c r="I17" s="210" t="s">
        <v>23</v>
      </c>
    </row>
    <row r="18" spans="1:9" x14ac:dyDescent="0.25">
      <c r="I18" s="4"/>
    </row>
    <row r="19" spans="1:9" x14ac:dyDescent="0.25">
      <c r="A19" s="383" t="s">
        <v>30</v>
      </c>
      <c r="B19" s="383"/>
      <c r="C19" s="383"/>
      <c r="D19" s="383"/>
      <c r="E19" s="383"/>
      <c r="F19" s="383"/>
      <c r="G19" s="383"/>
      <c r="H19" s="383"/>
      <c r="I19" s="210">
        <v>65</v>
      </c>
    </row>
    <row r="21" spans="1:9" x14ac:dyDescent="0.25">
      <c r="A21" t="s">
        <v>64</v>
      </c>
    </row>
    <row r="22" spans="1:9" x14ac:dyDescent="0.25">
      <c r="A22" s="142">
        <v>1</v>
      </c>
      <c r="B22" s="163" t="s">
        <v>58</v>
      </c>
    </row>
    <row r="23" spans="1:9" x14ac:dyDescent="0.25">
      <c r="A23" s="142">
        <v>2</v>
      </c>
      <c r="B23" s="163" t="s">
        <v>59</v>
      </c>
    </row>
    <row r="24" spans="1:9" x14ac:dyDescent="0.25">
      <c r="A24" s="142">
        <v>3</v>
      </c>
      <c r="B24" s="163" t="s">
        <v>60</v>
      </c>
    </row>
    <row r="26" spans="1:9" x14ac:dyDescent="0.25">
      <c r="G26" s="388" t="s">
        <v>930</v>
      </c>
      <c r="H26" s="388"/>
      <c r="I26" s="388"/>
    </row>
    <row r="27" spans="1:9" ht="19.5" customHeight="1" x14ac:dyDescent="0.25">
      <c r="A27" s="384" t="s">
        <v>31</v>
      </c>
      <c r="B27" s="385"/>
      <c r="C27" s="386" t="s">
        <v>32</v>
      </c>
      <c r="D27" s="387"/>
      <c r="E27" s="387"/>
      <c r="F27" s="387"/>
      <c r="G27" s="379">
        <v>76</v>
      </c>
      <c r="H27" s="379"/>
      <c r="I27" s="379"/>
    </row>
    <row r="28" spans="1:9" ht="19.5" hidden="1" customHeight="1" x14ac:dyDescent="0.25">
      <c r="A28" s="384" t="s">
        <v>33</v>
      </c>
      <c r="B28" s="385"/>
      <c r="C28" s="386" t="s">
        <v>34</v>
      </c>
      <c r="D28" s="387"/>
      <c r="E28" s="387"/>
      <c r="F28" s="387"/>
      <c r="G28" s="379">
        <v>0</v>
      </c>
      <c r="H28" s="379"/>
      <c r="I28" s="379"/>
    </row>
    <row r="29" spans="1:9" ht="19.5" hidden="1" customHeight="1" x14ac:dyDescent="0.25">
      <c r="A29" s="384" t="s">
        <v>35</v>
      </c>
      <c r="B29" s="385"/>
      <c r="C29" s="386" t="s">
        <v>36</v>
      </c>
      <c r="D29" s="387"/>
      <c r="E29" s="387"/>
      <c r="F29" s="387"/>
      <c r="G29" s="379">
        <v>0</v>
      </c>
      <c r="H29" s="379"/>
      <c r="I29" s="379"/>
    </row>
    <row r="30" spans="1:9" ht="19.5" hidden="1" customHeight="1" x14ac:dyDescent="0.25">
      <c r="A30" s="384" t="s">
        <v>37</v>
      </c>
      <c r="B30" s="385"/>
      <c r="C30" s="386" t="s">
        <v>38</v>
      </c>
      <c r="D30" s="387"/>
      <c r="E30" s="387"/>
      <c r="F30" s="387"/>
      <c r="G30" s="379">
        <v>0</v>
      </c>
      <c r="H30" s="379"/>
      <c r="I30" s="379"/>
    </row>
    <row r="31" spans="1:9" ht="19.5" hidden="1" customHeight="1" x14ac:dyDescent="0.25">
      <c r="A31" s="384" t="s">
        <v>39</v>
      </c>
      <c r="B31" s="385"/>
      <c r="C31" s="386" t="s">
        <v>40</v>
      </c>
      <c r="D31" s="387"/>
      <c r="E31" s="387"/>
      <c r="F31" s="387"/>
      <c r="G31" s="379">
        <v>0</v>
      </c>
      <c r="H31" s="379"/>
      <c r="I31" s="379"/>
    </row>
    <row r="32" spans="1:9" ht="19.5" hidden="1" customHeight="1" x14ac:dyDescent="0.25">
      <c r="A32" s="384" t="s">
        <v>41</v>
      </c>
      <c r="B32" s="385"/>
      <c r="C32" s="386" t="s">
        <v>42</v>
      </c>
      <c r="D32" s="387"/>
      <c r="E32" s="387"/>
      <c r="F32" s="387"/>
      <c r="G32" s="379">
        <v>0</v>
      </c>
      <c r="H32" s="379"/>
      <c r="I32" s="379"/>
    </row>
    <row r="33" spans="1:9" ht="19.5" hidden="1" customHeight="1" x14ac:dyDescent="0.25">
      <c r="A33" s="384" t="s">
        <v>43</v>
      </c>
      <c r="B33" s="385"/>
      <c r="C33" s="386" t="s">
        <v>44</v>
      </c>
      <c r="D33" s="387"/>
      <c r="E33" s="387"/>
      <c r="F33" s="387"/>
      <c r="G33" s="379">
        <v>0</v>
      </c>
      <c r="H33" s="379"/>
      <c r="I33" s="379"/>
    </row>
    <row r="34" spans="1:9" ht="19.5" hidden="1" customHeight="1" x14ac:dyDescent="0.25">
      <c r="A34" s="384" t="s">
        <v>45</v>
      </c>
      <c r="B34" s="385"/>
      <c r="C34" s="386" t="s">
        <v>46</v>
      </c>
      <c r="D34" s="387"/>
      <c r="E34" s="387"/>
      <c r="F34" s="387"/>
      <c r="G34" s="379">
        <v>0</v>
      </c>
      <c r="H34" s="379"/>
      <c r="I34" s="379"/>
    </row>
    <row r="35" spans="1:9" ht="19.5" hidden="1" customHeight="1" x14ac:dyDescent="0.25">
      <c r="A35" s="384" t="s">
        <v>47</v>
      </c>
      <c r="B35" s="385"/>
      <c r="C35" s="386" t="s">
        <v>48</v>
      </c>
      <c r="D35" s="387"/>
      <c r="E35" s="387"/>
      <c r="F35" s="387"/>
      <c r="G35" s="379">
        <v>0</v>
      </c>
      <c r="H35" s="379"/>
      <c r="I35" s="379"/>
    </row>
    <row r="36" spans="1:9" ht="19.5" hidden="1" customHeight="1" x14ac:dyDescent="0.25">
      <c r="A36" s="384" t="s">
        <v>49</v>
      </c>
      <c r="B36" s="385"/>
      <c r="C36" s="386" t="s">
        <v>50</v>
      </c>
      <c r="D36" s="387"/>
      <c r="E36" s="387"/>
      <c r="F36" s="387"/>
      <c r="G36" s="379">
        <v>0</v>
      </c>
      <c r="H36" s="379"/>
      <c r="I36" s="379"/>
    </row>
  </sheetData>
  <sheetProtection algorithmName="SHA-512" hashValue="4lBDsbkwGlHj4aKtw1qokx31eR9d2YxZcBK8UV6Jaqr5TLPkWz3GR7B+R1IS9EhSsN5RW0o7MjaKddqO8+EBNA==" saltValue="1Xd/a7wGHsQjffwQwui5+g=="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8" sqref="C8"/>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52</v>
      </c>
      <c r="B6" t="s">
        <v>1214</v>
      </c>
      <c r="C6" s="341">
        <v>43893</v>
      </c>
      <c r="K6" s="72"/>
    </row>
    <row r="7" spans="1:57" ht="14.25" customHeight="1" x14ac:dyDescent="0.25">
      <c r="B7" t="s">
        <v>1184</v>
      </c>
      <c r="C7" s="163">
        <v>15</v>
      </c>
    </row>
    <row r="8" spans="1:57" x14ac:dyDescent="0.25">
      <c r="B8" t="s">
        <v>1185</v>
      </c>
      <c r="C8" s="346" t="s">
        <v>1241</v>
      </c>
    </row>
    <row r="9" spans="1:57" x14ac:dyDescent="0.25">
      <c r="B9" s="364" t="str">
        <f>IF(LEFT(C8,1)="M","Note: SPC Chart is disabled when using your own forecast.","")</f>
        <v>Note: SPC Chart is disabled when using your own forecast.</v>
      </c>
    </row>
    <row r="10" spans="1:57" x14ac:dyDescent="0.25">
      <c r="B10" s="390" t="s">
        <v>128</v>
      </c>
      <c r="C10" s="390" t="s">
        <v>56</v>
      </c>
      <c r="D10" s="389" t="s">
        <v>1215</v>
      </c>
      <c r="E10" s="375" t="str">
        <f ca="1">OFFSET('Control sheet (hide)'!$AA$3,QUOTIENT(COLUMN(Demand!E9)-4,5),0,1,1)</f>
        <v>Modality 1</v>
      </c>
      <c r="F10" s="375"/>
      <c r="G10" s="375"/>
      <c r="H10" s="375"/>
      <c r="I10" s="375"/>
      <c r="J10" s="375" t="str">
        <f ca="1">OFFSET('Control sheet (hide)'!$AA$3,QUOTIENT(COLUMN(Demand!J9)-4,5),0,1,1)</f>
        <v>Modality 2</v>
      </c>
      <c r="K10" s="375"/>
      <c r="L10" s="375"/>
      <c r="M10" s="375"/>
      <c r="N10" s="375"/>
      <c r="O10" s="375" t="str">
        <f ca="1">OFFSET('Control sheet (hide)'!$AA$3,QUOTIENT(COLUMN(Demand!O9)-4,5),0,1,1)</f>
        <v>Modality 3</v>
      </c>
      <c r="P10" s="375"/>
      <c r="Q10" s="375"/>
      <c r="R10" s="375"/>
      <c r="S10" s="375"/>
      <c r="T10" s="375" t="str">
        <f ca="1">OFFSET('Control sheet (hide)'!$AA$3,QUOTIENT(COLUMN(Demand!T9)-4,5),0,1,1)</f>
        <v>Modality 4</v>
      </c>
      <c r="U10" s="375"/>
      <c r="V10" s="375"/>
      <c r="W10" s="375"/>
      <c r="X10" s="375"/>
      <c r="Y10" s="375" t="str">
        <f ca="1">OFFSET('Control sheet (hide)'!$AA$3,QUOTIENT(COLUMN(Demand!Y9)-4,5),0,1,1)</f>
        <v>Modality 5</v>
      </c>
      <c r="Z10" s="375"/>
      <c r="AA10" s="375"/>
      <c r="AB10" s="375"/>
      <c r="AC10" s="375"/>
      <c r="AD10" s="375" t="str">
        <f ca="1">OFFSET('Control sheet (hide)'!$AA$3,QUOTIENT(COLUMN(Demand!AD9)-4,5),0,1,1)</f>
        <v>Modality 6</v>
      </c>
      <c r="AE10" s="375"/>
      <c r="AF10" s="375"/>
      <c r="AG10" s="375"/>
      <c r="AH10" s="375"/>
      <c r="AI10" s="375" t="str">
        <f ca="1">OFFSET('Control sheet (hide)'!$AA$3,QUOTIENT(COLUMN(Demand!AI9)-4,5),0,1,1)</f>
        <v>Modality 7</v>
      </c>
      <c r="AJ10" s="375"/>
      <c r="AK10" s="375"/>
      <c r="AL10" s="375"/>
      <c r="AM10" s="375"/>
      <c r="AN10" s="375" t="str">
        <f ca="1">OFFSET('Control sheet (hide)'!$AA$3,QUOTIENT(COLUMN(Demand!AN9)-4,5),0,1,1)</f>
        <v>Modality 8</v>
      </c>
      <c r="AO10" s="375"/>
      <c r="AP10" s="375"/>
      <c r="AQ10" s="375"/>
      <c r="AR10" s="375"/>
      <c r="AS10" s="375" t="str">
        <f ca="1">OFFSET('Control sheet (hide)'!$AA$3,QUOTIENT(COLUMN(Demand!AS9)-4,5),0,1,1)</f>
        <v>Modality 9</v>
      </c>
      <c r="AT10" s="375"/>
      <c r="AU10" s="375"/>
      <c r="AV10" s="375"/>
      <c r="AW10" s="375"/>
      <c r="AX10" s="375" t="str">
        <f ca="1">OFFSET('Control sheet (hide)'!$AA$3,QUOTIENT(COLUMN(Demand!AX9)-4,5),0,1,1)</f>
        <v>Modality 10</v>
      </c>
      <c r="AY10" s="375"/>
      <c r="AZ10" s="375"/>
      <c r="BA10" s="375"/>
      <c r="BB10" s="375"/>
      <c r="BC10" s="389" t="str">
        <f>"Total"&amp;IF(Setup!$I$17&lt;&gt;"Patients","
(Patients)","")</f>
        <v>Total
(Patients)</v>
      </c>
      <c r="BD10" s="389" t="str">
        <f>"Total
("&amp;Setup!$I$17&amp;")"</f>
        <v>Total
(Points)</v>
      </c>
      <c r="BE10" s="389" t="s">
        <v>111</v>
      </c>
    </row>
    <row r="11" spans="1:57" ht="14.25" customHeight="1" x14ac:dyDescent="0.25">
      <c r="B11" s="390"/>
      <c r="C11" s="390"/>
      <c r="D11" s="389"/>
      <c r="E11" s="376" t="str">
        <f>IF(Setup!$I$17&lt;&gt;"Patients",Setup!$I$17&amp;":","")</f>
        <v>Points:</v>
      </c>
      <c r="F11" s="365">
        <v>2</v>
      </c>
      <c r="G11" s="376"/>
      <c r="H11" s="376"/>
      <c r="I11" s="376"/>
      <c r="J11" s="376" t="str">
        <f>IF(Setup!$I$17&lt;&gt;"Patients",Setup!$I$17&amp;":","")</f>
        <v>Points:</v>
      </c>
      <c r="K11" s="365">
        <v>0</v>
      </c>
      <c r="L11" s="376"/>
      <c r="M11" s="376"/>
      <c r="N11" s="376"/>
      <c r="O11" s="376" t="str">
        <f>IF(Setup!$I$17&lt;&gt;"Patients",Setup!$I$17&amp;":","")</f>
        <v>Points:</v>
      </c>
      <c r="P11" s="365">
        <v>0</v>
      </c>
      <c r="Q11" s="376"/>
      <c r="R11" s="376"/>
      <c r="S11" s="376"/>
      <c r="T11" s="376" t="str">
        <f>IF(Setup!$I$17&lt;&gt;"Patients",Setup!$I$17&amp;":","")</f>
        <v>Points:</v>
      </c>
      <c r="U11" s="365">
        <v>0</v>
      </c>
      <c r="V11" s="376"/>
      <c r="W11" s="376"/>
      <c r="X11" s="376"/>
      <c r="Y11" s="376" t="str">
        <f>IF(Setup!$I$17&lt;&gt;"Patients",Setup!$I$17&amp;":","")</f>
        <v>Points:</v>
      </c>
      <c r="Z11" s="365">
        <v>0</v>
      </c>
      <c r="AA11" s="376"/>
      <c r="AB11" s="376"/>
      <c r="AC11" s="376"/>
      <c r="AD11" s="376" t="str">
        <f>IF(Setup!$I$17&lt;&gt;"Patients",Setup!$I$17&amp;":","")</f>
        <v>Points:</v>
      </c>
      <c r="AE11" s="365">
        <v>0</v>
      </c>
      <c r="AF11" s="376"/>
      <c r="AG11" s="376"/>
      <c r="AH11" s="376"/>
      <c r="AI11" s="376" t="str">
        <f>IF(Setup!$I$17&lt;&gt;"Patients",Setup!$I$17&amp;":","")</f>
        <v>Points:</v>
      </c>
      <c r="AJ11" s="365">
        <v>0</v>
      </c>
      <c r="AK11" s="376"/>
      <c r="AL11" s="376"/>
      <c r="AM11" s="376"/>
      <c r="AN11" s="376" t="str">
        <f>IF(Setup!$I$17&lt;&gt;"Patients",Setup!$I$17&amp;":","")</f>
        <v>Points:</v>
      </c>
      <c r="AO11" s="365">
        <v>0</v>
      </c>
      <c r="AP11" s="376"/>
      <c r="AQ11" s="376"/>
      <c r="AR11" s="376"/>
      <c r="AS11" s="376" t="str">
        <f>IF(Setup!$I$17&lt;&gt;"Patients",Setup!$I$17&amp;":","")</f>
        <v>Points:</v>
      </c>
      <c r="AT11" s="365">
        <v>0</v>
      </c>
      <c r="AU11" s="376"/>
      <c r="AV11" s="376"/>
      <c r="AW11" s="376"/>
      <c r="AX11" s="376" t="str">
        <f>IF(Setup!$I$17&lt;&gt;"Patients",Setup!$I$17&amp;":","")</f>
        <v>Points:</v>
      </c>
      <c r="AY11" s="365">
        <v>0</v>
      </c>
      <c r="AZ11" s="376"/>
      <c r="BA11" s="376"/>
      <c r="BB11" s="376"/>
      <c r="BC11" s="389"/>
      <c r="BD11" s="389"/>
      <c r="BE11" s="389"/>
    </row>
    <row r="12" spans="1:57" ht="14.4" thickBot="1" x14ac:dyDescent="0.3">
      <c r="B12" s="390"/>
      <c r="C12" s="390"/>
      <c r="D12" s="389"/>
      <c r="E12" s="376" t="str">
        <f ca="1">OFFSET(Setup!$B$21,MOD(COLUMN(A1),5),0,1,1)</f>
        <v>2WW</v>
      </c>
      <c r="F12" s="376" t="str">
        <f ca="1">OFFSET(Setup!$B$21,MOD(COLUMN(B1),5),0,1,1)</f>
        <v>Urgent</v>
      </c>
      <c r="G12" s="376" t="str">
        <f ca="1">OFFSET(Setup!$B$21,MOD(COLUMN(C1),5),0,1,1)</f>
        <v>Routine</v>
      </c>
      <c r="H12" s="376" t="s">
        <v>61</v>
      </c>
      <c r="I12" s="376" t="s">
        <v>57</v>
      </c>
      <c r="J12" s="376" t="str">
        <f ca="1">OFFSET(Setup!$B$21,MOD(COLUMN(F1),5),0,1,1)</f>
        <v>2WW</v>
      </c>
      <c r="K12" s="376" t="str">
        <f ca="1">OFFSET(Setup!$B$21,MOD(COLUMN(G1),5),0,1,1)</f>
        <v>Urgent</v>
      </c>
      <c r="L12" s="376" t="str">
        <f ca="1">OFFSET(Setup!$B$21,MOD(COLUMN(H1),5),0,1,1)</f>
        <v>Routine</v>
      </c>
      <c r="M12" s="376" t="s">
        <v>61</v>
      </c>
      <c r="N12" s="376" t="s">
        <v>57</v>
      </c>
      <c r="O12" s="376" t="str">
        <f ca="1">OFFSET(Setup!$B$21,MOD(COLUMN(K1),5),0,1,1)</f>
        <v>2WW</v>
      </c>
      <c r="P12" s="376" t="str">
        <f ca="1">OFFSET(Setup!$B$21,MOD(COLUMN(L1),5),0,1,1)</f>
        <v>Urgent</v>
      </c>
      <c r="Q12" s="376" t="str">
        <f ca="1">OFFSET(Setup!$B$21,MOD(COLUMN(M1),5),0,1,1)</f>
        <v>Routine</v>
      </c>
      <c r="R12" s="376" t="s">
        <v>61</v>
      </c>
      <c r="S12" s="376" t="s">
        <v>57</v>
      </c>
      <c r="T12" s="376" t="str">
        <f ca="1">OFFSET(Setup!$B$21,MOD(COLUMN(P1),5),0,1,1)</f>
        <v>2WW</v>
      </c>
      <c r="U12" s="376" t="str">
        <f ca="1">OFFSET(Setup!$B$21,MOD(COLUMN(Q1),5),0,1,1)</f>
        <v>Urgent</v>
      </c>
      <c r="V12" s="376" t="str">
        <f ca="1">OFFSET(Setup!$B$21,MOD(COLUMN(R1),5),0,1,1)</f>
        <v>Routine</v>
      </c>
      <c r="W12" s="376" t="s">
        <v>61</v>
      </c>
      <c r="X12" s="376" t="s">
        <v>57</v>
      </c>
      <c r="Y12" s="376" t="str">
        <f ca="1">OFFSET(Setup!$B$21,MOD(COLUMN(U1),5),0,1,1)</f>
        <v>2WW</v>
      </c>
      <c r="Z12" s="376" t="str">
        <f ca="1">OFFSET(Setup!$B$21,MOD(COLUMN(V1),5),0,1,1)</f>
        <v>Urgent</v>
      </c>
      <c r="AA12" s="376" t="str">
        <f ca="1">OFFSET(Setup!$B$21,MOD(COLUMN(W1),5),0,1,1)</f>
        <v>Routine</v>
      </c>
      <c r="AB12" s="376" t="s">
        <v>61</v>
      </c>
      <c r="AC12" s="376" t="s">
        <v>57</v>
      </c>
      <c r="AD12" s="376" t="str">
        <f ca="1">OFFSET(Setup!$B$21,MOD(COLUMN(Z1),5),0,1,1)</f>
        <v>2WW</v>
      </c>
      <c r="AE12" s="376" t="str">
        <f ca="1">OFFSET(Setup!$B$21,MOD(COLUMN(AA1),5),0,1,1)</f>
        <v>Urgent</v>
      </c>
      <c r="AF12" s="376" t="str">
        <f ca="1">OFFSET(Setup!$B$21,MOD(COLUMN(AB1),5),0,1,1)</f>
        <v>Routine</v>
      </c>
      <c r="AG12" s="376" t="s">
        <v>61</v>
      </c>
      <c r="AH12" s="376" t="s">
        <v>57</v>
      </c>
      <c r="AI12" s="376" t="str">
        <f ca="1">OFFSET(Setup!$B$21,MOD(COLUMN(AE1),5),0,1,1)</f>
        <v>2WW</v>
      </c>
      <c r="AJ12" s="376" t="str">
        <f ca="1">OFFSET(Setup!$B$21,MOD(COLUMN(AF1),5),0,1,1)</f>
        <v>Urgent</v>
      </c>
      <c r="AK12" s="376" t="str">
        <f ca="1">OFFSET(Setup!$B$21,MOD(COLUMN(AG1),5),0,1,1)</f>
        <v>Routine</v>
      </c>
      <c r="AL12" s="376" t="s">
        <v>61</v>
      </c>
      <c r="AM12" s="376" t="s">
        <v>57</v>
      </c>
      <c r="AN12" s="376" t="str">
        <f ca="1">OFFSET(Setup!$B$21,MOD(COLUMN(AJ1),5),0,1,1)</f>
        <v>2WW</v>
      </c>
      <c r="AO12" s="376" t="str">
        <f ca="1">OFFSET(Setup!$B$21,MOD(COLUMN(AK1),5),0,1,1)</f>
        <v>Urgent</v>
      </c>
      <c r="AP12" s="376" t="str">
        <f ca="1">OFFSET(Setup!$B$21,MOD(COLUMN(AL1),5),0,1,1)</f>
        <v>Routine</v>
      </c>
      <c r="AQ12" s="376" t="s">
        <v>61</v>
      </c>
      <c r="AR12" s="376" t="s">
        <v>57</v>
      </c>
      <c r="AS12" s="376" t="str">
        <f ca="1">OFFSET(Setup!$B$21,MOD(COLUMN(AO1),5),0,1,1)</f>
        <v>2WW</v>
      </c>
      <c r="AT12" s="376" t="str">
        <f ca="1">OFFSET(Setup!$B$21,MOD(COLUMN(AP1),5),0,1,1)</f>
        <v>Urgent</v>
      </c>
      <c r="AU12" s="376" t="str">
        <f ca="1">OFFSET(Setup!$B$21,MOD(COLUMN(AQ1),5),0,1,1)</f>
        <v>Routine</v>
      </c>
      <c r="AV12" s="376" t="s">
        <v>61</v>
      </c>
      <c r="AW12" s="376" t="s">
        <v>57</v>
      </c>
      <c r="AX12" s="376" t="str">
        <f ca="1">OFFSET(Setup!$B$21,MOD(COLUMN(AT1),5),0,1,1)</f>
        <v>2WW</v>
      </c>
      <c r="AY12" s="376" t="str">
        <f ca="1">OFFSET(Setup!$B$21,MOD(COLUMN(AU1),5),0,1,1)</f>
        <v>Urgent</v>
      </c>
      <c r="AZ12" s="376" t="str">
        <f ca="1">OFFSET(Setup!$B$21,MOD(COLUMN(AV1),5),0,1,1)</f>
        <v>Routine</v>
      </c>
      <c r="BA12" s="376" t="s">
        <v>61</v>
      </c>
      <c r="BB12" s="376" t="s">
        <v>57</v>
      </c>
      <c r="BC12" s="389"/>
      <c r="BD12" s="389"/>
      <c r="BE12" s="389"/>
    </row>
    <row r="13" spans="1:57" x14ac:dyDescent="0.25">
      <c r="A13">
        <v>1</v>
      </c>
      <c r="B13" s="260">
        <f>IF(C6&lt;&gt;"",YEAR(D13),1)</f>
        <v>2020</v>
      </c>
      <c r="C13" s="261">
        <f>IF(OR($C$6&lt;&gt;"",AND($C$8&lt;&gt;"Historic",ROW(A13)&lt;=64)),WEEKNUM($C$6, 21),1)</f>
        <v>10</v>
      </c>
      <c r="D13" s="349">
        <f>IF($C$6&lt;&gt;"",$C$6-WEEKDAY($C$6,3),"")</f>
        <v>43892</v>
      </c>
      <c r="E13" s="180"/>
      <c r="F13" s="181"/>
      <c r="G13" s="182">
        <v>61</v>
      </c>
      <c r="H13" s="183"/>
      <c r="I13" s="248">
        <f>IF(COUNTBLANK(E13:H13)=4,"",SUM(E13:G13)+IF(Setup!$I$15="No",0,H13))</f>
        <v>61</v>
      </c>
      <c r="J13" s="194"/>
      <c r="K13" s="195"/>
      <c r="L13" s="196"/>
      <c r="M13" s="197"/>
      <c r="N13" s="252" t="str">
        <f>IF(COUNTBLANK(J13:M13)=4,"",SUM(J13:L13)+IF(Setup!$I$15="No",0,M13))</f>
        <v/>
      </c>
      <c r="O13" s="180"/>
      <c r="P13" s="181"/>
      <c r="Q13" s="182"/>
      <c r="R13" s="183"/>
      <c r="S13" s="248" t="str">
        <f>IF(COUNTBLANK(O13:R13)=4,"",SUM(O13:Q13)+IF(Setup!$I$15="No",0,R13))</f>
        <v/>
      </c>
      <c r="T13" s="194"/>
      <c r="U13" s="195"/>
      <c r="V13" s="196"/>
      <c r="W13" s="197"/>
      <c r="X13" s="252" t="str">
        <f>IF(COUNTBLANK(T13:W13)=4,"",SUM(T13:V13)+IF(Setup!$I$15="No",0,W13))</f>
        <v/>
      </c>
      <c r="Y13" s="180"/>
      <c r="Z13" s="181"/>
      <c r="AA13" s="182"/>
      <c r="AB13" s="183"/>
      <c r="AC13" s="248" t="str">
        <f>IF(COUNTBLANK(Y13:AB13)=4,"",SUM(Y13:AA13)+IF(Setup!$I$15="No",0,AB13))</f>
        <v/>
      </c>
      <c r="AD13" s="194"/>
      <c r="AE13" s="195"/>
      <c r="AF13" s="196"/>
      <c r="AG13" s="197"/>
      <c r="AH13" s="252" t="str">
        <f>IF(COUNTBLANK(AD13:AG13)=4,"",SUM(AD13:AF13)+IF(Setup!$I$15="No",0,AG13))</f>
        <v/>
      </c>
      <c r="AI13" s="180"/>
      <c r="AJ13" s="181"/>
      <c r="AK13" s="182"/>
      <c r="AL13" s="183"/>
      <c r="AM13" s="248" t="str">
        <f>IF(COUNTBLANK(AI13:AL13)=4,"",SUM(AI13:AK13)+IF(Setup!$I$15="No",0,AL13))</f>
        <v/>
      </c>
      <c r="AN13" s="194"/>
      <c r="AO13" s="195"/>
      <c r="AP13" s="196"/>
      <c r="AQ13" s="197"/>
      <c r="AR13" s="252" t="str">
        <f>IF(COUNTBLANK(AN13:AQ13)=4,"",SUM(AN13:AP13)+IF(Setup!$I$15="No",0,AQ13))</f>
        <v/>
      </c>
      <c r="AS13" s="180"/>
      <c r="AT13" s="181"/>
      <c r="AU13" s="182"/>
      <c r="AV13" s="183"/>
      <c r="AW13" s="248" t="str">
        <f>IF(COUNTBLANK(AS13:AV13)=4,"",SUM(AS13:AU13)+IF(Setup!$I$15="No",0,AV13))</f>
        <v/>
      </c>
      <c r="AX13" s="194"/>
      <c r="AY13" s="195"/>
      <c r="AZ13" s="196"/>
      <c r="BA13" s="197"/>
      <c r="BB13" s="252" t="str">
        <f>IF(COUNTBLANK(AX13:BA13)=4,"",SUM(AX13:AZ13)+IF(Setup!$I$15="No",0,BA13))</f>
        <v/>
      </c>
      <c r="BC13" s="256">
        <f ca="1">IF('Demand background (hide)'!A4=Num_Modalities,"",SUM(Demand!I13))</f>
        <v>61</v>
      </c>
      <c r="BD13" s="256">
        <f ca="1">IF(AND(A13&lt;=MaxRows,BE13&lt;&gt;"Yes"),'Demand background (hide)'!X4+IF(Setup!$I$15="Yes",'Demand background (hide)'!AJ4,0),"")</f>
        <v>122</v>
      </c>
      <c r="BE13" s="206"/>
    </row>
    <row r="14" spans="1:57" x14ac:dyDescent="0.25">
      <c r="A14">
        <f t="shared" ref="A14:A76" ca="1" si="0">IF(BC14&lt;&gt;"",ROW(A2),"")</f>
        <v>2</v>
      </c>
      <c r="B14" s="260" t="str">
        <f t="shared" ref="B14:B77" ca="1" si="1">IF(A14&lt;=MaxRows,IF($C$6&lt;&gt;"",IF(YEAR(D14)&lt;&gt;YEAR(D13),YEAR(D14)," "),IF(C14&lt;&gt;1,"",OFFSET(B14,-C13,0,1,1)+1))," ")</f>
        <v xml:space="preserve"> </v>
      </c>
      <c r="C14" s="262">
        <f t="shared" ref="C14:C77" ca="1" si="2">IF(ROW(A2)&lt;=MaxRows,IF($C$6&lt;&gt;"",WEEKNUM(D14,21),IF(MOD((C13+1),52)&gt;0,MOD((C13+1),52),52)),"")</f>
        <v>11</v>
      </c>
      <c r="D14" s="350">
        <f t="shared" ref="D14:D77" ca="1" si="3">IF(OR(AND(ROW(A2)&lt;=MaxRows,$C$6&lt;&gt;""),AND(ROW(A14)&lt;=64,LEFT($C$8,1)&lt;&gt;"H")),D13+7,"")</f>
        <v>43899</v>
      </c>
      <c r="E14" s="184"/>
      <c r="F14" s="185"/>
      <c r="G14" s="186">
        <v>62</v>
      </c>
      <c r="H14" s="187"/>
      <c r="I14" s="249">
        <f>IF(COUNTBLANK(E14:H14)=4,"",SUM(E14:G14)+IF(Setup!$I$15="No",0,H14))</f>
        <v>62</v>
      </c>
      <c r="J14" s="198"/>
      <c r="K14" s="199"/>
      <c r="L14" s="200"/>
      <c r="M14" s="201"/>
      <c r="N14" s="253" t="str">
        <f>IF(COUNTBLANK(J14:M14)=4,"",SUM(J14:L14)+IF(Setup!$I$15="No",0,M14))</f>
        <v/>
      </c>
      <c r="O14" s="184"/>
      <c r="P14" s="185"/>
      <c r="Q14" s="186"/>
      <c r="R14" s="187"/>
      <c r="S14" s="249" t="str">
        <f>IF(COUNTBLANK(O14:R14)=4,"",SUM(O14:Q14)+IF(Setup!$I$15="No",0,R14))</f>
        <v/>
      </c>
      <c r="T14" s="198"/>
      <c r="U14" s="199"/>
      <c r="V14" s="200"/>
      <c r="W14" s="201"/>
      <c r="X14" s="253" t="str">
        <f>IF(COUNTBLANK(T14:W14)=4,"",SUM(T14:V14)+IF(Setup!$I$15="No",0,W14))</f>
        <v/>
      </c>
      <c r="Y14" s="184"/>
      <c r="Z14" s="185"/>
      <c r="AA14" s="186"/>
      <c r="AB14" s="187"/>
      <c r="AC14" s="249" t="str">
        <f>IF(COUNTBLANK(Y14:AB14)=4,"",SUM(Y14:AA14)+IF(Setup!$I$15="No",0,AB14))</f>
        <v/>
      </c>
      <c r="AD14" s="198"/>
      <c r="AE14" s="199"/>
      <c r="AF14" s="200"/>
      <c r="AG14" s="201"/>
      <c r="AH14" s="253" t="str">
        <f>IF(COUNTBLANK(AD14:AG14)=4,"",SUM(AD14:AF14)+IF(Setup!$I$15="No",0,AG14))</f>
        <v/>
      </c>
      <c r="AI14" s="184"/>
      <c r="AJ14" s="185"/>
      <c r="AK14" s="186"/>
      <c r="AL14" s="187"/>
      <c r="AM14" s="249" t="str">
        <f>IF(COUNTBLANK(AI14:AL14)=4,"",SUM(AI14:AK14)+IF(Setup!$I$15="No",0,AL14))</f>
        <v/>
      </c>
      <c r="AN14" s="198"/>
      <c r="AO14" s="199"/>
      <c r="AP14" s="200"/>
      <c r="AQ14" s="201"/>
      <c r="AR14" s="253" t="str">
        <f>IF(COUNTBLANK(AN14:AQ14)=4,"",SUM(AN14:AP14)+IF(Setup!$I$15="No",0,AQ14))</f>
        <v/>
      </c>
      <c r="AS14" s="184"/>
      <c r="AT14" s="185"/>
      <c r="AU14" s="186"/>
      <c r="AV14" s="187"/>
      <c r="AW14" s="249" t="str">
        <f>IF(COUNTBLANK(AS14:AV14)=4,"",SUM(AS14:AU14)+IF(Setup!$I$15="No",0,AV14))</f>
        <v/>
      </c>
      <c r="AX14" s="198"/>
      <c r="AY14" s="199"/>
      <c r="AZ14" s="200"/>
      <c r="BA14" s="201"/>
      <c r="BB14" s="253" t="str">
        <f>IF(COUNTBLANK(AX14:BA14)=4,"",SUM(AX14:AZ14)+IF(Setup!$I$15="No",0,BA14))</f>
        <v/>
      </c>
      <c r="BC14" s="257">
        <f ca="1">IF('Demand background (hide)'!A5=Num_Modalities,"",SUM(Demand!I14))</f>
        <v>62</v>
      </c>
      <c r="BD14" s="257">
        <f ca="1">IF(AND(A14&lt;=MaxRows,BE14&lt;&gt;"Yes"),'Demand background (hide)'!X5+IF(Setup!$I$15="Yes",'Demand background (hide)'!AJ5,0),"")</f>
        <v>124</v>
      </c>
      <c r="BE14" s="207"/>
    </row>
    <row r="15" spans="1:57" x14ac:dyDescent="0.25">
      <c r="A15">
        <f t="shared" ca="1" si="0"/>
        <v>3</v>
      </c>
      <c r="B15" s="260" t="str">
        <f t="shared" ca="1" si="1"/>
        <v xml:space="preserve"> </v>
      </c>
      <c r="C15" s="262">
        <f t="shared" ca="1" si="2"/>
        <v>12</v>
      </c>
      <c r="D15" s="350">
        <f t="shared" ca="1" si="3"/>
        <v>43906</v>
      </c>
      <c r="E15" s="184"/>
      <c r="F15" s="185"/>
      <c r="G15" s="186">
        <v>69</v>
      </c>
      <c r="H15" s="187"/>
      <c r="I15" s="249">
        <f>IF(COUNTBLANK(E15:H15)=4,"",SUM(E15:G15)+IF(Setup!$I$15="No",0,H15))</f>
        <v>69</v>
      </c>
      <c r="J15" s="198"/>
      <c r="K15" s="199"/>
      <c r="L15" s="200"/>
      <c r="M15" s="201"/>
      <c r="N15" s="253" t="str">
        <f>IF(COUNTBLANK(J15:M15)=4,"",SUM(J15:L15)+IF(Setup!$I$15="No",0,M15))</f>
        <v/>
      </c>
      <c r="O15" s="184"/>
      <c r="P15" s="185"/>
      <c r="Q15" s="186"/>
      <c r="R15" s="187"/>
      <c r="S15" s="249" t="str">
        <f>IF(COUNTBLANK(O15:R15)=4,"",SUM(O15:Q15)+IF(Setup!$I$15="No",0,R15))</f>
        <v/>
      </c>
      <c r="T15" s="198"/>
      <c r="U15" s="199"/>
      <c r="V15" s="200"/>
      <c r="W15" s="201"/>
      <c r="X15" s="253" t="str">
        <f>IF(COUNTBLANK(T15:W15)=4,"",SUM(T15:V15)+IF(Setup!$I$15="No",0,W15))</f>
        <v/>
      </c>
      <c r="Y15" s="184"/>
      <c r="Z15" s="185"/>
      <c r="AA15" s="186"/>
      <c r="AB15" s="187"/>
      <c r="AC15" s="249" t="str">
        <f>IF(COUNTBLANK(Y15:AB15)=4,"",SUM(Y15:AA15)+IF(Setup!$I$15="No",0,AB15))</f>
        <v/>
      </c>
      <c r="AD15" s="198"/>
      <c r="AE15" s="199"/>
      <c r="AF15" s="200"/>
      <c r="AG15" s="201"/>
      <c r="AH15" s="253" t="str">
        <f>IF(COUNTBLANK(AD15:AG15)=4,"",SUM(AD15:AF15)+IF(Setup!$I$15="No",0,AG15))</f>
        <v/>
      </c>
      <c r="AI15" s="184"/>
      <c r="AJ15" s="185"/>
      <c r="AK15" s="186"/>
      <c r="AL15" s="187"/>
      <c r="AM15" s="249" t="str">
        <f>IF(COUNTBLANK(AI15:AL15)=4,"",SUM(AI15:AK15)+IF(Setup!$I$15="No",0,AL15))</f>
        <v/>
      </c>
      <c r="AN15" s="198"/>
      <c r="AO15" s="199"/>
      <c r="AP15" s="200"/>
      <c r="AQ15" s="201"/>
      <c r="AR15" s="253" t="str">
        <f>IF(COUNTBLANK(AN15:AQ15)=4,"",SUM(AN15:AP15)+IF(Setup!$I$15="No",0,AQ15))</f>
        <v/>
      </c>
      <c r="AS15" s="184"/>
      <c r="AT15" s="185"/>
      <c r="AU15" s="186"/>
      <c r="AV15" s="187"/>
      <c r="AW15" s="249" t="str">
        <f>IF(COUNTBLANK(AS15:AV15)=4,"",SUM(AS15:AU15)+IF(Setup!$I$15="No",0,AV15))</f>
        <v/>
      </c>
      <c r="AX15" s="198"/>
      <c r="AY15" s="199"/>
      <c r="AZ15" s="200"/>
      <c r="BA15" s="201"/>
      <c r="BB15" s="253" t="str">
        <f>IF(COUNTBLANK(AX15:BA15)=4,"",SUM(AX15:AZ15)+IF(Setup!$I$15="No",0,BA15))</f>
        <v/>
      </c>
      <c r="BC15" s="257">
        <f ca="1">IF('Demand background (hide)'!A6=Num_Modalities,"",SUM(Demand!I15))</f>
        <v>69</v>
      </c>
      <c r="BD15" s="257">
        <f ca="1">IF(AND(A15&lt;=MaxRows,BE15&lt;&gt;"Yes"),'Demand background (hide)'!X6+IF(Setup!$I$15="Yes",'Demand background (hide)'!AJ6,0),"")</f>
        <v>138</v>
      </c>
      <c r="BE15" s="207"/>
    </row>
    <row r="16" spans="1:57" x14ac:dyDescent="0.25">
      <c r="A16">
        <f t="shared" ca="1" si="0"/>
        <v>4</v>
      </c>
      <c r="B16" s="260" t="str">
        <f t="shared" ca="1" si="1"/>
        <v xml:space="preserve"> </v>
      </c>
      <c r="C16" s="262">
        <f t="shared" ca="1" si="2"/>
        <v>13</v>
      </c>
      <c r="D16" s="350">
        <f t="shared" ca="1" si="3"/>
        <v>43913</v>
      </c>
      <c r="E16" s="184"/>
      <c r="F16" s="185"/>
      <c r="G16" s="186">
        <v>71</v>
      </c>
      <c r="H16" s="187"/>
      <c r="I16" s="249">
        <f>IF(COUNTBLANK(E16:H16)=4,"",SUM(E16:G16)+IF(Setup!$I$15="No",0,H16))</f>
        <v>71</v>
      </c>
      <c r="J16" s="198"/>
      <c r="K16" s="199"/>
      <c r="L16" s="200"/>
      <c r="M16" s="201"/>
      <c r="N16" s="253" t="str">
        <f>IF(COUNTBLANK(J16:M16)=4,"",SUM(J16:L16)+IF(Setup!$I$15="No",0,M16))</f>
        <v/>
      </c>
      <c r="O16" s="184"/>
      <c r="P16" s="185"/>
      <c r="Q16" s="186"/>
      <c r="R16" s="187"/>
      <c r="S16" s="249" t="str">
        <f>IF(COUNTBLANK(O16:R16)=4,"",SUM(O16:Q16)+IF(Setup!$I$15="No",0,R16))</f>
        <v/>
      </c>
      <c r="T16" s="198"/>
      <c r="U16" s="199"/>
      <c r="V16" s="200"/>
      <c r="W16" s="201"/>
      <c r="X16" s="253" t="str">
        <f>IF(COUNTBLANK(T16:W16)=4,"",SUM(T16:V16)+IF(Setup!$I$15="No",0,W16))</f>
        <v/>
      </c>
      <c r="Y16" s="184"/>
      <c r="Z16" s="185"/>
      <c r="AA16" s="186"/>
      <c r="AB16" s="187"/>
      <c r="AC16" s="249" t="str">
        <f>IF(COUNTBLANK(Y16:AB16)=4,"",SUM(Y16:AA16)+IF(Setup!$I$15="No",0,AB16))</f>
        <v/>
      </c>
      <c r="AD16" s="198"/>
      <c r="AE16" s="199"/>
      <c r="AF16" s="200"/>
      <c r="AG16" s="201"/>
      <c r="AH16" s="253" t="str">
        <f>IF(COUNTBLANK(AD16:AG16)=4,"",SUM(AD16:AF16)+IF(Setup!$I$15="No",0,AG16))</f>
        <v/>
      </c>
      <c r="AI16" s="184"/>
      <c r="AJ16" s="185"/>
      <c r="AK16" s="186"/>
      <c r="AL16" s="187"/>
      <c r="AM16" s="249" t="str">
        <f>IF(COUNTBLANK(AI16:AL16)=4,"",SUM(AI16:AK16)+IF(Setup!$I$15="No",0,AL16))</f>
        <v/>
      </c>
      <c r="AN16" s="198"/>
      <c r="AO16" s="199"/>
      <c r="AP16" s="200"/>
      <c r="AQ16" s="201"/>
      <c r="AR16" s="253" t="str">
        <f>IF(COUNTBLANK(AN16:AQ16)=4,"",SUM(AN16:AP16)+IF(Setup!$I$15="No",0,AQ16))</f>
        <v/>
      </c>
      <c r="AS16" s="184"/>
      <c r="AT16" s="185"/>
      <c r="AU16" s="186"/>
      <c r="AV16" s="187"/>
      <c r="AW16" s="249" t="str">
        <f>IF(COUNTBLANK(AS16:AV16)=4,"",SUM(AS16:AU16)+IF(Setup!$I$15="No",0,AV16))</f>
        <v/>
      </c>
      <c r="AX16" s="198"/>
      <c r="AY16" s="199"/>
      <c r="AZ16" s="200"/>
      <c r="BA16" s="201"/>
      <c r="BB16" s="253" t="str">
        <f>IF(COUNTBLANK(AX16:BA16)=4,"",SUM(AX16:AZ16)+IF(Setup!$I$15="No",0,BA16))</f>
        <v/>
      </c>
      <c r="BC16" s="257">
        <f ca="1">IF('Demand background (hide)'!A7=Num_Modalities,"",SUM(Demand!I16))</f>
        <v>71</v>
      </c>
      <c r="BD16" s="257">
        <f ca="1">IF(AND(A16&lt;=MaxRows,BE16&lt;&gt;"Yes"),'Demand background (hide)'!X7+IF(Setup!$I$15="Yes",'Demand background (hide)'!AJ7,0),"")</f>
        <v>142</v>
      </c>
      <c r="BE16" s="207"/>
    </row>
    <row r="17" spans="1:57" x14ac:dyDescent="0.25">
      <c r="A17">
        <f t="shared" ca="1" si="0"/>
        <v>5</v>
      </c>
      <c r="B17" s="260" t="str">
        <f t="shared" ca="1" si="1"/>
        <v xml:space="preserve"> </v>
      </c>
      <c r="C17" s="262">
        <f t="shared" ca="1" si="2"/>
        <v>14</v>
      </c>
      <c r="D17" s="350">
        <f t="shared" ca="1" si="3"/>
        <v>43920</v>
      </c>
      <c r="E17" s="184"/>
      <c r="F17" s="185"/>
      <c r="G17" s="186">
        <v>80</v>
      </c>
      <c r="H17" s="187"/>
      <c r="I17" s="249">
        <f>IF(COUNTBLANK(E17:H17)=4,"",SUM(E17:G17)+IF(Setup!$I$15="No",0,H17))</f>
        <v>80</v>
      </c>
      <c r="J17" s="198"/>
      <c r="K17" s="199"/>
      <c r="L17" s="200"/>
      <c r="M17" s="201"/>
      <c r="N17" s="253" t="str">
        <f>IF(COUNTBLANK(J17:M17)=4,"",SUM(J17:L17)+IF(Setup!$I$15="No",0,M17))</f>
        <v/>
      </c>
      <c r="O17" s="184"/>
      <c r="P17" s="185"/>
      <c r="Q17" s="186"/>
      <c r="R17" s="187"/>
      <c r="S17" s="249" t="str">
        <f>IF(COUNTBLANK(O17:R17)=4,"",SUM(O17:Q17)+IF(Setup!$I$15="No",0,R17))</f>
        <v/>
      </c>
      <c r="T17" s="198"/>
      <c r="U17" s="199"/>
      <c r="V17" s="200"/>
      <c r="W17" s="201"/>
      <c r="X17" s="253" t="str">
        <f>IF(COUNTBLANK(T17:W17)=4,"",SUM(T17:V17)+IF(Setup!$I$15="No",0,W17))</f>
        <v/>
      </c>
      <c r="Y17" s="184"/>
      <c r="Z17" s="185"/>
      <c r="AA17" s="186"/>
      <c r="AB17" s="187"/>
      <c r="AC17" s="249" t="str">
        <f>IF(COUNTBLANK(Y17:AB17)=4,"",SUM(Y17:AA17)+IF(Setup!$I$15="No",0,AB17))</f>
        <v/>
      </c>
      <c r="AD17" s="198"/>
      <c r="AE17" s="199"/>
      <c r="AF17" s="200"/>
      <c r="AG17" s="201"/>
      <c r="AH17" s="253" t="str">
        <f>IF(COUNTBLANK(AD17:AG17)=4,"",SUM(AD17:AF17)+IF(Setup!$I$15="No",0,AG17))</f>
        <v/>
      </c>
      <c r="AI17" s="184"/>
      <c r="AJ17" s="185"/>
      <c r="AK17" s="186"/>
      <c r="AL17" s="187"/>
      <c r="AM17" s="249" t="str">
        <f>IF(COUNTBLANK(AI17:AL17)=4,"",SUM(AI17:AK17)+IF(Setup!$I$15="No",0,AL17))</f>
        <v/>
      </c>
      <c r="AN17" s="198"/>
      <c r="AO17" s="199"/>
      <c r="AP17" s="200"/>
      <c r="AQ17" s="201"/>
      <c r="AR17" s="253" t="str">
        <f>IF(COUNTBLANK(AN17:AQ17)=4,"",SUM(AN17:AP17)+IF(Setup!$I$15="No",0,AQ17))</f>
        <v/>
      </c>
      <c r="AS17" s="184"/>
      <c r="AT17" s="185"/>
      <c r="AU17" s="186"/>
      <c r="AV17" s="187"/>
      <c r="AW17" s="249" t="str">
        <f>IF(COUNTBLANK(AS17:AV17)=4,"",SUM(AS17:AU17)+IF(Setup!$I$15="No",0,AV17))</f>
        <v/>
      </c>
      <c r="AX17" s="198"/>
      <c r="AY17" s="199"/>
      <c r="AZ17" s="200"/>
      <c r="BA17" s="201"/>
      <c r="BB17" s="253" t="str">
        <f>IF(COUNTBLANK(AX17:BA17)=4,"",SUM(AX17:AZ17)+IF(Setup!$I$15="No",0,BA17))</f>
        <v/>
      </c>
      <c r="BC17" s="257">
        <f ca="1">IF('Demand background (hide)'!A8=Num_Modalities,"",SUM(Demand!I17))</f>
        <v>80</v>
      </c>
      <c r="BD17" s="257">
        <f ca="1">IF(AND(A17&lt;=MaxRows,BE17&lt;&gt;"Yes"),'Demand background (hide)'!X8+IF(Setup!$I$15="Yes",'Demand background (hide)'!AJ8,0),"")</f>
        <v>160</v>
      </c>
      <c r="BE17" s="207"/>
    </row>
    <row r="18" spans="1:57" x14ac:dyDescent="0.25">
      <c r="A18">
        <f t="shared" ca="1" si="0"/>
        <v>6</v>
      </c>
      <c r="B18" s="260" t="str">
        <f t="shared" ca="1" si="1"/>
        <v xml:space="preserve"> </v>
      </c>
      <c r="C18" s="262">
        <f t="shared" ca="1" si="2"/>
        <v>15</v>
      </c>
      <c r="D18" s="350">
        <f t="shared" ca="1" si="3"/>
        <v>43927</v>
      </c>
      <c r="E18" s="184"/>
      <c r="F18" s="185"/>
      <c r="G18" s="186">
        <v>78</v>
      </c>
      <c r="H18" s="187"/>
      <c r="I18" s="249">
        <f>IF(COUNTBLANK(E18:H18)=4,"",SUM(E18:G18)+IF(Setup!$I$15="No",0,H18))</f>
        <v>78</v>
      </c>
      <c r="J18" s="198"/>
      <c r="K18" s="199"/>
      <c r="L18" s="200"/>
      <c r="M18" s="201"/>
      <c r="N18" s="253" t="str">
        <f>IF(COUNTBLANK(J18:M18)=4,"",SUM(J18:L18)+IF(Setup!$I$15="No",0,M18))</f>
        <v/>
      </c>
      <c r="O18" s="184"/>
      <c r="P18" s="185"/>
      <c r="Q18" s="186"/>
      <c r="R18" s="187"/>
      <c r="S18" s="249" t="str">
        <f>IF(COUNTBLANK(O18:R18)=4,"",SUM(O18:Q18)+IF(Setup!$I$15="No",0,R18))</f>
        <v/>
      </c>
      <c r="T18" s="198"/>
      <c r="U18" s="199"/>
      <c r="V18" s="200"/>
      <c r="W18" s="201"/>
      <c r="X18" s="253" t="str">
        <f>IF(COUNTBLANK(T18:W18)=4,"",SUM(T18:V18)+IF(Setup!$I$15="No",0,W18))</f>
        <v/>
      </c>
      <c r="Y18" s="184"/>
      <c r="Z18" s="185"/>
      <c r="AA18" s="186"/>
      <c r="AB18" s="187"/>
      <c r="AC18" s="249" t="str">
        <f>IF(COUNTBLANK(Y18:AB18)=4,"",SUM(Y18:AA18)+IF(Setup!$I$15="No",0,AB18))</f>
        <v/>
      </c>
      <c r="AD18" s="198"/>
      <c r="AE18" s="199"/>
      <c r="AF18" s="200"/>
      <c r="AG18" s="201"/>
      <c r="AH18" s="253" t="str">
        <f>IF(COUNTBLANK(AD18:AG18)=4,"",SUM(AD18:AF18)+IF(Setup!$I$15="No",0,AG18))</f>
        <v/>
      </c>
      <c r="AI18" s="184"/>
      <c r="AJ18" s="185"/>
      <c r="AK18" s="186"/>
      <c r="AL18" s="187"/>
      <c r="AM18" s="249" t="str">
        <f>IF(COUNTBLANK(AI18:AL18)=4,"",SUM(AI18:AK18)+IF(Setup!$I$15="No",0,AL18))</f>
        <v/>
      </c>
      <c r="AN18" s="198"/>
      <c r="AO18" s="199"/>
      <c r="AP18" s="200"/>
      <c r="AQ18" s="201"/>
      <c r="AR18" s="253" t="str">
        <f>IF(COUNTBLANK(AN18:AQ18)=4,"",SUM(AN18:AP18)+IF(Setup!$I$15="No",0,AQ18))</f>
        <v/>
      </c>
      <c r="AS18" s="184"/>
      <c r="AT18" s="185"/>
      <c r="AU18" s="186"/>
      <c r="AV18" s="187"/>
      <c r="AW18" s="249" t="str">
        <f>IF(COUNTBLANK(AS18:AV18)=4,"",SUM(AS18:AU18)+IF(Setup!$I$15="No",0,AV18))</f>
        <v/>
      </c>
      <c r="AX18" s="198"/>
      <c r="AY18" s="199"/>
      <c r="AZ18" s="200"/>
      <c r="BA18" s="201"/>
      <c r="BB18" s="253" t="str">
        <f>IF(COUNTBLANK(AX18:BA18)=4,"",SUM(AX18:AZ18)+IF(Setup!$I$15="No",0,BA18))</f>
        <v/>
      </c>
      <c r="BC18" s="257">
        <f ca="1">IF('Demand background (hide)'!A9=Num_Modalities,"",SUM(Demand!I18))</f>
        <v>78</v>
      </c>
      <c r="BD18" s="257">
        <f ca="1">IF(AND(A18&lt;=MaxRows,BE18&lt;&gt;"Yes"),'Demand background (hide)'!X9+IF(Setup!$I$15="Yes",'Demand background (hide)'!AJ9,0),"")</f>
        <v>156</v>
      </c>
      <c r="BE18" s="207"/>
    </row>
    <row r="19" spans="1:57" x14ac:dyDescent="0.25">
      <c r="A19">
        <f t="shared" ca="1" si="0"/>
        <v>7</v>
      </c>
      <c r="B19" s="260" t="str">
        <f t="shared" ca="1" si="1"/>
        <v xml:space="preserve"> </v>
      </c>
      <c r="C19" s="262">
        <f t="shared" ca="1" si="2"/>
        <v>16</v>
      </c>
      <c r="D19" s="350">
        <f t="shared" ca="1" si="3"/>
        <v>43934</v>
      </c>
      <c r="E19" s="184"/>
      <c r="F19" s="185"/>
      <c r="G19" s="186">
        <v>77</v>
      </c>
      <c r="H19" s="187"/>
      <c r="I19" s="249">
        <f>IF(COUNTBLANK(E19:H19)=4,"",SUM(E19:G19)+IF(Setup!$I$15="No",0,H19))</f>
        <v>77</v>
      </c>
      <c r="J19" s="198"/>
      <c r="K19" s="199"/>
      <c r="L19" s="200"/>
      <c r="M19" s="201"/>
      <c r="N19" s="253" t="str">
        <f>IF(COUNTBLANK(J19:M19)=4,"",SUM(J19:L19)+IF(Setup!$I$15="No",0,M19))</f>
        <v/>
      </c>
      <c r="O19" s="184"/>
      <c r="P19" s="185"/>
      <c r="Q19" s="186"/>
      <c r="R19" s="187"/>
      <c r="S19" s="249" t="str">
        <f>IF(COUNTBLANK(O19:R19)=4,"",SUM(O19:Q19)+IF(Setup!$I$15="No",0,R19))</f>
        <v/>
      </c>
      <c r="T19" s="198"/>
      <c r="U19" s="199"/>
      <c r="V19" s="200"/>
      <c r="W19" s="201"/>
      <c r="X19" s="253" t="str">
        <f>IF(COUNTBLANK(T19:W19)=4,"",SUM(T19:V19)+IF(Setup!$I$15="No",0,W19))</f>
        <v/>
      </c>
      <c r="Y19" s="184"/>
      <c r="Z19" s="185"/>
      <c r="AA19" s="186"/>
      <c r="AB19" s="187"/>
      <c r="AC19" s="249" t="str">
        <f>IF(COUNTBLANK(Y19:AB19)=4,"",SUM(Y19:AA19)+IF(Setup!$I$15="No",0,AB19))</f>
        <v/>
      </c>
      <c r="AD19" s="198"/>
      <c r="AE19" s="199"/>
      <c r="AF19" s="200"/>
      <c r="AG19" s="201"/>
      <c r="AH19" s="253" t="str">
        <f>IF(COUNTBLANK(AD19:AG19)=4,"",SUM(AD19:AF19)+IF(Setup!$I$15="No",0,AG19))</f>
        <v/>
      </c>
      <c r="AI19" s="184"/>
      <c r="AJ19" s="185"/>
      <c r="AK19" s="186"/>
      <c r="AL19" s="187"/>
      <c r="AM19" s="249" t="str">
        <f>IF(COUNTBLANK(AI19:AL19)=4,"",SUM(AI19:AK19)+IF(Setup!$I$15="No",0,AL19))</f>
        <v/>
      </c>
      <c r="AN19" s="198"/>
      <c r="AO19" s="199"/>
      <c r="AP19" s="200"/>
      <c r="AQ19" s="201"/>
      <c r="AR19" s="253" t="str">
        <f>IF(COUNTBLANK(AN19:AQ19)=4,"",SUM(AN19:AP19)+IF(Setup!$I$15="No",0,AQ19))</f>
        <v/>
      </c>
      <c r="AS19" s="184"/>
      <c r="AT19" s="185"/>
      <c r="AU19" s="186"/>
      <c r="AV19" s="187"/>
      <c r="AW19" s="249" t="str">
        <f>IF(COUNTBLANK(AS19:AV19)=4,"",SUM(AS19:AU19)+IF(Setup!$I$15="No",0,AV19))</f>
        <v/>
      </c>
      <c r="AX19" s="198"/>
      <c r="AY19" s="199"/>
      <c r="AZ19" s="200"/>
      <c r="BA19" s="201"/>
      <c r="BB19" s="253" t="str">
        <f>IF(COUNTBLANK(AX19:BA19)=4,"",SUM(AX19:AZ19)+IF(Setup!$I$15="No",0,BA19))</f>
        <v/>
      </c>
      <c r="BC19" s="257">
        <f ca="1">IF('Demand background (hide)'!A10=Num_Modalities,"",SUM(Demand!I19))</f>
        <v>77</v>
      </c>
      <c r="BD19" s="257">
        <f ca="1">IF(AND(A19&lt;=MaxRows,BE19&lt;&gt;"Yes"),'Demand background (hide)'!X10+IF(Setup!$I$15="Yes",'Demand background (hide)'!AJ10,0),"")</f>
        <v>154</v>
      </c>
      <c r="BE19" s="207"/>
    </row>
    <row r="20" spans="1:57" x14ac:dyDescent="0.25">
      <c r="A20">
        <f t="shared" ca="1" si="0"/>
        <v>8</v>
      </c>
      <c r="B20" s="260" t="str">
        <f t="shared" ca="1" si="1"/>
        <v xml:space="preserve"> </v>
      </c>
      <c r="C20" s="262">
        <f t="shared" ca="1" si="2"/>
        <v>17</v>
      </c>
      <c r="D20" s="350">
        <f t="shared" ca="1" si="3"/>
        <v>43941</v>
      </c>
      <c r="E20" s="184"/>
      <c r="F20" s="185"/>
      <c r="G20" s="186">
        <v>71</v>
      </c>
      <c r="H20" s="187"/>
      <c r="I20" s="249">
        <f>IF(COUNTBLANK(E20:H20)=4,"",SUM(E20:G20)+IF(Setup!$I$15="No",0,H20))</f>
        <v>71</v>
      </c>
      <c r="J20" s="198"/>
      <c r="K20" s="199"/>
      <c r="L20" s="200"/>
      <c r="M20" s="201"/>
      <c r="N20" s="253" t="str">
        <f>IF(COUNTBLANK(J20:M20)=4,"",SUM(J20:L20)+IF(Setup!$I$15="No",0,M20))</f>
        <v/>
      </c>
      <c r="O20" s="184"/>
      <c r="P20" s="185"/>
      <c r="Q20" s="186"/>
      <c r="R20" s="187"/>
      <c r="S20" s="249" t="str">
        <f>IF(COUNTBLANK(O20:R20)=4,"",SUM(O20:Q20)+IF(Setup!$I$15="No",0,R20))</f>
        <v/>
      </c>
      <c r="T20" s="198"/>
      <c r="U20" s="199"/>
      <c r="V20" s="200"/>
      <c r="W20" s="201"/>
      <c r="X20" s="253" t="str">
        <f>IF(COUNTBLANK(T20:W20)=4,"",SUM(T20:V20)+IF(Setup!$I$15="No",0,W20))</f>
        <v/>
      </c>
      <c r="Y20" s="184"/>
      <c r="Z20" s="185"/>
      <c r="AA20" s="186"/>
      <c r="AB20" s="187"/>
      <c r="AC20" s="249" t="str">
        <f>IF(COUNTBLANK(Y20:AB20)=4,"",SUM(Y20:AA20)+IF(Setup!$I$15="No",0,AB20))</f>
        <v/>
      </c>
      <c r="AD20" s="198"/>
      <c r="AE20" s="199"/>
      <c r="AF20" s="200"/>
      <c r="AG20" s="201"/>
      <c r="AH20" s="253" t="str">
        <f>IF(COUNTBLANK(AD20:AG20)=4,"",SUM(AD20:AF20)+IF(Setup!$I$15="No",0,AG20))</f>
        <v/>
      </c>
      <c r="AI20" s="184"/>
      <c r="AJ20" s="185"/>
      <c r="AK20" s="186"/>
      <c r="AL20" s="187"/>
      <c r="AM20" s="249" t="str">
        <f>IF(COUNTBLANK(AI20:AL20)=4,"",SUM(AI20:AK20)+IF(Setup!$I$15="No",0,AL20))</f>
        <v/>
      </c>
      <c r="AN20" s="198"/>
      <c r="AO20" s="199"/>
      <c r="AP20" s="200"/>
      <c r="AQ20" s="201"/>
      <c r="AR20" s="253" t="str">
        <f>IF(COUNTBLANK(AN20:AQ20)=4,"",SUM(AN20:AP20)+IF(Setup!$I$15="No",0,AQ20))</f>
        <v/>
      </c>
      <c r="AS20" s="184"/>
      <c r="AT20" s="185"/>
      <c r="AU20" s="186"/>
      <c r="AV20" s="187"/>
      <c r="AW20" s="249" t="str">
        <f>IF(COUNTBLANK(AS20:AV20)=4,"",SUM(AS20:AU20)+IF(Setup!$I$15="No",0,AV20))</f>
        <v/>
      </c>
      <c r="AX20" s="198"/>
      <c r="AY20" s="199"/>
      <c r="AZ20" s="200"/>
      <c r="BA20" s="201"/>
      <c r="BB20" s="253" t="str">
        <f>IF(COUNTBLANK(AX20:BA20)=4,"",SUM(AX20:AZ20)+IF(Setup!$I$15="No",0,BA20))</f>
        <v/>
      </c>
      <c r="BC20" s="257">
        <f ca="1">IF('Demand background (hide)'!A11=Num_Modalities,"",SUM(Demand!I20))</f>
        <v>71</v>
      </c>
      <c r="BD20" s="257">
        <f ca="1">IF(AND(A20&lt;=MaxRows,BE20&lt;&gt;"Yes"),'Demand background (hide)'!X11+IF(Setup!$I$15="Yes",'Demand background (hide)'!AJ11,0),"")</f>
        <v>142</v>
      </c>
      <c r="BE20" s="207"/>
    </row>
    <row r="21" spans="1:57" x14ac:dyDescent="0.25">
      <c r="A21">
        <f t="shared" ca="1" si="0"/>
        <v>9</v>
      </c>
      <c r="B21" s="260" t="str">
        <f t="shared" ca="1" si="1"/>
        <v xml:space="preserve"> </v>
      </c>
      <c r="C21" s="262">
        <f t="shared" ca="1" si="2"/>
        <v>18</v>
      </c>
      <c r="D21" s="350">
        <f t="shared" ca="1" si="3"/>
        <v>43948</v>
      </c>
      <c r="E21" s="184"/>
      <c r="F21" s="185"/>
      <c r="G21" s="186">
        <v>71</v>
      </c>
      <c r="H21" s="187"/>
      <c r="I21" s="249">
        <f>IF(COUNTBLANK(E21:H21)=4,"",SUM(E21:G21)+IF(Setup!$I$15="No",0,H21))</f>
        <v>71</v>
      </c>
      <c r="J21" s="198"/>
      <c r="K21" s="199"/>
      <c r="L21" s="200"/>
      <c r="M21" s="201"/>
      <c r="N21" s="253" t="str">
        <f>IF(COUNTBLANK(J21:M21)=4,"",SUM(J21:L21)+IF(Setup!$I$15="No",0,M21))</f>
        <v/>
      </c>
      <c r="O21" s="184"/>
      <c r="P21" s="185"/>
      <c r="Q21" s="186"/>
      <c r="R21" s="187"/>
      <c r="S21" s="249" t="str">
        <f>IF(COUNTBLANK(O21:R21)=4,"",SUM(O21:Q21)+IF(Setup!$I$15="No",0,R21))</f>
        <v/>
      </c>
      <c r="T21" s="198"/>
      <c r="U21" s="199"/>
      <c r="V21" s="200"/>
      <c r="W21" s="201"/>
      <c r="X21" s="253" t="str">
        <f>IF(COUNTBLANK(T21:W21)=4,"",SUM(T21:V21)+IF(Setup!$I$15="No",0,W21))</f>
        <v/>
      </c>
      <c r="Y21" s="184"/>
      <c r="Z21" s="185"/>
      <c r="AA21" s="186"/>
      <c r="AB21" s="187"/>
      <c r="AC21" s="249" t="str">
        <f>IF(COUNTBLANK(Y21:AB21)=4,"",SUM(Y21:AA21)+IF(Setup!$I$15="No",0,AB21))</f>
        <v/>
      </c>
      <c r="AD21" s="198"/>
      <c r="AE21" s="199"/>
      <c r="AF21" s="200"/>
      <c r="AG21" s="201"/>
      <c r="AH21" s="253" t="str">
        <f>IF(COUNTBLANK(AD21:AG21)=4,"",SUM(AD21:AF21)+IF(Setup!$I$15="No",0,AG21))</f>
        <v/>
      </c>
      <c r="AI21" s="184"/>
      <c r="AJ21" s="185"/>
      <c r="AK21" s="186"/>
      <c r="AL21" s="187"/>
      <c r="AM21" s="249" t="str">
        <f>IF(COUNTBLANK(AI21:AL21)=4,"",SUM(AI21:AK21)+IF(Setup!$I$15="No",0,AL21))</f>
        <v/>
      </c>
      <c r="AN21" s="198"/>
      <c r="AO21" s="199"/>
      <c r="AP21" s="200"/>
      <c r="AQ21" s="201"/>
      <c r="AR21" s="253" t="str">
        <f>IF(COUNTBLANK(AN21:AQ21)=4,"",SUM(AN21:AP21)+IF(Setup!$I$15="No",0,AQ21))</f>
        <v/>
      </c>
      <c r="AS21" s="184"/>
      <c r="AT21" s="185"/>
      <c r="AU21" s="186"/>
      <c r="AV21" s="187"/>
      <c r="AW21" s="249" t="str">
        <f>IF(COUNTBLANK(AS21:AV21)=4,"",SUM(AS21:AU21)+IF(Setup!$I$15="No",0,AV21))</f>
        <v/>
      </c>
      <c r="AX21" s="198"/>
      <c r="AY21" s="199"/>
      <c r="AZ21" s="200"/>
      <c r="BA21" s="201"/>
      <c r="BB21" s="253" t="str">
        <f>IF(COUNTBLANK(AX21:BA21)=4,"",SUM(AX21:AZ21)+IF(Setup!$I$15="No",0,BA21))</f>
        <v/>
      </c>
      <c r="BC21" s="257">
        <f ca="1">IF('Demand background (hide)'!A12=Num_Modalities,"",SUM(Demand!I21))</f>
        <v>71</v>
      </c>
      <c r="BD21" s="257">
        <f ca="1">IF(AND(A21&lt;=MaxRows,BE21&lt;&gt;"Yes"),'Demand background (hide)'!X12+IF(Setup!$I$15="Yes",'Demand background (hide)'!AJ12,0),"")</f>
        <v>142</v>
      </c>
      <c r="BE21" s="207"/>
    </row>
    <row r="22" spans="1:57" x14ac:dyDescent="0.25">
      <c r="A22">
        <f t="shared" ca="1" si="0"/>
        <v>10</v>
      </c>
      <c r="B22" s="260" t="str">
        <f t="shared" ca="1" si="1"/>
        <v xml:space="preserve"> </v>
      </c>
      <c r="C22" s="262">
        <f t="shared" ca="1" si="2"/>
        <v>19</v>
      </c>
      <c r="D22" s="350">
        <f t="shared" ca="1" si="3"/>
        <v>43955</v>
      </c>
      <c r="E22" s="184"/>
      <c r="F22" s="185"/>
      <c r="G22" s="186">
        <v>70</v>
      </c>
      <c r="H22" s="187"/>
      <c r="I22" s="249">
        <f>IF(COUNTBLANK(E22:H22)=4,"",SUM(E22:G22)+IF(Setup!$I$15="No",0,H22))</f>
        <v>70</v>
      </c>
      <c r="J22" s="198"/>
      <c r="K22" s="199"/>
      <c r="L22" s="200"/>
      <c r="M22" s="201"/>
      <c r="N22" s="253" t="str">
        <f>IF(COUNTBLANK(J22:M22)=4,"",SUM(J22:L22)+IF(Setup!$I$15="No",0,M22))</f>
        <v/>
      </c>
      <c r="O22" s="184"/>
      <c r="P22" s="185"/>
      <c r="Q22" s="186"/>
      <c r="R22" s="187"/>
      <c r="S22" s="249" t="str">
        <f>IF(COUNTBLANK(O22:R22)=4,"",SUM(O22:Q22)+IF(Setup!$I$15="No",0,R22))</f>
        <v/>
      </c>
      <c r="T22" s="198"/>
      <c r="U22" s="199"/>
      <c r="V22" s="200"/>
      <c r="W22" s="201"/>
      <c r="X22" s="253" t="str">
        <f>IF(COUNTBLANK(T22:W22)=4,"",SUM(T22:V22)+IF(Setup!$I$15="No",0,W22))</f>
        <v/>
      </c>
      <c r="Y22" s="184"/>
      <c r="Z22" s="185"/>
      <c r="AA22" s="186"/>
      <c r="AB22" s="187"/>
      <c r="AC22" s="249" t="str">
        <f>IF(COUNTBLANK(Y22:AB22)=4,"",SUM(Y22:AA22)+IF(Setup!$I$15="No",0,AB22))</f>
        <v/>
      </c>
      <c r="AD22" s="198"/>
      <c r="AE22" s="199"/>
      <c r="AF22" s="200"/>
      <c r="AG22" s="201"/>
      <c r="AH22" s="253" t="str">
        <f>IF(COUNTBLANK(AD22:AG22)=4,"",SUM(AD22:AF22)+IF(Setup!$I$15="No",0,AG22))</f>
        <v/>
      </c>
      <c r="AI22" s="184"/>
      <c r="AJ22" s="185"/>
      <c r="AK22" s="186"/>
      <c r="AL22" s="187"/>
      <c r="AM22" s="249" t="str">
        <f>IF(COUNTBLANK(AI22:AL22)=4,"",SUM(AI22:AK22)+IF(Setup!$I$15="No",0,AL22))</f>
        <v/>
      </c>
      <c r="AN22" s="198"/>
      <c r="AO22" s="199"/>
      <c r="AP22" s="200"/>
      <c r="AQ22" s="201"/>
      <c r="AR22" s="253" t="str">
        <f>IF(COUNTBLANK(AN22:AQ22)=4,"",SUM(AN22:AP22)+IF(Setup!$I$15="No",0,AQ22))</f>
        <v/>
      </c>
      <c r="AS22" s="184"/>
      <c r="AT22" s="185"/>
      <c r="AU22" s="186"/>
      <c r="AV22" s="187"/>
      <c r="AW22" s="249" t="str">
        <f>IF(COUNTBLANK(AS22:AV22)=4,"",SUM(AS22:AU22)+IF(Setup!$I$15="No",0,AV22))</f>
        <v/>
      </c>
      <c r="AX22" s="198"/>
      <c r="AY22" s="199"/>
      <c r="AZ22" s="200"/>
      <c r="BA22" s="201"/>
      <c r="BB22" s="253" t="str">
        <f>IF(COUNTBLANK(AX22:BA22)=4,"",SUM(AX22:AZ22)+IF(Setup!$I$15="No",0,BA22))</f>
        <v/>
      </c>
      <c r="BC22" s="257">
        <f ca="1">IF('Demand background (hide)'!A13=Num_Modalities,"",SUM(Demand!I22))</f>
        <v>70</v>
      </c>
      <c r="BD22" s="257">
        <f ca="1">IF(AND(A22&lt;=MaxRows,BE22&lt;&gt;"Yes"),'Demand background (hide)'!X13+IF(Setup!$I$15="Yes",'Demand background (hide)'!AJ13,0),"")</f>
        <v>140</v>
      </c>
      <c r="BE22" s="207"/>
    </row>
    <row r="23" spans="1:57" x14ac:dyDescent="0.25">
      <c r="A23">
        <f t="shared" ca="1" si="0"/>
        <v>11</v>
      </c>
      <c r="B23" s="260" t="str">
        <f t="shared" ca="1" si="1"/>
        <v xml:space="preserve"> </v>
      </c>
      <c r="C23" s="262">
        <f t="shared" ca="1" si="2"/>
        <v>20</v>
      </c>
      <c r="D23" s="350">
        <f t="shared" ca="1" si="3"/>
        <v>43962</v>
      </c>
      <c r="E23" s="184"/>
      <c r="F23" s="185"/>
      <c r="G23" s="186">
        <v>76</v>
      </c>
      <c r="H23" s="187"/>
      <c r="I23" s="249">
        <f>IF(COUNTBLANK(E23:H23)=4,"",SUM(E23:G23)+IF(Setup!$I$15="No",0,H23))</f>
        <v>76</v>
      </c>
      <c r="J23" s="198"/>
      <c r="K23" s="199"/>
      <c r="L23" s="200"/>
      <c r="M23" s="201"/>
      <c r="N23" s="253" t="str">
        <f>IF(COUNTBLANK(J23:M23)=4,"",SUM(J23:L23)+IF(Setup!$I$15="No",0,M23))</f>
        <v/>
      </c>
      <c r="O23" s="184"/>
      <c r="P23" s="185"/>
      <c r="Q23" s="186"/>
      <c r="R23" s="187"/>
      <c r="S23" s="249" t="str">
        <f>IF(COUNTBLANK(O23:R23)=4,"",SUM(O23:Q23)+IF(Setup!$I$15="No",0,R23))</f>
        <v/>
      </c>
      <c r="T23" s="198"/>
      <c r="U23" s="199"/>
      <c r="V23" s="200"/>
      <c r="W23" s="201"/>
      <c r="X23" s="253" t="str">
        <f>IF(COUNTBLANK(T23:W23)=4,"",SUM(T23:V23)+IF(Setup!$I$15="No",0,W23))</f>
        <v/>
      </c>
      <c r="Y23" s="184"/>
      <c r="Z23" s="185"/>
      <c r="AA23" s="186"/>
      <c r="AB23" s="187"/>
      <c r="AC23" s="249" t="str">
        <f>IF(COUNTBLANK(Y23:AB23)=4,"",SUM(Y23:AA23)+IF(Setup!$I$15="No",0,AB23))</f>
        <v/>
      </c>
      <c r="AD23" s="198"/>
      <c r="AE23" s="199"/>
      <c r="AF23" s="200"/>
      <c r="AG23" s="201"/>
      <c r="AH23" s="253" t="str">
        <f>IF(COUNTBLANK(AD23:AG23)=4,"",SUM(AD23:AF23)+IF(Setup!$I$15="No",0,AG23))</f>
        <v/>
      </c>
      <c r="AI23" s="184"/>
      <c r="AJ23" s="185"/>
      <c r="AK23" s="186"/>
      <c r="AL23" s="187"/>
      <c r="AM23" s="249" t="str">
        <f>IF(COUNTBLANK(AI23:AL23)=4,"",SUM(AI23:AK23)+IF(Setup!$I$15="No",0,AL23))</f>
        <v/>
      </c>
      <c r="AN23" s="198"/>
      <c r="AO23" s="199"/>
      <c r="AP23" s="200"/>
      <c r="AQ23" s="201"/>
      <c r="AR23" s="253" t="str">
        <f>IF(COUNTBLANK(AN23:AQ23)=4,"",SUM(AN23:AP23)+IF(Setup!$I$15="No",0,AQ23))</f>
        <v/>
      </c>
      <c r="AS23" s="184"/>
      <c r="AT23" s="185"/>
      <c r="AU23" s="186"/>
      <c r="AV23" s="187"/>
      <c r="AW23" s="249" t="str">
        <f>IF(COUNTBLANK(AS23:AV23)=4,"",SUM(AS23:AU23)+IF(Setup!$I$15="No",0,AV23))</f>
        <v/>
      </c>
      <c r="AX23" s="198"/>
      <c r="AY23" s="199"/>
      <c r="AZ23" s="200"/>
      <c r="BA23" s="201"/>
      <c r="BB23" s="253" t="str">
        <f>IF(COUNTBLANK(AX23:BA23)=4,"",SUM(AX23:AZ23)+IF(Setup!$I$15="No",0,BA23))</f>
        <v/>
      </c>
      <c r="BC23" s="257">
        <f ca="1">IF('Demand background (hide)'!A14=Num_Modalities,"",SUM(Demand!I23))</f>
        <v>76</v>
      </c>
      <c r="BD23" s="257">
        <f ca="1">IF(AND(A23&lt;=MaxRows,BE23&lt;&gt;"Yes"),'Demand background (hide)'!X14+IF(Setup!$I$15="Yes",'Demand background (hide)'!AJ14,0),"")</f>
        <v>152</v>
      </c>
      <c r="BE23" s="207"/>
    </row>
    <row r="24" spans="1:57" x14ac:dyDescent="0.25">
      <c r="A24">
        <f t="shared" ca="1" si="0"/>
        <v>12</v>
      </c>
      <c r="B24" s="260" t="str">
        <f t="shared" ca="1" si="1"/>
        <v xml:space="preserve"> </v>
      </c>
      <c r="C24" s="262">
        <f t="shared" ca="1" si="2"/>
        <v>21</v>
      </c>
      <c r="D24" s="350">
        <f t="shared" ca="1" si="3"/>
        <v>43969</v>
      </c>
      <c r="E24" s="184"/>
      <c r="F24" s="185"/>
      <c r="G24" s="186">
        <v>69</v>
      </c>
      <c r="H24" s="187"/>
      <c r="I24" s="249">
        <f>IF(COUNTBLANK(E24:H24)=4,"",SUM(E24:G24)+IF(Setup!$I$15="No",0,H24))</f>
        <v>69</v>
      </c>
      <c r="J24" s="198"/>
      <c r="K24" s="199"/>
      <c r="L24" s="200"/>
      <c r="M24" s="201"/>
      <c r="N24" s="253" t="str">
        <f>IF(COUNTBLANK(J24:M24)=4,"",SUM(J24:L24)+IF(Setup!$I$15="No",0,M24))</f>
        <v/>
      </c>
      <c r="O24" s="184"/>
      <c r="P24" s="185"/>
      <c r="Q24" s="186"/>
      <c r="R24" s="187"/>
      <c r="S24" s="249" t="str">
        <f>IF(COUNTBLANK(O24:R24)=4,"",SUM(O24:Q24)+IF(Setup!$I$15="No",0,R24))</f>
        <v/>
      </c>
      <c r="T24" s="198"/>
      <c r="U24" s="199"/>
      <c r="V24" s="200"/>
      <c r="W24" s="201"/>
      <c r="X24" s="253" t="str">
        <f>IF(COUNTBLANK(T24:W24)=4,"",SUM(T24:V24)+IF(Setup!$I$15="No",0,W24))</f>
        <v/>
      </c>
      <c r="Y24" s="184"/>
      <c r="Z24" s="185"/>
      <c r="AA24" s="186"/>
      <c r="AB24" s="187"/>
      <c r="AC24" s="249" t="str">
        <f>IF(COUNTBLANK(Y24:AB24)=4,"",SUM(Y24:AA24)+IF(Setup!$I$15="No",0,AB24))</f>
        <v/>
      </c>
      <c r="AD24" s="198"/>
      <c r="AE24" s="199"/>
      <c r="AF24" s="200"/>
      <c r="AG24" s="201"/>
      <c r="AH24" s="253" t="str">
        <f>IF(COUNTBLANK(AD24:AG24)=4,"",SUM(AD24:AF24)+IF(Setup!$I$15="No",0,AG24))</f>
        <v/>
      </c>
      <c r="AI24" s="184"/>
      <c r="AJ24" s="185"/>
      <c r="AK24" s="186"/>
      <c r="AL24" s="187"/>
      <c r="AM24" s="249" t="str">
        <f>IF(COUNTBLANK(AI24:AL24)=4,"",SUM(AI24:AK24)+IF(Setup!$I$15="No",0,AL24))</f>
        <v/>
      </c>
      <c r="AN24" s="198"/>
      <c r="AO24" s="199"/>
      <c r="AP24" s="200"/>
      <c r="AQ24" s="201"/>
      <c r="AR24" s="253" t="str">
        <f>IF(COUNTBLANK(AN24:AQ24)=4,"",SUM(AN24:AP24)+IF(Setup!$I$15="No",0,AQ24))</f>
        <v/>
      </c>
      <c r="AS24" s="184"/>
      <c r="AT24" s="185"/>
      <c r="AU24" s="186"/>
      <c r="AV24" s="187"/>
      <c r="AW24" s="249" t="str">
        <f>IF(COUNTBLANK(AS24:AV24)=4,"",SUM(AS24:AU24)+IF(Setup!$I$15="No",0,AV24))</f>
        <v/>
      </c>
      <c r="AX24" s="198"/>
      <c r="AY24" s="199"/>
      <c r="AZ24" s="200"/>
      <c r="BA24" s="201"/>
      <c r="BB24" s="253" t="str">
        <f>IF(COUNTBLANK(AX24:BA24)=4,"",SUM(AX24:AZ24)+IF(Setup!$I$15="No",0,BA24))</f>
        <v/>
      </c>
      <c r="BC24" s="257">
        <f ca="1">IF('Demand background (hide)'!A15=Num_Modalities,"",SUM(Demand!I24))</f>
        <v>69</v>
      </c>
      <c r="BD24" s="257">
        <f ca="1">IF(AND(A24&lt;=MaxRows,BE24&lt;&gt;"Yes"),'Demand background (hide)'!X15+IF(Setup!$I$15="Yes",'Demand background (hide)'!AJ15,0),"")</f>
        <v>138</v>
      </c>
      <c r="BE24" s="207"/>
    </row>
    <row r="25" spans="1:57" x14ac:dyDescent="0.25">
      <c r="A25">
        <f t="shared" ca="1" si="0"/>
        <v>13</v>
      </c>
      <c r="B25" s="260" t="str">
        <f t="shared" ca="1" si="1"/>
        <v xml:space="preserve"> </v>
      </c>
      <c r="C25" s="262">
        <f t="shared" ca="1" si="2"/>
        <v>22</v>
      </c>
      <c r="D25" s="350">
        <f t="shared" ca="1" si="3"/>
        <v>43976</v>
      </c>
      <c r="E25" s="184"/>
      <c r="F25" s="185"/>
      <c r="G25" s="186">
        <v>60</v>
      </c>
      <c r="H25" s="187"/>
      <c r="I25" s="249">
        <f>IF(COUNTBLANK(E25:H25)=4,"",SUM(E25:G25)+IF(Setup!$I$15="No",0,H25))</f>
        <v>60</v>
      </c>
      <c r="J25" s="198"/>
      <c r="K25" s="199"/>
      <c r="L25" s="200"/>
      <c r="M25" s="201"/>
      <c r="N25" s="253" t="str">
        <f>IF(COUNTBLANK(J25:M25)=4,"",SUM(J25:L25)+IF(Setup!$I$15="No",0,M25))</f>
        <v/>
      </c>
      <c r="O25" s="184"/>
      <c r="P25" s="185"/>
      <c r="Q25" s="186"/>
      <c r="R25" s="187"/>
      <c r="S25" s="249" t="str">
        <f>IF(COUNTBLANK(O25:R25)=4,"",SUM(O25:Q25)+IF(Setup!$I$15="No",0,R25))</f>
        <v/>
      </c>
      <c r="T25" s="198"/>
      <c r="U25" s="199"/>
      <c r="V25" s="200"/>
      <c r="W25" s="201"/>
      <c r="X25" s="253" t="str">
        <f>IF(COUNTBLANK(T25:W25)=4,"",SUM(T25:V25)+IF(Setup!$I$15="No",0,W25))</f>
        <v/>
      </c>
      <c r="Y25" s="184"/>
      <c r="Z25" s="185"/>
      <c r="AA25" s="186"/>
      <c r="AB25" s="187"/>
      <c r="AC25" s="249" t="str">
        <f>IF(COUNTBLANK(Y25:AB25)=4,"",SUM(Y25:AA25)+IF(Setup!$I$15="No",0,AB25))</f>
        <v/>
      </c>
      <c r="AD25" s="198"/>
      <c r="AE25" s="199"/>
      <c r="AF25" s="200"/>
      <c r="AG25" s="201"/>
      <c r="AH25" s="253" t="str">
        <f>IF(COUNTBLANK(AD25:AG25)=4,"",SUM(AD25:AF25)+IF(Setup!$I$15="No",0,AG25))</f>
        <v/>
      </c>
      <c r="AI25" s="184"/>
      <c r="AJ25" s="185"/>
      <c r="AK25" s="186"/>
      <c r="AL25" s="187"/>
      <c r="AM25" s="249" t="str">
        <f>IF(COUNTBLANK(AI25:AL25)=4,"",SUM(AI25:AK25)+IF(Setup!$I$15="No",0,AL25))</f>
        <v/>
      </c>
      <c r="AN25" s="198"/>
      <c r="AO25" s="199"/>
      <c r="AP25" s="200"/>
      <c r="AQ25" s="201"/>
      <c r="AR25" s="253" t="str">
        <f>IF(COUNTBLANK(AN25:AQ25)=4,"",SUM(AN25:AP25)+IF(Setup!$I$15="No",0,AQ25))</f>
        <v/>
      </c>
      <c r="AS25" s="184"/>
      <c r="AT25" s="185"/>
      <c r="AU25" s="186"/>
      <c r="AV25" s="187"/>
      <c r="AW25" s="249" t="str">
        <f>IF(COUNTBLANK(AS25:AV25)=4,"",SUM(AS25:AU25)+IF(Setup!$I$15="No",0,AV25))</f>
        <v/>
      </c>
      <c r="AX25" s="198"/>
      <c r="AY25" s="199"/>
      <c r="AZ25" s="200"/>
      <c r="BA25" s="201"/>
      <c r="BB25" s="253" t="str">
        <f>IF(COUNTBLANK(AX25:BA25)=4,"",SUM(AX25:AZ25)+IF(Setup!$I$15="No",0,BA25))</f>
        <v/>
      </c>
      <c r="BC25" s="257">
        <f ca="1">IF('Demand background (hide)'!A16=Num_Modalities,"",SUM(Demand!I25))</f>
        <v>60</v>
      </c>
      <c r="BD25" s="257">
        <f ca="1">IF(AND(A25&lt;=MaxRows,BE25&lt;&gt;"Yes"),'Demand background (hide)'!X16+IF(Setup!$I$15="Yes",'Demand background (hide)'!AJ16,0),"")</f>
        <v>120</v>
      </c>
      <c r="BE25" s="207"/>
    </row>
    <row r="26" spans="1:57" x14ac:dyDescent="0.25">
      <c r="A26">
        <f t="shared" ca="1" si="0"/>
        <v>14</v>
      </c>
      <c r="B26" s="260" t="str">
        <f t="shared" ca="1" si="1"/>
        <v xml:space="preserve"> </v>
      </c>
      <c r="C26" s="262">
        <f t="shared" ca="1" si="2"/>
        <v>23</v>
      </c>
      <c r="D26" s="350">
        <f t="shared" ca="1" si="3"/>
        <v>43983</v>
      </c>
      <c r="E26" s="184"/>
      <c r="F26" s="185"/>
      <c r="G26" s="186">
        <v>68</v>
      </c>
      <c r="H26" s="187"/>
      <c r="I26" s="249">
        <f>IF(COUNTBLANK(E26:H26)=4,"",SUM(E26:G26)+IF(Setup!$I$15="No",0,H26))</f>
        <v>68</v>
      </c>
      <c r="J26" s="198"/>
      <c r="K26" s="199"/>
      <c r="L26" s="200"/>
      <c r="M26" s="201"/>
      <c r="N26" s="253" t="str">
        <f>IF(COUNTBLANK(J26:M26)=4,"",SUM(J26:L26)+IF(Setup!$I$15="No",0,M26))</f>
        <v/>
      </c>
      <c r="O26" s="184"/>
      <c r="P26" s="185"/>
      <c r="Q26" s="186"/>
      <c r="R26" s="187"/>
      <c r="S26" s="249" t="str">
        <f>IF(COUNTBLANK(O26:R26)=4,"",SUM(O26:Q26)+IF(Setup!$I$15="No",0,R26))</f>
        <v/>
      </c>
      <c r="T26" s="198"/>
      <c r="U26" s="199"/>
      <c r="V26" s="200"/>
      <c r="W26" s="201"/>
      <c r="X26" s="253" t="str">
        <f>IF(COUNTBLANK(T26:W26)=4,"",SUM(T26:V26)+IF(Setup!$I$15="No",0,W26))</f>
        <v/>
      </c>
      <c r="Y26" s="184"/>
      <c r="Z26" s="185"/>
      <c r="AA26" s="186"/>
      <c r="AB26" s="187"/>
      <c r="AC26" s="249" t="str">
        <f>IF(COUNTBLANK(Y26:AB26)=4,"",SUM(Y26:AA26)+IF(Setup!$I$15="No",0,AB26))</f>
        <v/>
      </c>
      <c r="AD26" s="198"/>
      <c r="AE26" s="199"/>
      <c r="AF26" s="200"/>
      <c r="AG26" s="201"/>
      <c r="AH26" s="253" t="str">
        <f>IF(COUNTBLANK(AD26:AG26)=4,"",SUM(AD26:AF26)+IF(Setup!$I$15="No",0,AG26))</f>
        <v/>
      </c>
      <c r="AI26" s="184"/>
      <c r="AJ26" s="185"/>
      <c r="AK26" s="186"/>
      <c r="AL26" s="187"/>
      <c r="AM26" s="249" t="str">
        <f>IF(COUNTBLANK(AI26:AL26)=4,"",SUM(AI26:AK26)+IF(Setup!$I$15="No",0,AL26))</f>
        <v/>
      </c>
      <c r="AN26" s="198"/>
      <c r="AO26" s="199"/>
      <c r="AP26" s="200"/>
      <c r="AQ26" s="201"/>
      <c r="AR26" s="253" t="str">
        <f>IF(COUNTBLANK(AN26:AQ26)=4,"",SUM(AN26:AP26)+IF(Setup!$I$15="No",0,AQ26))</f>
        <v/>
      </c>
      <c r="AS26" s="184"/>
      <c r="AT26" s="185"/>
      <c r="AU26" s="186"/>
      <c r="AV26" s="187"/>
      <c r="AW26" s="249" t="str">
        <f>IF(COUNTBLANK(AS26:AV26)=4,"",SUM(AS26:AU26)+IF(Setup!$I$15="No",0,AV26))</f>
        <v/>
      </c>
      <c r="AX26" s="198"/>
      <c r="AY26" s="199"/>
      <c r="AZ26" s="200"/>
      <c r="BA26" s="201"/>
      <c r="BB26" s="253" t="str">
        <f>IF(COUNTBLANK(AX26:BA26)=4,"",SUM(AX26:AZ26)+IF(Setup!$I$15="No",0,BA26))</f>
        <v/>
      </c>
      <c r="BC26" s="257">
        <f ca="1">IF('Demand background (hide)'!A17=Num_Modalities,"",SUM(Demand!I26))</f>
        <v>68</v>
      </c>
      <c r="BD26" s="257">
        <f ca="1">IF(AND(A26&lt;=MaxRows,BE26&lt;&gt;"Yes"),'Demand background (hide)'!X17+IF(Setup!$I$15="Yes",'Demand background (hide)'!AJ17,0),"")</f>
        <v>136</v>
      </c>
      <c r="BE26" s="207"/>
    </row>
    <row r="27" spans="1:57" x14ac:dyDescent="0.25">
      <c r="A27">
        <f t="shared" ca="1" si="0"/>
        <v>15</v>
      </c>
      <c r="B27" s="260" t="str">
        <f t="shared" ca="1" si="1"/>
        <v xml:space="preserve"> </v>
      </c>
      <c r="C27" s="262">
        <f t="shared" ca="1" si="2"/>
        <v>24</v>
      </c>
      <c r="D27" s="350">
        <f t="shared" ca="1" si="3"/>
        <v>43990</v>
      </c>
      <c r="E27" s="184"/>
      <c r="F27" s="185"/>
      <c r="G27" s="186">
        <v>69</v>
      </c>
      <c r="H27" s="187"/>
      <c r="I27" s="249">
        <f>IF(COUNTBLANK(E27:H27)=4,"",SUM(E27:G27)+IF(Setup!$I$15="No",0,H27))</f>
        <v>69</v>
      </c>
      <c r="J27" s="198"/>
      <c r="K27" s="199"/>
      <c r="L27" s="200"/>
      <c r="M27" s="201"/>
      <c r="N27" s="253" t="str">
        <f>IF(COUNTBLANK(J27:M27)=4,"",SUM(J27:L27)+IF(Setup!$I$15="No",0,M27))</f>
        <v/>
      </c>
      <c r="O27" s="184"/>
      <c r="P27" s="185"/>
      <c r="Q27" s="186"/>
      <c r="R27" s="187"/>
      <c r="S27" s="249" t="str">
        <f>IF(COUNTBLANK(O27:R27)=4,"",SUM(O27:Q27)+IF(Setup!$I$15="No",0,R27))</f>
        <v/>
      </c>
      <c r="T27" s="198"/>
      <c r="U27" s="199"/>
      <c r="V27" s="200"/>
      <c r="W27" s="201"/>
      <c r="X27" s="253" t="str">
        <f>IF(COUNTBLANK(T27:W27)=4,"",SUM(T27:V27)+IF(Setup!$I$15="No",0,W27))</f>
        <v/>
      </c>
      <c r="Y27" s="184"/>
      <c r="Z27" s="185"/>
      <c r="AA27" s="186"/>
      <c r="AB27" s="187"/>
      <c r="AC27" s="249" t="str">
        <f>IF(COUNTBLANK(Y27:AB27)=4,"",SUM(Y27:AA27)+IF(Setup!$I$15="No",0,AB27))</f>
        <v/>
      </c>
      <c r="AD27" s="198"/>
      <c r="AE27" s="199"/>
      <c r="AF27" s="200"/>
      <c r="AG27" s="201"/>
      <c r="AH27" s="253" t="str">
        <f>IF(COUNTBLANK(AD27:AG27)=4,"",SUM(AD27:AF27)+IF(Setup!$I$15="No",0,AG27))</f>
        <v/>
      </c>
      <c r="AI27" s="184"/>
      <c r="AJ27" s="185"/>
      <c r="AK27" s="186"/>
      <c r="AL27" s="187"/>
      <c r="AM27" s="249" t="str">
        <f>IF(COUNTBLANK(AI27:AL27)=4,"",SUM(AI27:AK27)+IF(Setup!$I$15="No",0,AL27))</f>
        <v/>
      </c>
      <c r="AN27" s="198"/>
      <c r="AO27" s="199"/>
      <c r="AP27" s="200"/>
      <c r="AQ27" s="201"/>
      <c r="AR27" s="253" t="str">
        <f>IF(COUNTBLANK(AN27:AQ27)=4,"",SUM(AN27:AP27)+IF(Setup!$I$15="No",0,AQ27))</f>
        <v/>
      </c>
      <c r="AS27" s="184"/>
      <c r="AT27" s="185"/>
      <c r="AU27" s="186"/>
      <c r="AV27" s="187"/>
      <c r="AW27" s="249" t="str">
        <f>IF(COUNTBLANK(AS27:AV27)=4,"",SUM(AS27:AU27)+IF(Setup!$I$15="No",0,AV27))</f>
        <v/>
      </c>
      <c r="AX27" s="198"/>
      <c r="AY27" s="199"/>
      <c r="AZ27" s="200"/>
      <c r="BA27" s="201"/>
      <c r="BB27" s="253" t="str">
        <f>IF(COUNTBLANK(AX27:BA27)=4,"",SUM(AX27:AZ27)+IF(Setup!$I$15="No",0,BA27))</f>
        <v/>
      </c>
      <c r="BC27" s="257">
        <f ca="1">IF('Demand background (hide)'!A18=Num_Modalities,"",SUM(Demand!I27))</f>
        <v>69</v>
      </c>
      <c r="BD27" s="257">
        <f ca="1">IF(AND(A27&lt;=MaxRows,BE27&lt;&gt;"Yes"),'Demand background (hide)'!X18+IF(Setup!$I$15="Yes",'Demand background (hide)'!AJ18,0),"")</f>
        <v>138</v>
      </c>
      <c r="BE27" s="207"/>
    </row>
    <row r="28" spans="1:57" x14ac:dyDescent="0.25">
      <c r="A28">
        <f t="shared" ca="1" si="0"/>
        <v>16</v>
      </c>
      <c r="B28" s="260" t="str">
        <f t="shared" ca="1" si="1"/>
        <v xml:space="preserve"> </v>
      </c>
      <c r="C28" s="262">
        <f t="shared" ca="1" si="2"/>
        <v>25</v>
      </c>
      <c r="D28" s="350">
        <f t="shared" ca="1" si="3"/>
        <v>43997</v>
      </c>
      <c r="E28" s="184"/>
      <c r="F28" s="185"/>
      <c r="G28" s="186">
        <v>63</v>
      </c>
      <c r="H28" s="187"/>
      <c r="I28" s="249">
        <f>IF(COUNTBLANK(E28:H28)=4,"",SUM(E28:G28)+IF(Setup!$I$15="No",0,H28))</f>
        <v>63</v>
      </c>
      <c r="J28" s="198"/>
      <c r="K28" s="199"/>
      <c r="L28" s="200"/>
      <c r="M28" s="201"/>
      <c r="N28" s="253" t="str">
        <f>IF(COUNTBLANK(J28:M28)=4,"",SUM(J28:L28)+IF(Setup!$I$15="No",0,M28))</f>
        <v/>
      </c>
      <c r="O28" s="184"/>
      <c r="P28" s="185"/>
      <c r="Q28" s="186"/>
      <c r="R28" s="187"/>
      <c r="S28" s="249" t="str">
        <f>IF(COUNTBLANK(O28:R28)=4,"",SUM(O28:Q28)+IF(Setup!$I$15="No",0,R28))</f>
        <v/>
      </c>
      <c r="T28" s="198"/>
      <c r="U28" s="199"/>
      <c r="V28" s="200"/>
      <c r="W28" s="201"/>
      <c r="X28" s="253" t="str">
        <f>IF(COUNTBLANK(T28:W28)=4,"",SUM(T28:V28)+IF(Setup!$I$15="No",0,W28))</f>
        <v/>
      </c>
      <c r="Y28" s="184"/>
      <c r="Z28" s="185"/>
      <c r="AA28" s="186"/>
      <c r="AB28" s="187"/>
      <c r="AC28" s="249" t="str">
        <f>IF(COUNTBLANK(Y28:AB28)=4,"",SUM(Y28:AA28)+IF(Setup!$I$15="No",0,AB28))</f>
        <v/>
      </c>
      <c r="AD28" s="198"/>
      <c r="AE28" s="199"/>
      <c r="AF28" s="200"/>
      <c r="AG28" s="201"/>
      <c r="AH28" s="253" t="str">
        <f>IF(COUNTBLANK(AD28:AG28)=4,"",SUM(AD28:AF28)+IF(Setup!$I$15="No",0,AG28))</f>
        <v/>
      </c>
      <c r="AI28" s="184"/>
      <c r="AJ28" s="185"/>
      <c r="AK28" s="186"/>
      <c r="AL28" s="187"/>
      <c r="AM28" s="249" t="str">
        <f>IF(COUNTBLANK(AI28:AL28)=4,"",SUM(AI28:AK28)+IF(Setup!$I$15="No",0,AL28))</f>
        <v/>
      </c>
      <c r="AN28" s="198"/>
      <c r="AO28" s="199"/>
      <c r="AP28" s="200"/>
      <c r="AQ28" s="201"/>
      <c r="AR28" s="253" t="str">
        <f>IF(COUNTBLANK(AN28:AQ28)=4,"",SUM(AN28:AP28)+IF(Setup!$I$15="No",0,AQ28))</f>
        <v/>
      </c>
      <c r="AS28" s="184"/>
      <c r="AT28" s="185"/>
      <c r="AU28" s="186"/>
      <c r="AV28" s="187"/>
      <c r="AW28" s="249" t="str">
        <f>IF(COUNTBLANK(AS28:AV28)=4,"",SUM(AS28:AU28)+IF(Setup!$I$15="No",0,AV28))</f>
        <v/>
      </c>
      <c r="AX28" s="198"/>
      <c r="AY28" s="199"/>
      <c r="AZ28" s="200"/>
      <c r="BA28" s="201"/>
      <c r="BB28" s="253" t="str">
        <f>IF(COUNTBLANK(AX28:BA28)=4,"",SUM(AX28:AZ28)+IF(Setup!$I$15="No",0,BA28))</f>
        <v/>
      </c>
      <c r="BC28" s="257">
        <f ca="1">IF('Demand background (hide)'!A19=Num_Modalities,"",SUM(Demand!I28))</f>
        <v>63</v>
      </c>
      <c r="BD28" s="257">
        <f ca="1">IF(AND(A28&lt;=MaxRows,BE28&lt;&gt;"Yes"),'Demand background (hide)'!X19+IF(Setup!$I$15="Yes",'Demand background (hide)'!AJ19,0),"")</f>
        <v>126</v>
      </c>
      <c r="BE28" s="207"/>
    </row>
    <row r="29" spans="1:57" x14ac:dyDescent="0.25">
      <c r="A29">
        <f t="shared" ca="1" si="0"/>
        <v>17</v>
      </c>
      <c r="B29" s="260" t="str">
        <f t="shared" ca="1" si="1"/>
        <v xml:space="preserve"> </v>
      </c>
      <c r="C29" s="262">
        <f t="shared" ca="1" si="2"/>
        <v>26</v>
      </c>
      <c r="D29" s="350">
        <f t="shared" ca="1" si="3"/>
        <v>44004</v>
      </c>
      <c r="E29" s="184"/>
      <c r="F29" s="185"/>
      <c r="G29" s="186">
        <v>76</v>
      </c>
      <c r="H29" s="187"/>
      <c r="I29" s="249">
        <f>IF(COUNTBLANK(E29:H29)=4,"",SUM(E29:G29)+IF(Setup!$I$15="No",0,H29))</f>
        <v>76</v>
      </c>
      <c r="J29" s="198"/>
      <c r="K29" s="199"/>
      <c r="L29" s="200"/>
      <c r="M29" s="201"/>
      <c r="N29" s="253" t="str">
        <f>IF(COUNTBLANK(J29:M29)=4,"",SUM(J29:L29)+IF(Setup!$I$15="No",0,M29))</f>
        <v/>
      </c>
      <c r="O29" s="184"/>
      <c r="P29" s="185"/>
      <c r="Q29" s="186"/>
      <c r="R29" s="187"/>
      <c r="S29" s="249" t="str">
        <f>IF(COUNTBLANK(O29:R29)=4,"",SUM(O29:Q29)+IF(Setup!$I$15="No",0,R29))</f>
        <v/>
      </c>
      <c r="T29" s="198"/>
      <c r="U29" s="199"/>
      <c r="V29" s="200"/>
      <c r="W29" s="201"/>
      <c r="X29" s="253" t="str">
        <f>IF(COUNTBLANK(T29:W29)=4,"",SUM(T29:V29)+IF(Setup!$I$15="No",0,W29))</f>
        <v/>
      </c>
      <c r="Y29" s="184"/>
      <c r="Z29" s="185"/>
      <c r="AA29" s="186"/>
      <c r="AB29" s="187"/>
      <c r="AC29" s="249" t="str">
        <f>IF(COUNTBLANK(Y29:AB29)=4,"",SUM(Y29:AA29)+IF(Setup!$I$15="No",0,AB29))</f>
        <v/>
      </c>
      <c r="AD29" s="198"/>
      <c r="AE29" s="199"/>
      <c r="AF29" s="200"/>
      <c r="AG29" s="201"/>
      <c r="AH29" s="253" t="str">
        <f>IF(COUNTBLANK(AD29:AG29)=4,"",SUM(AD29:AF29)+IF(Setup!$I$15="No",0,AG29))</f>
        <v/>
      </c>
      <c r="AI29" s="184"/>
      <c r="AJ29" s="185"/>
      <c r="AK29" s="186"/>
      <c r="AL29" s="187"/>
      <c r="AM29" s="249" t="str">
        <f>IF(COUNTBLANK(AI29:AL29)=4,"",SUM(AI29:AK29)+IF(Setup!$I$15="No",0,AL29))</f>
        <v/>
      </c>
      <c r="AN29" s="198"/>
      <c r="AO29" s="199"/>
      <c r="AP29" s="200"/>
      <c r="AQ29" s="201"/>
      <c r="AR29" s="253" t="str">
        <f>IF(COUNTBLANK(AN29:AQ29)=4,"",SUM(AN29:AP29)+IF(Setup!$I$15="No",0,AQ29))</f>
        <v/>
      </c>
      <c r="AS29" s="184"/>
      <c r="AT29" s="185"/>
      <c r="AU29" s="186"/>
      <c r="AV29" s="187"/>
      <c r="AW29" s="249" t="str">
        <f>IF(COUNTBLANK(AS29:AV29)=4,"",SUM(AS29:AU29)+IF(Setup!$I$15="No",0,AV29))</f>
        <v/>
      </c>
      <c r="AX29" s="198"/>
      <c r="AY29" s="199"/>
      <c r="AZ29" s="200"/>
      <c r="BA29" s="201"/>
      <c r="BB29" s="253" t="str">
        <f>IF(COUNTBLANK(AX29:BA29)=4,"",SUM(AX29:AZ29)+IF(Setup!$I$15="No",0,BA29))</f>
        <v/>
      </c>
      <c r="BC29" s="257">
        <f ca="1">IF('Demand background (hide)'!A20=Num_Modalities,"",SUM(Demand!I29))</f>
        <v>76</v>
      </c>
      <c r="BD29" s="257">
        <f ca="1">IF(AND(A29&lt;=MaxRows,BE29&lt;&gt;"Yes"),'Demand background (hide)'!X20+IF(Setup!$I$15="Yes",'Demand background (hide)'!AJ20,0),"")</f>
        <v>152</v>
      </c>
      <c r="BE29" s="207"/>
    </row>
    <row r="30" spans="1:57" x14ac:dyDescent="0.25">
      <c r="A30">
        <f t="shared" ca="1" si="0"/>
        <v>18</v>
      </c>
      <c r="B30" s="260" t="str">
        <f t="shared" ca="1" si="1"/>
        <v xml:space="preserve"> </v>
      </c>
      <c r="C30" s="262">
        <f t="shared" ca="1" si="2"/>
        <v>27</v>
      </c>
      <c r="D30" s="350">
        <f t="shared" ca="1" si="3"/>
        <v>44011</v>
      </c>
      <c r="E30" s="184"/>
      <c r="F30" s="185"/>
      <c r="G30" s="186">
        <v>64</v>
      </c>
      <c r="H30" s="187"/>
      <c r="I30" s="249">
        <f>IF(COUNTBLANK(E30:H30)=4,"",SUM(E30:G30)+IF(Setup!$I$15="No",0,H30))</f>
        <v>64</v>
      </c>
      <c r="J30" s="198"/>
      <c r="K30" s="199"/>
      <c r="L30" s="200"/>
      <c r="M30" s="201"/>
      <c r="N30" s="253" t="str">
        <f>IF(COUNTBLANK(J30:M30)=4,"",SUM(J30:L30)+IF(Setup!$I$15="No",0,M30))</f>
        <v/>
      </c>
      <c r="O30" s="184"/>
      <c r="P30" s="185"/>
      <c r="Q30" s="186"/>
      <c r="R30" s="187"/>
      <c r="S30" s="249" t="str">
        <f>IF(COUNTBLANK(O30:R30)=4,"",SUM(O30:Q30)+IF(Setup!$I$15="No",0,R30))</f>
        <v/>
      </c>
      <c r="T30" s="198"/>
      <c r="U30" s="199"/>
      <c r="V30" s="200"/>
      <c r="W30" s="201"/>
      <c r="X30" s="253" t="str">
        <f>IF(COUNTBLANK(T30:W30)=4,"",SUM(T30:V30)+IF(Setup!$I$15="No",0,W30))</f>
        <v/>
      </c>
      <c r="Y30" s="184"/>
      <c r="Z30" s="185"/>
      <c r="AA30" s="186"/>
      <c r="AB30" s="187"/>
      <c r="AC30" s="249" t="str">
        <f>IF(COUNTBLANK(Y30:AB30)=4,"",SUM(Y30:AA30)+IF(Setup!$I$15="No",0,AB30))</f>
        <v/>
      </c>
      <c r="AD30" s="198"/>
      <c r="AE30" s="199"/>
      <c r="AF30" s="200"/>
      <c r="AG30" s="201"/>
      <c r="AH30" s="253" t="str">
        <f>IF(COUNTBLANK(AD30:AG30)=4,"",SUM(AD30:AF30)+IF(Setup!$I$15="No",0,AG30))</f>
        <v/>
      </c>
      <c r="AI30" s="184"/>
      <c r="AJ30" s="185"/>
      <c r="AK30" s="186"/>
      <c r="AL30" s="187"/>
      <c r="AM30" s="249" t="str">
        <f>IF(COUNTBLANK(AI30:AL30)=4,"",SUM(AI30:AK30)+IF(Setup!$I$15="No",0,AL30))</f>
        <v/>
      </c>
      <c r="AN30" s="198"/>
      <c r="AO30" s="199"/>
      <c r="AP30" s="200"/>
      <c r="AQ30" s="201"/>
      <c r="AR30" s="253" t="str">
        <f>IF(COUNTBLANK(AN30:AQ30)=4,"",SUM(AN30:AP30)+IF(Setup!$I$15="No",0,AQ30))</f>
        <v/>
      </c>
      <c r="AS30" s="184"/>
      <c r="AT30" s="185"/>
      <c r="AU30" s="186"/>
      <c r="AV30" s="187"/>
      <c r="AW30" s="249" t="str">
        <f>IF(COUNTBLANK(AS30:AV30)=4,"",SUM(AS30:AU30)+IF(Setup!$I$15="No",0,AV30))</f>
        <v/>
      </c>
      <c r="AX30" s="198"/>
      <c r="AY30" s="199"/>
      <c r="AZ30" s="200"/>
      <c r="BA30" s="201"/>
      <c r="BB30" s="253" t="str">
        <f>IF(COUNTBLANK(AX30:BA30)=4,"",SUM(AX30:AZ30)+IF(Setup!$I$15="No",0,BA30))</f>
        <v/>
      </c>
      <c r="BC30" s="257">
        <f ca="1">IF('Demand background (hide)'!A21=Num_Modalities,"",SUM(Demand!I30))</f>
        <v>64</v>
      </c>
      <c r="BD30" s="257">
        <f ca="1">IF(AND(A30&lt;=MaxRows,BE30&lt;&gt;"Yes"),'Demand background (hide)'!X21+IF(Setup!$I$15="Yes",'Demand background (hide)'!AJ21,0),"")</f>
        <v>128</v>
      </c>
      <c r="BE30" s="207"/>
    </row>
    <row r="31" spans="1:57" x14ac:dyDescent="0.25">
      <c r="A31">
        <f t="shared" ca="1" si="0"/>
        <v>19</v>
      </c>
      <c r="B31" s="260" t="str">
        <f t="shared" ca="1" si="1"/>
        <v xml:space="preserve"> </v>
      </c>
      <c r="C31" s="262">
        <f t="shared" ca="1" si="2"/>
        <v>28</v>
      </c>
      <c r="D31" s="350">
        <f t="shared" ca="1" si="3"/>
        <v>44018</v>
      </c>
      <c r="E31" s="184"/>
      <c r="F31" s="185"/>
      <c r="G31" s="186">
        <v>76</v>
      </c>
      <c r="H31" s="187"/>
      <c r="I31" s="249">
        <f>IF(COUNTBLANK(E31:H31)=4,"",SUM(E31:G31)+IF(Setup!$I$15="No",0,H31))</f>
        <v>76</v>
      </c>
      <c r="J31" s="198"/>
      <c r="K31" s="199"/>
      <c r="L31" s="200"/>
      <c r="M31" s="201"/>
      <c r="N31" s="253" t="str">
        <f>IF(COUNTBLANK(J31:M31)=4,"",SUM(J31:L31)+IF(Setup!$I$15="No",0,M31))</f>
        <v/>
      </c>
      <c r="O31" s="184"/>
      <c r="P31" s="185"/>
      <c r="Q31" s="186"/>
      <c r="R31" s="187"/>
      <c r="S31" s="249" t="str">
        <f>IF(COUNTBLANK(O31:R31)=4,"",SUM(O31:Q31)+IF(Setup!$I$15="No",0,R31))</f>
        <v/>
      </c>
      <c r="T31" s="198"/>
      <c r="U31" s="199"/>
      <c r="V31" s="200"/>
      <c r="W31" s="201"/>
      <c r="X31" s="253" t="str">
        <f>IF(COUNTBLANK(T31:W31)=4,"",SUM(T31:V31)+IF(Setup!$I$15="No",0,W31))</f>
        <v/>
      </c>
      <c r="Y31" s="184"/>
      <c r="Z31" s="185"/>
      <c r="AA31" s="186"/>
      <c r="AB31" s="187"/>
      <c r="AC31" s="249" t="str">
        <f>IF(COUNTBLANK(Y31:AB31)=4,"",SUM(Y31:AA31)+IF(Setup!$I$15="No",0,AB31))</f>
        <v/>
      </c>
      <c r="AD31" s="198"/>
      <c r="AE31" s="199"/>
      <c r="AF31" s="200"/>
      <c r="AG31" s="201"/>
      <c r="AH31" s="253" t="str">
        <f>IF(COUNTBLANK(AD31:AG31)=4,"",SUM(AD31:AF31)+IF(Setup!$I$15="No",0,AG31))</f>
        <v/>
      </c>
      <c r="AI31" s="184"/>
      <c r="AJ31" s="185"/>
      <c r="AK31" s="186"/>
      <c r="AL31" s="187"/>
      <c r="AM31" s="249" t="str">
        <f>IF(COUNTBLANK(AI31:AL31)=4,"",SUM(AI31:AK31)+IF(Setup!$I$15="No",0,AL31))</f>
        <v/>
      </c>
      <c r="AN31" s="198"/>
      <c r="AO31" s="199"/>
      <c r="AP31" s="200"/>
      <c r="AQ31" s="201"/>
      <c r="AR31" s="253" t="str">
        <f>IF(COUNTBLANK(AN31:AQ31)=4,"",SUM(AN31:AP31)+IF(Setup!$I$15="No",0,AQ31))</f>
        <v/>
      </c>
      <c r="AS31" s="184"/>
      <c r="AT31" s="185"/>
      <c r="AU31" s="186"/>
      <c r="AV31" s="187"/>
      <c r="AW31" s="249" t="str">
        <f>IF(COUNTBLANK(AS31:AV31)=4,"",SUM(AS31:AU31)+IF(Setup!$I$15="No",0,AV31))</f>
        <v/>
      </c>
      <c r="AX31" s="198"/>
      <c r="AY31" s="199"/>
      <c r="AZ31" s="200"/>
      <c r="BA31" s="201"/>
      <c r="BB31" s="253" t="str">
        <f>IF(COUNTBLANK(AX31:BA31)=4,"",SUM(AX31:AZ31)+IF(Setup!$I$15="No",0,BA31))</f>
        <v/>
      </c>
      <c r="BC31" s="257">
        <f ca="1">IF('Demand background (hide)'!A22=Num_Modalities,"",SUM(Demand!I31))</f>
        <v>76</v>
      </c>
      <c r="BD31" s="257">
        <f ca="1">IF(AND(A31&lt;=MaxRows,BE31&lt;&gt;"Yes"),'Demand background (hide)'!X22+IF(Setup!$I$15="Yes",'Demand background (hide)'!AJ22,0),"")</f>
        <v>152</v>
      </c>
      <c r="BE31" s="207"/>
    </row>
    <row r="32" spans="1:57" x14ac:dyDescent="0.25">
      <c r="A32">
        <f t="shared" ca="1" si="0"/>
        <v>20</v>
      </c>
      <c r="B32" s="260" t="str">
        <f t="shared" ca="1" si="1"/>
        <v xml:space="preserve"> </v>
      </c>
      <c r="C32" s="262">
        <f t="shared" ca="1" si="2"/>
        <v>29</v>
      </c>
      <c r="D32" s="350">
        <f t="shared" ca="1" si="3"/>
        <v>44025</v>
      </c>
      <c r="E32" s="184"/>
      <c r="F32" s="185"/>
      <c r="G32" s="186">
        <v>69</v>
      </c>
      <c r="H32" s="187"/>
      <c r="I32" s="249">
        <f>IF(COUNTBLANK(E32:H32)=4,"",SUM(E32:G32)+IF(Setup!$I$15="No",0,H32))</f>
        <v>69</v>
      </c>
      <c r="J32" s="198"/>
      <c r="K32" s="199"/>
      <c r="L32" s="200"/>
      <c r="M32" s="201"/>
      <c r="N32" s="253" t="str">
        <f>IF(COUNTBLANK(J32:M32)=4,"",SUM(J32:L32)+IF(Setup!$I$15="No",0,M32))</f>
        <v/>
      </c>
      <c r="O32" s="184"/>
      <c r="P32" s="185"/>
      <c r="Q32" s="186"/>
      <c r="R32" s="187"/>
      <c r="S32" s="249" t="str">
        <f>IF(COUNTBLANK(O32:R32)=4,"",SUM(O32:Q32)+IF(Setup!$I$15="No",0,R32))</f>
        <v/>
      </c>
      <c r="T32" s="198"/>
      <c r="U32" s="199"/>
      <c r="V32" s="200"/>
      <c r="W32" s="201"/>
      <c r="X32" s="253" t="str">
        <f>IF(COUNTBLANK(T32:W32)=4,"",SUM(T32:V32)+IF(Setup!$I$15="No",0,W32))</f>
        <v/>
      </c>
      <c r="Y32" s="184"/>
      <c r="Z32" s="185"/>
      <c r="AA32" s="186"/>
      <c r="AB32" s="187"/>
      <c r="AC32" s="249" t="str">
        <f>IF(COUNTBLANK(Y32:AB32)=4,"",SUM(Y32:AA32)+IF(Setup!$I$15="No",0,AB32))</f>
        <v/>
      </c>
      <c r="AD32" s="198"/>
      <c r="AE32" s="199"/>
      <c r="AF32" s="200"/>
      <c r="AG32" s="201"/>
      <c r="AH32" s="253" t="str">
        <f>IF(COUNTBLANK(AD32:AG32)=4,"",SUM(AD32:AF32)+IF(Setup!$I$15="No",0,AG32))</f>
        <v/>
      </c>
      <c r="AI32" s="184"/>
      <c r="AJ32" s="185"/>
      <c r="AK32" s="186"/>
      <c r="AL32" s="187"/>
      <c r="AM32" s="249" t="str">
        <f>IF(COUNTBLANK(AI32:AL32)=4,"",SUM(AI32:AK32)+IF(Setup!$I$15="No",0,AL32))</f>
        <v/>
      </c>
      <c r="AN32" s="198"/>
      <c r="AO32" s="199"/>
      <c r="AP32" s="200"/>
      <c r="AQ32" s="201"/>
      <c r="AR32" s="253" t="str">
        <f>IF(COUNTBLANK(AN32:AQ32)=4,"",SUM(AN32:AP32)+IF(Setup!$I$15="No",0,AQ32))</f>
        <v/>
      </c>
      <c r="AS32" s="184"/>
      <c r="AT32" s="185"/>
      <c r="AU32" s="186"/>
      <c r="AV32" s="187"/>
      <c r="AW32" s="249" t="str">
        <f>IF(COUNTBLANK(AS32:AV32)=4,"",SUM(AS32:AU32)+IF(Setup!$I$15="No",0,AV32))</f>
        <v/>
      </c>
      <c r="AX32" s="198"/>
      <c r="AY32" s="199"/>
      <c r="AZ32" s="200"/>
      <c r="BA32" s="201"/>
      <c r="BB32" s="253" t="str">
        <f>IF(COUNTBLANK(AX32:BA32)=4,"",SUM(AX32:AZ32)+IF(Setup!$I$15="No",0,BA32))</f>
        <v/>
      </c>
      <c r="BC32" s="257">
        <f ca="1">IF('Demand background (hide)'!A23=Num_Modalities,"",SUM(Demand!I32))</f>
        <v>69</v>
      </c>
      <c r="BD32" s="257">
        <f ca="1">IF(AND(A32&lt;=MaxRows,BE32&lt;&gt;"Yes"),'Demand background (hide)'!X23+IF(Setup!$I$15="Yes",'Demand background (hide)'!AJ23,0),"")</f>
        <v>138</v>
      </c>
      <c r="BE32" s="207"/>
    </row>
    <row r="33" spans="1:57" x14ac:dyDescent="0.25">
      <c r="A33">
        <f t="shared" ca="1" si="0"/>
        <v>21</v>
      </c>
      <c r="B33" s="260" t="str">
        <f t="shared" ca="1" si="1"/>
        <v xml:space="preserve"> </v>
      </c>
      <c r="C33" s="262">
        <f t="shared" ca="1" si="2"/>
        <v>30</v>
      </c>
      <c r="D33" s="350">
        <f t="shared" ca="1" si="3"/>
        <v>44032</v>
      </c>
      <c r="E33" s="184"/>
      <c r="F33" s="185"/>
      <c r="G33" s="186">
        <v>80</v>
      </c>
      <c r="H33" s="187"/>
      <c r="I33" s="249">
        <f>IF(COUNTBLANK(E33:H33)=4,"",SUM(E33:G33)+IF(Setup!$I$15="No",0,H33))</f>
        <v>80</v>
      </c>
      <c r="J33" s="198"/>
      <c r="K33" s="199"/>
      <c r="L33" s="200"/>
      <c r="M33" s="201"/>
      <c r="N33" s="253" t="str">
        <f>IF(COUNTBLANK(J33:M33)=4,"",SUM(J33:L33)+IF(Setup!$I$15="No",0,M33))</f>
        <v/>
      </c>
      <c r="O33" s="184"/>
      <c r="P33" s="185"/>
      <c r="Q33" s="186"/>
      <c r="R33" s="187"/>
      <c r="S33" s="249" t="str">
        <f>IF(COUNTBLANK(O33:R33)=4,"",SUM(O33:Q33)+IF(Setup!$I$15="No",0,R33))</f>
        <v/>
      </c>
      <c r="T33" s="198"/>
      <c r="U33" s="199"/>
      <c r="V33" s="200"/>
      <c r="W33" s="201"/>
      <c r="X33" s="253" t="str">
        <f>IF(COUNTBLANK(T33:W33)=4,"",SUM(T33:V33)+IF(Setup!$I$15="No",0,W33))</f>
        <v/>
      </c>
      <c r="Y33" s="184"/>
      <c r="Z33" s="185"/>
      <c r="AA33" s="186"/>
      <c r="AB33" s="187"/>
      <c r="AC33" s="249" t="str">
        <f>IF(COUNTBLANK(Y33:AB33)=4,"",SUM(Y33:AA33)+IF(Setup!$I$15="No",0,AB33))</f>
        <v/>
      </c>
      <c r="AD33" s="198"/>
      <c r="AE33" s="199"/>
      <c r="AF33" s="200"/>
      <c r="AG33" s="201"/>
      <c r="AH33" s="253" t="str">
        <f>IF(COUNTBLANK(AD33:AG33)=4,"",SUM(AD33:AF33)+IF(Setup!$I$15="No",0,AG33))</f>
        <v/>
      </c>
      <c r="AI33" s="184"/>
      <c r="AJ33" s="185"/>
      <c r="AK33" s="186"/>
      <c r="AL33" s="187"/>
      <c r="AM33" s="249" t="str">
        <f>IF(COUNTBLANK(AI33:AL33)=4,"",SUM(AI33:AK33)+IF(Setup!$I$15="No",0,AL33))</f>
        <v/>
      </c>
      <c r="AN33" s="198"/>
      <c r="AO33" s="199"/>
      <c r="AP33" s="200"/>
      <c r="AQ33" s="201"/>
      <c r="AR33" s="253" t="str">
        <f>IF(COUNTBLANK(AN33:AQ33)=4,"",SUM(AN33:AP33)+IF(Setup!$I$15="No",0,AQ33))</f>
        <v/>
      </c>
      <c r="AS33" s="184"/>
      <c r="AT33" s="185"/>
      <c r="AU33" s="186"/>
      <c r="AV33" s="187"/>
      <c r="AW33" s="249" t="str">
        <f>IF(COUNTBLANK(AS33:AV33)=4,"",SUM(AS33:AU33)+IF(Setup!$I$15="No",0,AV33))</f>
        <v/>
      </c>
      <c r="AX33" s="198"/>
      <c r="AY33" s="199"/>
      <c r="AZ33" s="200"/>
      <c r="BA33" s="201"/>
      <c r="BB33" s="253" t="str">
        <f>IF(COUNTBLANK(AX33:BA33)=4,"",SUM(AX33:AZ33)+IF(Setup!$I$15="No",0,BA33))</f>
        <v/>
      </c>
      <c r="BC33" s="257">
        <f ca="1">IF('Demand background (hide)'!A24=Num_Modalities,"",SUM(Demand!I33))</f>
        <v>80</v>
      </c>
      <c r="BD33" s="257">
        <f ca="1">IF(AND(A33&lt;=MaxRows,BE33&lt;&gt;"Yes"),'Demand background (hide)'!X24+IF(Setup!$I$15="Yes",'Demand background (hide)'!AJ24,0),"")</f>
        <v>160</v>
      </c>
      <c r="BE33" s="207"/>
    </row>
    <row r="34" spans="1:57" x14ac:dyDescent="0.25">
      <c r="A34">
        <f t="shared" ca="1" si="0"/>
        <v>22</v>
      </c>
      <c r="B34" s="260" t="str">
        <f t="shared" ca="1" si="1"/>
        <v xml:space="preserve"> </v>
      </c>
      <c r="C34" s="262">
        <f t="shared" ca="1" si="2"/>
        <v>31</v>
      </c>
      <c r="D34" s="350">
        <f t="shared" ca="1" si="3"/>
        <v>44039</v>
      </c>
      <c r="E34" s="184"/>
      <c r="F34" s="185"/>
      <c r="G34" s="186">
        <v>73</v>
      </c>
      <c r="H34" s="187"/>
      <c r="I34" s="249">
        <f>IF(COUNTBLANK(E34:H34)=4,"",SUM(E34:G34)+IF(Setup!$I$15="No",0,H34))</f>
        <v>73</v>
      </c>
      <c r="J34" s="198"/>
      <c r="K34" s="199"/>
      <c r="L34" s="200"/>
      <c r="M34" s="201"/>
      <c r="N34" s="253" t="str">
        <f>IF(COUNTBLANK(J34:M34)=4,"",SUM(J34:L34)+IF(Setup!$I$15="No",0,M34))</f>
        <v/>
      </c>
      <c r="O34" s="184"/>
      <c r="P34" s="185"/>
      <c r="Q34" s="186"/>
      <c r="R34" s="187"/>
      <c r="S34" s="249" t="str">
        <f>IF(COUNTBLANK(O34:R34)=4,"",SUM(O34:Q34)+IF(Setup!$I$15="No",0,R34))</f>
        <v/>
      </c>
      <c r="T34" s="198"/>
      <c r="U34" s="199"/>
      <c r="V34" s="200"/>
      <c r="W34" s="201"/>
      <c r="X34" s="253" t="str">
        <f>IF(COUNTBLANK(T34:W34)=4,"",SUM(T34:V34)+IF(Setup!$I$15="No",0,W34))</f>
        <v/>
      </c>
      <c r="Y34" s="184"/>
      <c r="Z34" s="185"/>
      <c r="AA34" s="186"/>
      <c r="AB34" s="187"/>
      <c r="AC34" s="249" t="str">
        <f>IF(COUNTBLANK(Y34:AB34)=4,"",SUM(Y34:AA34)+IF(Setup!$I$15="No",0,AB34))</f>
        <v/>
      </c>
      <c r="AD34" s="198"/>
      <c r="AE34" s="199"/>
      <c r="AF34" s="200"/>
      <c r="AG34" s="201"/>
      <c r="AH34" s="253" t="str">
        <f>IF(COUNTBLANK(AD34:AG34)=4,"",SUM(AD34:AF34)+IF(Setup!$I$15="No",0,AG34))</f>
        <v/>
      </c>
      <c r="AI34" s="184"/>
      <c r="AJ34" s="185"/>
      <c r="AK34" s="186"/>
      <c r="AL34" s="187"/>
      <c r="AM34" s="249" t="str">
        <f>IF(COUNTBLANK(AI34:AL34)=4,"",SUM(AI34:AK34)+IF(Setup!$I$15="No",0,AL34))</f>
        <v/>
      </c>
      <c r="AN34" s="198"/>
      <c r="AO34" s="199"/>
      <c r="AP34" s="200"/>
      <c r="AQ34" s="201"/>
      <c r="AR34" s="253" t="str">
        <f>IF(COUNTBLANK(AN34:AQ34)=4,"",SUM(AN34:AP34)+IF(Setup!$I$15="No",0,AQ34))</f>
        <v/>
      </c>
      <c r="AS34" s="184"/>
      <c r="AT34" s="185"/>
      <c r="AU34" s="186"/>
      <c r="AV34" s="187"/>
      <c r="AW34" s="249" t="str">
        <f>IF(COUNTBLANK(AS34:AV34)=4,"",SUM(AS34:AU34)+IF(Setup!$I$15="No",0,AV34))</f>
        <v/>
      </c>
      <c r="AX34" s="198"/>
      <c r="AY34" s="199"/>
      <c r="AZ34" s="200"/>
      <c r="BA34" s="201"/>
      <c r="BB34" s="253" t="str">
        <f>IF(COUNTBLANK(AX34:BA34)=4,"",SUM(AX34:AZ34)+IF(Setup!$I$15="No",0,BA34))</f>
        <v/>
      </c>
      <c r="BC34" s="257">
        <f ca="1">IF('Demand background (hide)'!A25=Num_Modalities,"",SUM(Demand!I34))</f>
        <v>73</v>
      </c>
      <c r="BD34" s="257">
        <f ca="1">IF(AND(A34&lt;=MaxRows,BE34&lt;&gt;"Yes"),'Demand background (hide)'!X25+IF(Setup!$I$15="Yes",'Demand background (hide)'!AJ25,0),"")</f>
        <v>146</v>
      </c>
      <c r="BE34" s="207"/>
    </row>
    <row r="35" spans="1:57" x14ac:dyDescent="0.25">
      <c r="A35">
        <f t="shared" ca="1" si="0"/>
        <v>23</v>
      </c>
      <c r="B35" s="260" t="str">
        <f t="shared" ca="1" si="1"/>
        <v xml:space="preserve"> </v>
      </c>
      <c r="C35" s="262">
        <f t="shared" ca="1" si="2"/>
        <v>32</v>
      </c>
      <c r="D35" s="350">
        <f t="shared" ca="1" si="3"/>
        <v>44046</v>
      </c>
      <c r="E35" s="184"/>
      <c r="F35" s="185"/>
      <c r="G35" s="186">
        <v>74</v>
      </c>
      <c r="H35" s="187"/>
      <c r="I35" s="249">
        <f>IF(COUNTBLANK(E35:H35)=4,"",SUM(E35:G35)+IF(Setup!$I$15="No",0,H35))</f>
        <v>74</v>
      </c>
      <c r="J35" s="198"/>
      <c r="K35" s="199"/>
      <c r="L35" s="200"/>
      <c r="M35" s="201"/>
      <c r="N35" s="253" t="str">
        <f>IF(COUNTBLANK(J35:M35)=4,"",SUM(J35:L35)+IF(Setup!$I$15="No",0,M35))</f>
        <v/>
      </c>
      <c r="O35" s="184"/>
      <c r="P35" s="185"/>
      <c r="Q35" s="186"/>
      <c r="R35" s="187"/>
      <c r="S35" s="249" t="str">
        <f>IF(COUNTBLANK(O35:R35)=4,"",SUM(O35:Q35)+IF(Setup!$I$15="No",0,R35))</f>
        <v/>
      </c>
      <c r="T35" s="198"/>
      <c r="U35" s="199"/>
      <c r="V35" s="200"/>
      <c r="W35" s="201"/>
      <c r="X35" s="253" t="str">
        <f>IF(COUNTBLANK(T35:W35)=4,"",SUM(T35:V35)+IF(Setup!$I$15="No",0,W35))</f>
        <v/>
      </c>
      <c r="Y35" s="184"/>
      <c r="Z35" s="185"/>
      <c r="AA35" s="186"/>
      <c r="AB35" s="187"/>
      <c r="AC35" s="249" t="str">
        <f>IF(COUNTBLANK(Y35:AB35)=4,"",SUM(Y35:AA35)+IF(Setup!$I$15="No",0,AB35))</f>
        <v/>
      </c>
      <c r="AD35" s="198"/>
      <c r="AE35" s="199"/>
      <c r="AF35" s="200"/>
      <c r="AG35" s="201"/>
      <c r="AH35" s="253" t="str">
        <f>IF(COUNTBLANK(AD35:AG35)=4,"",SUM(AD35:AF35)+IF(Setup!$I$15="No",0,AG35))</f>
        <v/>
      </c>
      <c r="AI35" s="184"/>
      <c r="AJ35" s="185"/>
      <c r="AK35" s="186"/>
      <c r="AL35" s="187"/>
      <c r="AM35" s="249" t="str">
        <f>IF(COUNTBLANK(AI35:AL35)=4,"",SUM(AI35:AK35)+IF(Setup!$I$15="No",0,AL35))</f>
        <v/>
      </c>
      <c r="AN35" s="198"/>
      <c r="AO35" s="199"/>
      <c r="AP35" s="200"/>
      <c r="AQ35" s="201"/>
      <c r="AR35" s="253" t="str">
        <f>IF(COUNTBLANK(AN35:AQ35)=4,"",SUM(AN35:AP35)+IF(Setup!$I$15="No",0,AQ35))</f>
        <v/>
      </c>
      <c r="AS35" s="184"/>
      <c r="AT35" s="185"/>
      <c r="AU35" s="186"/>
      <c r="AV35" s="187"/>
      <c r="AW35" s="249" t="str">
        <f>IF(COUNTBLANK(AS35:AV35)=4,"",SUM(AS35:AU35)+IF(Setup!$I$15="No",0,AV35))</f>
        <v/>
      </c>
      <c r="AX35" s="198"/>
      <c r="AY35" s="199"/>
      <c r="AZ35" s="200"/>
      <c r="BA35" s="201"/>
      <c r="BB35" s="253" t="str">
        <f>IF(COUNTBLANK(AX35:BA35)=4,"",SUM(AX35:AZ35)+IF(Setup!$I$15="No",0,BA35))</f>
        <v/>
      </c>
      <c r="BC35" s="257">
        <f ca="1">IF('Demand background (hide)'!A26=Num_Modalities,"",SUM(Demand!I35))</f>
        <v>74</v>
      </c>
      <c r="BD35" s="257">
        <f ca="1">IF(AND(A35&lt;=MaxRows,BE35&lt;&gt;"Yes"),'Demand background (hide)'!X26+IF(Setup!$I$15="Yes",'Demand background (hide)'!AJ26,0),"")</f>
        <v>148</v>
      </c>
      <c r="BE35" s="207"/>
    </row>
    <row r="36" spans="1:57" x14ac:dyDescent="0.25">
      <c r="A36">
        <f t="shared" ca="1" si="0"/>
        <v>24</v>
      </c>
      <c r="B36" s="260" t="str">
        <f t="shared" ca="1" si="1"/>
        <v xml:space="preserve"> </v>
      </c>
      <c r="C36" s="262">
        <f t="shared" ca="1" si="2"/>
        <v>33</v>
      </c>
      <c r="D36" s="350">
        <f t="shared" ca="1" si="3"/>
        <v>44053</v>
      </c>
      <c r="E36" s="184"/>
      <c r="F36" s="185"/>
      <c r="G36" s="186">
        <v>65</v>
      </c>
      <c r="H36" s="187"/>
      <c r="I36" s="249">
        <f>IF(COUNTBLANK(E36:H36)=4,"",SUM(E36:G36)+IF(Setup!$I$15="No",0,H36))</f>
        <v>65</v>
      </c>
      <c r="J36" s="198"/>
      <c r="K36" s="199"/>
      <c r="L36" s="200"/>
      <c r="M36" s="201"/>
      <c r="N36" s="253" t="str">
        <f>IF(COUNTBLANK(J36:M36)=4,"",SUM(J36:L36)+IF(Setup!$I$15="No",0,M36))</f>
        <v/>
      </c>
      <c r="O36" s="184"/>
      <c r="P36" s="185"/>
      <c r="Q36" s="186"/>
      <c r="R36" s="187"/>
      <c r="S36" s="249" t="str">
        <f>IF(COUNTBLANK(O36:R36)=4,"",SUM(O36:Q36)+IF(Setup!$I$15="No",0,R36))</f>
        <v/>
      </c>
      <c r="T36" s="198"/>
      <c r="U36" s="199"/>
      <c r="V36" s="200"/>
      <c r="W36" s="201"/>
      <c r="X36" s="253" t="str">
        <f>IF(COUNTBLANK(T36:W36)=4,"",SUM(T36:V36)+IF(Setup!$I$15="No",0,W36))</f>
        <v/>
      </c>
      <c r="Y36" s="184"/>
      <c r="Z36" s="185"/>
      <c r="AA36" s="186"/>
      <c r="AB36" s="187"/>
      <c r="AC36" s="249" t="str">
        <f>IF(COUNTBLANK(Y36:AB36)=4,"",SUM(Y36:AA36)+IF(Setup!$I$15="No",0,AB36))</f>
        <v/>
      </c>
      <c r="AD36" s="198"/>
      <c r="AE36" s="199"/>
      <c r="AF36" s="200"/>
      <c r="AG36" s="201"/>
      <c r="AH36" s="253" t="str">
        <f>IF(COUNTBLANK(AD36:AG36)=4,"",SUM(AD36:AF36)+IF(Setup!$I$15="No",0,AG36))</f>
        <v/>
      </c>
      <c r="AI36" s="184"/>
      <c r="AJ36" s="185"/>
      <c r="AK36" s="186"/>
      <c r="AL36" s="187"/>
      <c r="AM36" s="249" t="str">
        <f>IF(COUNTBLANK(AI36:AL36)=4,"",SUM(AI36:AK36)+IF(Setup!$I$15="No",0,AL36))</f>
        <v/>
      </c>
      <c r="AN36" s="198"/>
      <c r="AO36" s="199"/>
      <c r="AP36" s="200"/>
      <c r="AQ36" s="201"/>
      <c r="AR36" s="253" t="str">
        <f>IF(COUNTBLANK(AN36:AQ36)=4,"",SUM(AN36:AP36)+IF(Setup!$I$15="No",0,AQ36))</f>
        <v/>
      </c>
      <c r="AS36" s="184"/>
      <c r="AT36" s="185"/>
      <c r="AU36" s="186"/>
      <c r="AV36" s="187"/>
      <c r="AW36" s="249" t="str">
        <f>IF(COUNTBLANK(AS36:AV36)=4,"",SUM(AS36:AU36)+IF(Setup!$I$15="No",0,AV36))</f>
        <v/>
      </c>
      <c r="AX36" s="198"/>
      <c r="AY36" s="199"/>
      <c r="AZ36" s="200"/>
      <c r="BA36" s="201"/>
      <c r="BB36" s="253" t="str">
        <f>IF(COUNTBLANK(AX36:BA36)=4,"",SUM(AX36:AZ36)+IF(Setup!$I$15="No",0,BA36))</f>
        <v/>
      </c>
      <c r="BC36" s="257">
        <f ca="1">IF('Demand background (hide)'!A27=Num_Modalities,"",SUM(Demand!I36))</f>
        <v>65</v>
      </c>
      <c r="BD36" s="257">
        <f ca="1">IF(AND(A36&lt;=MaxRows,BE36&lt;&gt;"Yes"),'Demand background (hide)'!X27+IF(Setup!$I$15="Yes",'Demand background (hide)'!AJ27,0),"")</f>
        <v>130</v>
      </c>
      <c r="BE36" s="207"/>
    </row>
    <row r="37" spans="1:57" x14ac:dyDescent="0.25">
      <c r="A37">
        <f t="shared" ca="1" si="0"/>
        <v>25</v>
      </c>
      <c r="B37" s="260" t="str">
        <f t="shared" ca="1" si="1"/>
        <v xml:space="preserve"> </v>
      </c>
      <c r="C37" s="262">
        <f t="shared" ca="1" si="2"/>
        <v>34</v>
      </c>
      <c r="D37" s="350">
        <f t="shared" ca="1" si="3"/>
        <v>44060</v>
      </c>
      <c r="E37" s="184"/>
      <c r="F37" s="185"/>
      <c r="G37" s="186">
        <v>65</v>
      </c>
      <c r="H37" s="187"/>
      <c r="I37" s="249">
        <f>IF(COUNTBLANK(E37:H37)=4,"",SUM(E37:G37)+IF(Setup!$I$15="No",0,H37))</f>
        <v>65</v>
      </c>
      <c r="J37" s="198"/>
      <c r="K37" s="199"/>
      <c r="L37" s="200"/>
      <c r="M37" s="201"/>
      <c r="N37" s="253" t="str">
        <f>IF(COUNTBLANK(J37:M37)=4,"",SUM(J37:L37)+IF(Setup!$I$15="No",0,M37))</f>
        <v/>
      </c>
      <c r="O37" s="184"/>
      <c r="P37" s="185"/>
      <c r="Q37" s="186"/>
      <c r="R37" s="187"/>
      <c r="S37" s="249" t="str">
        <f>IF(COUNTBLANK(O37:R37)=4,"",SUM(O37:Q37)+IF(Setup!$I$15="No",0,R37))</f>
        <v/>
      </c>
      <c r="T37" s="198"/>
      <c r="U37" s="199"/>
      <c r="V37" s="200"/>
      <c r="W37" s="201"/>
      <c r="X37" s="253" t="str">
        <f>IF(COUNTBLANK(T37:W37)=4,"",SUM(T37:V37)+IF(Setup!$I$15="No",0,W37))</f>
        <v/>
      </c>
      <c r="Y37" s="184"/>
      <c r="Z37" s="185"/>
      <c r="AA37" s="186"/>
      <c r="AB37" s="187"/>
      <c r="AC37" s="249" t="str">
        <f>IF(COUNTBLANK(Y37:AB37)=4,"",SUM(Y37:AA37)+IF(Setup!$I$15="No",0,AB37))</f>
        <v/>
      </c>
      <c r="AD37" s="198"/>
      <c r="AE37" s="199"/>
      <c r="AF37" s="200"/>
      <c r="AG37" s="201"/>
      <c r="AH37" s="253" t="str">
        <f>IF(COUNTBLANK(AD37:AG37)=4,"",SUM(AD37:AF37)+IF(Setup!$I$15="No",0,AG37))</f>
        <v/>
      </c>
      <c r="AI37" s="184"/>
      <c r="AJ37" s="185"/>
      <c r="AK37" s="186"/>
      <c r="AL37" s="187"/>
      <c r="AM37" s="249" t="str">
        <f>IF(COUNTBLANK(AI37:AL37)=4,"",SUM(AI37:AK37)+IF(Setup!$I$15="No",0,AL37))</f>
        <v/>
      </c>
      <c r="AN37" s="198"/>
      <c r="AO37" s="199"/>
      <c r="AP37" s="200"/>
      <c r="AQ37" s="201"/>
      <c r="AR37" s="253" t="str">
        <f>IF(COUNTBLANK(AN37:AQ37)=4,"",SUM(AN37:AP37)+IF(Setup!$I$15="No",0,AQ37))</f>
        <v/>
      </c>
      <c r="AS37" s="184"/>
      <c r="AT37" s="185"/>
      <c r="AU37" s="186"/>
      <c r="AV37" s="187"/>
      <c r="AW37" s="249" t="str">
        <f>IF(COUNTBLANK(AS37:AV37)=4,"",SUM(AS37:AU37)+IF(Setup!$I$15="No",0,AV37))</f>
        <v/>
      </c>
      <c r="AX37" s="198"/>
      <c r="AY37" s="199"/>
      <c r="AZ37" s="200"/>
      <c r="BA37" s="201"/>
      <c r="BB37" s="253" t="str">
        <f>IF(COUNTBLANK(AX37:BA37)=4,"",SUM(AX37:AZ37)+IF(Setup!$I$15="No",0,BA37))</f>
        <v/>
      </c>
      <c r="BC37" s="257">
        <f ca="1">IF('Demand background (hide)'!A28=Num_Modalities,"",SUM(Demand!I37))</f>
        <v>65</v>
      </c>
      <c r="BD37" s="257">
        <f ca="1">IF(AND(A37&lt;=MaxRows,BE37&lt;&gt;"Yes"),'Demand background (hide)'!X28+IF(Setup!$I$15="Yes",'Demand background (hide)'!AJ28,0),"")</f>
        <v>130</v>
      </c>
      <c r="BE37" s="207"/>
    </row>
    <row r="38" spans="1:57" x14ac:dyDescent="0.25">
      <c r="A38">
        <f t="shared" ca="1" si="0"/>
        <v>26</v>
      </c>
      <c r="B38" s="260" t="str">
        <f t="shared" ca="1" si="1"/>
        <v xml:space="preserve"> </v>
      </c>
      <c r="C38" s="262">
        <f t="shared" ca="1" si="2"/>
        <v>35</v>
      </c>
      <c r="D38" s="350">
        <f t="shared" ca="1" si="3"/>
        <v>44067</v>
      </c>
      <c r="E38" s="184"/>
      <c r="F38" s="185"/>
      <c r="G38" s="186">
        <v>60</v>
      </c>
      <c r="H38" s="187"/>
      <c r="I38" s="249">
        <f>IF(COUNTBLANK(E38:H38)=4,"",SUM(E38:G38)+IF(Setup!$I$15="No",0,H38))</f>
        <v>60</v>
      </c>
      <c r="J38" s="198"/>
      <c r="K38" s="199"/>
      <c r="L38" s="200"/>
      <c r="M38" s="201"/>
      <c r="N38" s="253" t="str">
        <f>IF(COUNTBLANK(J38:M38)=4,"",SUM(J38:L38)+IF(Setup!$I$15="No",0,M38))</f>
        <v/>
      </c>
      <c r="O38" s="184"/>
      <c r="P38" s="185"/>
      <c r="Q38" s="186"/>
      <c r="R38" s="187"/>
      <c r="S38" s="249" t="str">
        <f>IF(COUNTBLANK(O38:R38)=4,"",SUM(O38:Q38)+IF(Setup!$I$15="No",0,R38))</f>
        <v/>
      </c>
      <c r="T38" s="198"/>
      <c r="U38" s="199"/>
      <c r="V38" s="200"/>
      <c r="W38" s="201"/>
      <c r="X38" s="253" t="str">
        <f>IF(COUNTBLANK(T38:W38)=4,"",SUM(T38:V38)+IF(Setup!$I$15="No",0,W38))</f>
        <v/>
      </c>
      <c r="Y38" s="184"/>
      <c r="Z38" s="185"/>
      <c r="AA38" s="186"/>
      <c r="AB38" s="187"/>
      <c r="AC38" s="249" t="str">
        <f>IF(COUNTBLANK(Y38:AB38)=4,"",SUM(Y38:AA38)+IF(Setup!$I$15="No",0,AB38))</f>
        <v/>
      </c>
      <c r="AD38" s="198"/>
      <c r="AE38" s="199"/>
      <c r="AF38" s="200"/>
      <c r="AG38" s="201"/>
      <c r="AH38" s="253" t="str">
        <f>IF(COUNTBLANK(AD38:AG38)=4,"",SUM(AD38:AF38)+IF(Setup!$I$15="No",0,AG38))</f>
        <v/>
      </c>
      <c r="AI38" s="184"/>
      <c r="AJ38" s="185"/>
      <c r="AK38" s="186"/>
      <c r="AL38" s="187"/>
      <c r="AM38" s="249" t="str">
        <f>IF(COUNTBLANK(AI38:AL38)=4,"",SUM(AI38:AK38)+IF(Setup!$I$15="No",0,AL38))</f>
        <v/>
      </c>
      <c r="AN38" s="198"/>
      <c r="AO38" s="199"/>
      <c r="AP38" s="200"/>
      <c r="AQ38" s="201"/>
      <c r="AR38" s="253" t="str">
        <f>IF(COUNTBLANK(AN38:AQ38)=4,"",SUM(AN38:AP38)+IF(Setup!$I$15="No",0,AQ38))</f>
        <v/>
      </c>
      <c r="AS38" s="184"/>
      <c r="AT38" s="185"/>
      <c r="AU38" s="186"/>
      <c r="AV38" s="187"/>
      <c r="AW38" s="249" t="str">
        <f>IF(COUNTBLANK(AS38:AV38)=4,"",SUM(AS38:AU38)+IF(Setup!$I$15="No",0,AV38))</f>
        <v/>
      </c>
      <c r="AX38" s="198"/>
      <c r="AY38" s="199"/>
      <c r="AZ38" s="200"/>
      <c r="BA38" s="201"/>
      <c r="BB38" s="253" t="str">
        <f>IF(COUNTBLANK(AX38:BA38)=4,"",SUM(AX38:AZ38)+IF(Setup!$I$15="No",0,BA38))</f>
        <v/>
      </c>
      <c r="BC38" s="257">
        <f ca="1">IF('Demand background (hide)'!A29=Num_Modalities,"",SUM(Demand!I38))</f>
        <v>60</v>
      </c>
      <c r="BD38" s="257">
        <f ca="1">IF(AND(A38&lt;=MaxRows,BE38&lt;&gt;"Yes"),'Demand background (hide)'!X29+IF(Setup!$I$15="Yes",'Demand background (hide)'!AJ29,0),"")</f>
        <v>120</v>
      </c>
      <c r="BE38" s="207"/>
    </row>
    <row r="39" spans="1:57" x14ac:dyDescent="0.25">
      <c r="A39">
        <f t="shared" ca="1" si="0"/>
        <v>27</v>
      </c>
      <c r="B39" s="260" t="str">
        <f t="shared" ca="1" si="1"/>
        <v xml:space="preserve"> </v>
      </c>
      <c r="C39" s="262">
        <f t="shared" ca="1" si="2"/>
        <v>36</v>
      </c>
      <c r="D39" s="350">
        <f t="shared" ca="1" si="3"/>
        <v>44074</v>
      </c>
      <c r="E39" s="184"/>
      <c r="F39" s="185"/>
      <c r="G39" s="186">
        <v>62</v>
      </c>
      <c r="H39" s="187"/>
      <c r="I39" s="249">
        <f>IF(COUNTBLANK(E39:H39)=4,"",SUM(E39:G39)+IF(Setup!$I$15="No",0,H39))</f>
        <v>62</v>
      </c>
      <c r="J39" s="198"/>
      <c r="K39" s="199"/>
      <c r="L39" s="200"/>
      <c r="M39" s="201"/>
      <c r="N39" s="253" t="str">
        <f>IF(COUNTBLANK(J39:M39)=4,"",SUM(J39:L39)+IF(Setup!$I$15="No",0,M39))</f>
        <v/>
      </c>
      <c r="O39" s="184"/>
      <c r="P39" s="185"/>
      <c r="Q39" s="186"/>
      <c r="R39" s="187"/>
      <c r="S39" s="249" t="str">
        <f>IF(COUNTBLANK(O39:R39)=4,"",SUM(O39:Q39)+IF(Setup!$I$15="No",0,R39))</f>
        <v/>
      </c>
      <c r="T39" s="198"/>
      <c r="U39" s="199"/>
      <c r="V39" s="200"/>
      <c r="W39" s="201"/>
      <c r="X39" s="253" t="str">
        <f>IF(COUNTBLANK(T39:W39)=4,"",SUM(T39:V39)+IF(Setup!$I$15="No",0,W39))</f>
        <v/>
      </c>
      <c r="Y39" s="184"/>
      <c r="Z39" s="185"/>
      <c r="AA39" s="186"/>
      <c r="AB39" s="187"/>
      <c r="AC39" s="249" t="str">
        <f>IF(COUNTBLANK(Y39:AB39)=4,"",SUM(Y39:AA39)+IF(Setup!$I$15="No",0,AB39))</f>
        <v/>
      </c>
      <c r="AD39" s="198"/>
      <c r="AE39" s="199"/>
      <c r="AF39" s="200"/>
      <c r="AG39" s="201"/>
      <c r="AH39" s="253" t="str">
        <f>IF(COUNTBLANK(AD39:AG39)=4,"",SUM(AD39:AF39)+IF(Setup!$I$15="No",0,AG39))</f>
        <v/>
      </c>
      <c r="AI39" s="184"/>
      <c r="AJ39" s="185"/>
      <c r="AK39" s="186"/>
      <c r="AL39" s="187"/>
      <c r="AM39" s="249" t="str">
        <f>IF(COUNTBLANK(AI39:AL39)=4,"",SUM(AI39:AK39)+IF(Setup!$I$15="No",0,AL39))</f>
        <v/>
      </c>
      <c r="AN39" s="198"/>
      <c r="AO39" s="199"/>
      <c r="AP39" s="200"/>
      <c r="AQ39" s="201"/>
      <c r="AR39" s="253" t="str">
        <f>IF(COUNTBLANK(AN39:AQ39)=4,"",SUM(AN39:AP39)+IF(Setup!$I$15="No",0,AQ39))</f>
        <v/>
      </c>
      <c r="AS39" s="184"/>
      <c r="AT39" s="185"/>
      <c r="AU39" s="186"/>
      <c r="AV39" s="187"/>
      <c r="AW39" s="249" t="str">
        <f>IF(COUNTBLANK(AS39:AV39)=4,"",SUM(AS39:AU39)+IF(Setup!$I$15="No",0,AV39))</f>
        <v/>
      </c>
      <c r="AX39" s="198"/>
      <c r="AY39" s="199"/>
      <c r="AZ39" s="200"/>
      <c r="BA39" s="201"/>
      <c r="BB39" s="253" t="str">
        <f>IF(COUNTBLANK(AX39:BA39)=4,"",SUM(AX39:AZ39)+IF(Setup!$I$15="No",0,BA39))</f>
        <v/>
      </c>
      <c r="BC39" s="257">
        <f ca="1">IF('Demand background (hide)'!A30=Num_Modalities,"",SUM(Demand!I39))</f>
        <v>62</v>
      </c>
      <c r="BD39" s="257">
        <f ca="1">IF(AND(A39&lt;=MaxRows,BE39&lt;&gt;"Yes"),'Demand background (hide)'!X30+IF(Setup!$I$15="Yes",'Demand background (hide)'!AJ30,0),"")</f>
        <v>124</v>
      </c>
      <c r="BE39" s="207"/>
    </row>
    <row r="40" spans="1:57" x14ac:dyDescent="0.25">
      <c r="A40">
        <f t="shared" ca="1" si="0"/>
        <v>28</v>
      </c>
      <c r="B40" s="260" t="str">
        <f t="shared" ca="1" si="1"/>
        <v xml:space="preserve"> </v>
      </c>
      <c r="C40" s="262">
        <f t="shared" ca="1" si="2"/>
        <v>37</v>
      </c>
      <c r="D40" s="350">
        <f t="shared" ca="1" si="3"/>
        <v>44081</v>
      </c>
      <c r="E40" s="184"/>
      <c r="F40" s="185"/>
      <c r="G40" s="186">
        <v>70</v>
      </c>
      <c r="H40" s="187"/>
      <c r="I40" s="249">
        <f>IF(COUNTBLANK(E40:H40)=4,"",SUM(E40:G40)+IF(Setup!$I$15="No",0,H40))</f>
        <v>70</v>
      </c>
      <c r="J40" s="198"/>
      <c r="K40" s="199"/>
      <c r="L40" s="200"/>
      <c r="M40" s="201"/>
      <c r="N40" s="253" t="str">
        <f>IF(COUNTBLANK(J40:M40)=4,"",SUM(J40:L40)+IF(Setup!$I$15="No",0,M40))</f>
        <v/>
      </c>
      <c r="O40" s="184"/>
      <c r="P40" s="185"/>
      <c r="Q40" s="186"/>
      <c r="R40" s="187"/>
      <c r="S40" s="249" t="str">
        <f>IF(COUNTBLANK(O40:R40)=4,"",SUM(O40:Q40)+IF(Setup!$I$15="No",0,R40))</f>
        <v/>
      </c>
      <c r="T40" s="198"/>
      <c r="U40" s="199"/>
      <c r="V40" s="200"/>
      <c r="W40" s="201"/>
      <c r="X40" s="253" t="str">
        <f>IF(COUNTBLANK(T40:W40)=4,"",SUM(T40:V40)+IF(Setup!$I$15="No",0,W40))</f>
        <v/>
      </c>
      <c r="Y40" s="184"/>
      <c r="Z40" s="185"/>
      <c r="AA40" s="186"/>
      <c r="AB40" s="187"/>
      <c r="AC40" s="249" t="str">
        <f>IF(COUNTBLANK(Y40:AB40)=4,"",SUM(Y40:AA40)+IF(Setup!$I$15="No",0,AB40))</f>
        <v/>
      </c>
      <c r="AD40" s="198"/>
      <c r="AE40" s="199"/>
      <c r="AF40" s="200"/>
      <c r="AG40" s="201"/>
      <c r="AH40" s="253" t="str">
        <f>IF(COUNTBLANK(AD40:AG40)=4,"",SUM(AD40:AF40)+IF(Setup!$I$15="No",0,AG40))</f>
        <v/>
      </c>
      <c r="AI40" s="184"/>
      <c r="AJ40" s="185"/>
      <c r="AK40" s="186"/>
      <c r="AL40" s="187"/>
      <c r="AM40" s="249" t="str">
        <f>IF(COUNTBLANK(AI40:AL40)=4,"",SUM(AI40:AK40)+IF(Setup!$I$15="No",0,AL40))</f>
        <v/>
      </c>
      <c r="AN40" s="198"/>
      <c r="AO40" s="199"/>
      <c r="AP40" s="200"/>
      <c r="AQ40" s="201"/>
      <c r="AR40" s="253" t="str">
        <f>IF(COUNTBLANK(AN40:AQ40)=4,"",SUM(AN40:AP40)+IF(Setup!$I$15="No",0,AQ40))</f>
        <v/>
      </c>
      <c r="AS40" s="184"/>
      <c r="AT40" s="185"/>
      <c r="AU40" s="186"/>
      <c r="AV40" s="187"/>
      <c r="AW40" s="249" t="str">
        <f>IF(COUNTBLANK(AS40:AV40)=4,"",SUM(AS40:AU40)+IF(Setup!$I$15="No",0,AV40))</f>
        <v/>
      </c>
      <c r="AX40" s="198"/>
      <c r="AY40" s="199"/>
      <c r="AZ40" s="200"/>
      <c r="BA40" s="201"/>
      <c r="BB40" s="253" t="str">
        <f>IF(COUNTBLANK(AX40:BA40)=4,"",SUM(AX40:AZ40)+IF(Setup!$I$15="No",0,BA40))</f>
        <v/>
      </c>
      <c r="BC40" s="257">
        <f ca="1">IF('Demand background (hide)'!A31=Num_Modalities,"",SUM(Demand!I40))</f>
        <v>70</v>
      </c>
      <c r="BD40" s="257">
        <f ca="1">IF(AND(A40&lt;=MaxRows,BE40&lt;&gt;"Yes"),'Demand background (hide)'!X31+IF(Setup!$I$15="Yes",'Demand background (hide)'!AJ31,0),"")</f>
        <v>140</v>
      </c>
      <c r="BE40" s="207"/>
    </row>
    <row r="41" spans="1:57" x14ac:dyDescent="0.25">
      <c r="A41">
        <f t="shared" ca="1" si="0"/>
        <v>29</v>
      </c>
      <c r="B41" s="260" t="str">
        <f t="shared" ca="1" si="1"/>
        <v xml:space="preserve"> </v>
      </c>
      <c r="C41" s="262">
        <f t="shared" ca="1" si="2"/>
        <v>38</v>
      </c>
      <c r="D41" s="350">
        <f t="shared" ca="1" si="3"/>
        <v>44088</v>
      </c>
      <c r="E41" s="184"/>
      <c r="F41" s="185"/>
      <c r="G41" s="186">
        <v>74</v>
      </c>
      <c r="H41" s="187"/>
      <c r="I41" s="249">
        <f>IF(COUNTBLANK(E41:H41)=4,"",SUM(E41:G41)+IF(Setup!$I$15="No",0,H41))</f>
        <v>74</v>
      </c>
      <c r="J41" s="198"/>
      <c r="K41" s="199"/>
      <c r="L41" s="200"/>
      <c r="M41" s="201"/>
      <c r="N41" s="253" t="str">
        <f>IF(COUNTBLANK(J41:M41)=4,"",SUM(J41:L41)+IF(Setup!$I$15="No",0,M41))</f>
        <v/>
      </c>
      <c r="O41" s="184"/>
      <c r="P41" s="185"/>
      <c r="Q41" s="186"/>
      <c r="R41" s="187"/>
      <c r="S41" s="249" t="str">
        <f>IF(COUNTBLANK(O41:R41)=4,"",SUM(O41:Q41)+IF(Setup!$I$15="No",0,R41))</f>
        <v/>
      </c>
      <c r="T41" s="198"/>
      <c r="U41" s="199"/>
      <c r="V41" s="200"/>
      <c r="W41" s="201"/>
      <c r="X41" s="253" t="str">
        <f>IF(COUNTBLANK(T41:W41)=4,"",SUM(T41:V41)+IF(Setup!$I$15="No",0,W41))</f>
        <v/>
      </c>
      <c r="Y41" s="184"/>
      <c r="Z41" s="185"/>
      <c r="AA41" s="186"/>
      <c r="AB41" s="187"/>
      <c r="AC41" s="249" t="str">
        <f>IF(COUNTBLANK(Y41:AB41)=4,"",SUM(Y41:AA41)+IF(Setup!$I$15="No",0,AB41))</f>
        <v/>
      </c>
      <c r="AD41" s="198"/>
      <c r="AE41" s="199"/>
      <c r="AF41" s="200"/>
      <c r="AG41" s="201"/>
      <c r="AH41" s="253" t="str">
        <f>IF(COUNTBLANK(AD41:AG41)=4,"",SUM(AD41:AF41)+IF(Setup!$I$15="No",0,AG41))</f>
        <v/>
      </c>
      <c r="AI41" s="184"/>
      <c r="AJ41" s="185"/>
      <c r="AK41" s="186"/>
      <c r="AL41" s="187"/>
      <c r="AM41" s="249" t="str">
        <f>IF(COUNTBLANK(AI41:AL41)=4,"",SUM(AI41:AK41)+IF(Setup!$I$15="No",0,AL41))</f>
        <v/>
      </c>
      <c r="AN41" s="198"/>
      <c r="AO41" s="199"/>
      <c r="AP41" s="200"/>
      <c r="AQ41" s="201"/>
      <c r="AR41" s="253" t="str">
        <f>IF(COUNTBLANK(AN41:AQ41)=4,"",SUM(AN41:AP41)+IF(Setup!$I$15="No",0,AQ41))</f>
        <v/>
      </c>
      <c r="AS41" s="184"/>
      <c r="AT41" s="185"/>
      <c r="AU41" s="186"/>
      <c r="AV41" s="187"/>
      <c r="AW41" s="249" t="str">
        <f>IF(COUNTBLANK(AS41:AV41)=4,"",SUM(AS41:AU41)+IF(Setup!$I$15="No",0,AV41))</f>
        <v/>
      </c>
      <c r="AX41" s="198"/>
      <c r="AY41" s="199"/>
      <c r="AZ41" s="200"/>
      <c r="BA41" s="201"/>
      <c r="BB41" s="253" t="str">
        <f>IF(COUNTBLANK(AX41:BA41)=4,"",SUM(AX41:AZ41)+IF(Setup!$I$15="No",0,BA41))</f>
        <v/>
      </c>
      <c r="BC41" s="257">
        <f ca="1">IF('Demand background (hide)'!A32=Num_Modalities,"",SUM(Demand!I41))</f>
        <v>74</v>
      </c>
      <c r="BD41" s="257">
        <f ca="1">IF(AND(A41&lt;=MaxRows,BE41&lt;&gt;"Yes"),'Demand background (hide)'!X32+IF(Setup!$I$15="Yes",'Demand background (hide)'!AJ32,0),"")</f>
        <v>148</v>
      </c>
      <c r="BE41" s="207"/>
    </row>
    <row r="42" spans="1:57" x14ac:dyDescent="0.25">
      <c r="A42">
        <f t="shared" ca="1" si="0"/>
        <v>30</v>
      </c>
      <c r="B42" s="260" t="str">
        <f t="shared" ca="1" si="1"/>
        <v xml:space="preserve"> </v>
      </c>
      <c r="C42" s="262">
        <f t="shared" ca="1" si="2"/>
        <v>39</v>
      </c>
      <c r="D42" s="350">
        <f t="shared" ca="1" si="3"/>
        <v>44095</v>
      </c>
      <c r="E42" s="184"/>
      <c r="F42" s="185"/>
      <c r="G42" s="186">
        <v>75</v>
      </c>
      <c r="H42" s="187"/>
      <c r="I42" s="249">
        <f>IF(COUNTBLANK(E42:H42)=4,"",SUM(E42:G42)+IF(Setup!$I$15="No",0,H42))</f>
        <v>75</v>
      </c>
      <c r="J42" s="198"/>
      <c r="K42" s="199"/>
      <c r="L42" s="200"/>
      <c r="M42" s="201"/>
      <c r="N42" s="253" t="str">
        <f>IF(COUNTBLANK(J42:M42)=4,"",SUM(J42:L42)+IF(Setup!$I$15="No",0,M42))</f>
        <v/>
      </c>
      <c r="O42" s="184"/>
      <c r="P42" s="185"/>
      <c r="Q42" s="186"/>
      <c r="R42" s="187"/>
      <c r="S42" s="249" t="str">
        <f>IF(COUNTBLANK(O42:R42)=4,"",SUM(O42:Q42)+IF(Setup!$I$15="No",0,R42))</f>
        <v/>
      </c>
      <c r="T42" s="198"/>
      <c r="U42" s="199"/>
      <c r="V42" s="200"/>
      <c r="W42" s="201"/>
      <c r="X42" s="253" t="str">
        <f>IF(COUNTBLANK(T42:W42)=4,"",SUM(T42:V42)+IF(Setup!$I$15="No",0,W42))</f>
        <v/>
      </c>
      <c r="Y42" s="184"/>
      <c r="Z42" s="185"/>
      <c r="AA42" s="186"/>
      <c r="AB42" s="187"/>
      <c r="AC42" s="249" t="str">
        <f>IF(COUNTBLANK(Y42:AB42)=4,"",SUM(Y42:AA42)+IF(Setup!$I$15="No",0,AB42))</f>
        <v/>
      </c>
      <c r="AD42" s="198"/>
      <c r="AE42" s="199"/>
      <c r="AF42" s="200"/>
      <c r="AG42" s="201"/>
      <c r="AH42" s="253" t="str">
        <f>IF(COUNTBLANK(AD42:AG42)=4,"",SUM(AD42:AF42)+IF(Setup!$I$15="No",0,AG42))</f>
        <v/>
      </c>
      <c r="AI42" s="184"/>
      <c r="AJ42" s="185"/>
      <c r="AK42" s="186"/>
      <c r="AL42" s="187"/>
      <c r="AM42" s="249" t="str">
        <f>IF(COUNTBLANK(AI42:AL42)=4,"",SUM(AI42:AK42)+IF(Setup!$I$15="No",0,AL42))</f>
        <v/>
      </c>
      <c r="AN42" s="198"/>
      <c r="AO42" s="199"/>
      <c r="AP42" s="200"/>
      <c r="AQ42" s="201"/>
      <c r="AR42" s="253" t="str">
        <f>IF(COUNTBLANK(AN42:AQ42)=4,"",SUM(AN42:AP42)+IF(Setup!$I$15="No",0,AQ42))</f>
        <v/>
      </c>
      <c r="AS42" s="184"/>
      <c r="AT42" s="185"/>
      <c r="AU42" s="186"/>
      <c r="AV42" s="187"/>
      <c r="AW42" s="249" t="str">
        <f>IF(COUNTBLANK(AS42:AV42)=4,"",SUM(AS42:AU42)+IF(Setup!$I$15="No",0,AV42))</f>
        <v/>
      </c>
      <c r="AX42" s="198"/>
      <c r="AY42" s="199"/>
      <c r="AZ42" s="200"/>
      <c r="BA42" s="201"/>
      <c r="BB42" s="253" t="str">
        <f>IF(COUNTBLANK(AX42:BA42)=4,"",SUM(AX42:AZ42)+IF(Setup!$I$15="No",0,BA42))</f>
        <v/>
      </c>
      <c r="BC42" s="257">
        <f ca="1">IF('Demand background (hide)'!A33=Num_Modalities,"",SUM(Demand!I42))</f>
        <v>75</v>
      </c>
      <c r="BD42" s="257">
        <f ca="1">IF(AND(A42&lt;=MaxRows,BE42&lt;&gt;"Yes"),'Demand background (hide)'!X33+IF(Setup!$I$15="Yes",'Demand background (hide)'!AJ33,0),"")</f>
        <v>150</v>
      </c>
      <c r="BE42" s="207"/>
    </row>
    <row r="43" spans="1:57" x14ac:dyDescent="0.25">
      <c r="A43">
        <f t="shared" ca="1" si="0"/>
        <v>31</v>
      </c>
      <c r="B43" s="260" t="str">
        <f t="shared" ca="1" si="1"/>
        <v xml:space="preserve"> </v>
      </c>
      <c r="C43" s="262">
        <f t="shared" ca="1" si="2"/>
        <v>40</v>
      </c>
      <c r="D43" s="350">
        <f t="shared" ca="1" si="3"/>
        <v>44102</v>
      </c>
      <c r="E43" s="184"/>
      <c r="F43" s="185"/>
      <c r="G43" s="186">
        <v>71</v>
      </c>
      <c r="H43" s="187"/>
      <c r="I43" s="249">
        <f>IF(COUNTBLANK(E43:H43)=4,"",SUM(E43:G43)+IF(Setup!$I$15="No",0,H43))</f>
        <v>71</v>
      </c>
      <c r="J43" s="198"/>
      <c r="K43" s="199"/>
      <c r="L43" s="200"/>
      <c r="M43" s="201"/>
      <c r="N43" s="253" t="str">
        <f>IF(COUNTBLANK(J43:M43)=4,"",SUM(J43:L43)+IF(Setup!$I$15="No",0,M43))</f>
        <v/>
      </c>
      <c r="O43" s="184"/>
      <c r="P43" s="185"/>
      <c r="Q43" s="186"/>
      <c r="R43" s="187"/>
      <c r="S43" s="249" t="str">
        <f>IF(COUNTBLANK(O43:R43)=4,"",SUM(O43:Q43)+IF(Setup!$I$15="No",0,R43))</f>
        <v/>
      </c>
      <c r="T43" s="198"/>
      <c r="U43" s="199"/>
      <c r="V43" s="200"/>
      <c r="W43" s="201"/>
      <c r="X43" s="253" t="str">
        <f>IF(COUNTBLANK(T43:W43)=4,"",SUM(T43:V43)+IF(Setup!$I$15="No",0,W43))</f>
        <v/>
      </c>
      <c r="Y43" s="184"/>
      <c r="Z43" s="185"/>
      <c r="AA43" s="186"/>
      <c r="AB43" s="187"/>
      <c r="AC43" s="249" t="str">
        <f>IF(COUNTBLANK(Y43:AB43)=4,"",SUM(Y43:AA43)+IF(Setup!$I$15="No",0,AB43))</f>
        <v/>
      </c>
      <c r="AD43" s="198"/>
      <c r="AE43" s="199"/>
      <c r="AF43" s="200"/>
      <c r="AG43" s="201"/>
      <c r="AH43" s="253" t="str">
        <f>IF(COUNTBLANK(AD43:AG43)=4,"",SUM(AD43:AF43)+IF(Setup!$I$15="No",0,AG43))</f>
        <v/>
      </c>
      <c r="AI43" s="184"/>
      <c r="AJ43" s="185"/>
      <c r="AK43" s="186"/>
      <c r="AL43" s="187"/>
      <c r="AM43" s="249" t="str">
        <f>IF(COUNTBLANK(AI43:AL43)=4,"",SUM(AI43:AK43)+IF(Setup!$I$15="No",0,AL43))</f>
        <v/>
      </c>
      <c r="AN43" s="198"/>
      <c r="AO43" s="199"/>
      <c r="AP43" s="200"/>
      <c r="AQ43" s="201"/>
      <c r="AR43" s="253" t="str">
        <f>IF(COUNTBLANK(AN43:AQ43)=4,"",SUM(AN43:AP43)+IF(Setup!$I$15="No",0,AQ43))</f>
        <v/>
      </c>
      <c r="AS43" s="184"/>
      <c r="AT43" s="185"/>
      <c r="AU43" s="186"/>
      <c r="AV43" s="187"/>
      <c r="AW43" s="249" t="str">
        <f>IF(COUNTBLANK(AS43:AV43)=4,"",SUM(AS43:AU43)+IF(Setup!$I$15="No",0,AV43))</f>
        <v/>
      </c>
      <c r="AX43" s="198"/>
      <c r="AY43" s="199"/>
      <c r="AZ43" s="200"/>
      <c r="BA43" s="201"/>
      <c r="BB43" s="253" t="str">
        <f>IF(COUNTBLANK(AX43:BA43)=4,"",SUM(AX43:AZ43)+IF(Setup!$I$15="No",0,BA43))</f>
        <v/>
      </c>
      <c r="BC43" s="257">
        <f ca="1">IF('Demand background (hide)'!A34=Num_Modalities,"",SUM(Demand!I43))</f>
        <v>71</v>
      </c>
      <c r="BD43" s="257">
        <f ca="1">IF(AND(A43&lt;=MaxRows,BE43&lt;&gt;"Yes"),'Demand background (hide)'!X34+IF(Setup!$I$15="Yes",'Demand background (hide)'!AJ34,0),"")</f>
        <v>142</v>
      </c>
      <c r="BE43" s="207"/>
    </row>
    <row r="44" spans="1:57" x14ac:dyDescent="0.25">
      <c r="A44">
        <f t="shared" ca="1" si="0"/>
        <v>32</v>
      </c>
      <c r="B44" s="260" t="str">
        <f t="shared" ca="1" si="1"/>
        <v xml:space="preserve"> </v>
      </c>
      <c r="C44" s="262">
        <f t="shared" ca="1" si="2"/>
        <v>41</v>
      </c>
      <c r="D44" s="350">
        <f t="shared" ca="1" si="3"/>
        <v>44109</v>
      </c>
      <c r="E44" s="184"/>
      <c r="F44" s="185"/>
      <c r="G44" s="186">
        <v>66</v>
      </c>
      <c r="H44" s="187"/>
      <c r="I44" s="249">
        <f>IF(COUNTBLANK(E44:H44)=4,"",SUM(E44:G44)+IF(Setup!$I$15="No",0,H44))</f>
        <v>66</v>
      </c>
      <c r="J44" s="198"/>
      <c r="K44" s="199"/>
      <c r="L44" s="200"/>
      <c r="M44" s="201"/>
      <c r="N44" s="253" t="str">
        <f>IF(COUNTBLANK(J44:M44)=4,"",SUM(J44:L44)+IF(Setup!$I$15="No",0,M44))</f>
        <v/>
      </c>
      <c r="O44" s="184"/>
      <c r="P44" s="185"/>
      <c r="Q44" s="186"/>
      <c r="R44" s="187"/>
      <c r="S44" s="249" t="str">
        <f>IF(COUNTBLANK(O44:R44)=4,"",SUM(O44:Q44)+IF(Setup!$I$15="No",0,R44))</f>
        <v/>
      </c>
      <c r="T44" s="198"/>
      <c r="U44" s="199"/>
      <c r="V44" s="200"/>
      <c r="W44" s="201"/>
      <c r="X44" s="253" t="str">
        <f>IF(COUNTBLANK(T44:W44)=4,"",SUM(T44:V44)+IF(Setup!$I$15="No",0,W44))</f>
        <v/>
      </c>
      <c r="Y44" s="184"/>
      <c r="Z44" s="185"/>
      <c r="AA44" s="186"/>
      <c r="AB44" s="187"/>
      <c r="AC44" s="249" t="str">
        <f>IF(COUNTBLANK(Y44:AB44)=4,"",SUM(Y44:AA44)+IF(Setup!$I$15="No",0,AB44))</f>
        <v/>
      </c>
      <c r="AD44" s="198"/>
      <c r="AE44" s="199"/>
      <c r="AF44" s="200"/>
      <c r="AG44" s="201"/>
      <c r="AH44" s="253" t="str">
        <f>IF(COUNTBLANK(AD44:AG44)=4,"",SUM(AD44:AF44)+IF(Setup!$I$15="No",0,AG44))</f>
        <v/>
      </c>
      <c r="AI44" s="184"/>
      <c r="AJ44" s="185"/>
      <c r="AK44" s="186"/>
      <c r="AL44" s="187"/>
      <c r="AM44" s="249" t="str">
        <f>IF(COUNTBLANK(AI44:AL44)=4,"",SUM(AI44:AK44)+IF(Setup!$I$15="No",0,AL44))</f>
        <v/>
      </c>
      <c r="AN44" s="198"/>
      <c r="AO44" s="199"/>
      <c r="AP44" s="200"/>
      <c r="AQ44" s="201"/>
      <c r="AR44" s="253" t="str">
        <f>IF(COUNTBLANK(AN44:AQ44)=4,"",SUM(AN44:AP44)+IF(Setup!$I$15="No",0,AQ44))</f>
        <v/>
      </c>
      <c r="AS44" s="184"/>
      <c r="AT44" s="185"/>
      <c r="AU44" s="186"/>
      <c r="AV44" s="187"/>
      <c r="AW44" s="249" t="str">
        <f>IF(COUNTBLANK(AS44:AV44)=4,"",SUM(AS44:AU44)+IF(Setup!$I$15="No",0,AV44))</f>
        <v/>
      </c>
      <c r="AX44" s="198"/>
      <c r="AY44" s="199"/>
      <c r="AZ44" s="200"/>
      <c r="BA44" s="201"/>
      <c r="BB44" s="253" t="str">
        <f>IF(COUNTBLANK(AX44:BA44)=4,"",SUM(AX44:AZ44)+IF(Setup!$I$15="No",0,BA44))</f>
        <v/>
      </c>
      <c r="BC44" s="257">
        <f ca="1">IF('Demand background (hide)'!A35=Num_Modalities,"",SUM(Demand!I44))</f>
        <v>66</v>
      </c>
      <c r="BD44" s="257">
        <f ca="1">IF(AND(A44&lt;=MaxRows,BE44&lt;&gt;"Yes"),'Demand background (hide)'!X35+IF(Setup!$I$15="Yes",'Demand background (hide)'!AJ35,0),"")</f>
        <v>132</v>
      </c>
      <c r="BE44" s="207"/>
    </row>
    <row r="45" spans="1:57" x14ac:dyDescent="0.25">
      <c r="A45">
        <f t="shared" ca="1" si="0"/>
        <v>33</v>
      </c>
      <c r="B45" s="260" t="str">
        <f t="shared" ca="1" si="1"/>
        <v xml:space="preserve"> </v>
      </c>
      <c r="C45" s="262">
        <f t="shared" ca="1" si="2"/>
        <v>42</v>
      </c>
      <c r="D45" s="350">
        <f t="shared" ca="1" si="3"/>
        <v>44116</v>
      </c>
      <c r="E45" s="184"/>
      <c r="F45" s="185"/>
      <c r="G45" s="186">
        <v>68</v>
      </c>
      <c r="H45" s="187"/>
      <c r="I45" s="249">
        <f>IF(COUNTBLANK(E45:H45)=4,"",SUM(E45:G45)+IF(Setup!$I$15="No",0,H45))</f>
        <v>68</v>
      </c>
      <c r="J45" s="198"/>
      <c r="K45" s="199"/>
      <c r="L45" s="200"/>
      <c r="M45" s="201"/>
      <c r="N45" s="253" t="str">
        <f>IF(COUNTBLANK(J45:M45)=4,"",SUM(J45:L45)+IF(Setup!$I$15="No",0,M45))</f>
        <v/>
      </c>
      <c r="O45" s="184"/>
      <c r="P45" s="185"/>
      <c r="Q45" s="186"/>
      <c r="R45" s="187"/>
      <c r="S45" s="249" t="str">
        <f>IF(COUNTBLANK(O45:R45)=4,"",SUM(O45:Q45)+IF(Setup!$I$15="No",0,R45))</f>
        <v/>
      </c>
      <c r="T45" s="198"/>
      <c r="U45" s="199"/>
      <c r="V45" s="200"/>
      <c r="W45" s="201"/>
      <c r="X45" s="253" t="str">
        <f>IF(COUNTBLANK(T45:W45)=4,"",SUM(T45:V45)+IF(Setup!$I$15="No",0,W45))</f>
        <v/>
      </c>
      <c r="Y45" s="184"/>
      <c r="Z45" s="185"/>
      <c r="AA45" s="186"/>
      <c r="AB45" s="187"/>
      <c r="AC45" s="249" t="str">
        <f>IF(COUNTBLANK(Y45:AB45)=4,"",SUM(Y45:AA45)+IF(Setup!$I$15="No",0,AB45))</f>
        <v/>
      </c>
      <c r="AD45" s="198"/>
      <c r="AE45" s="199"/>
      <c r="AF45" s="200"/>
      <c r="AG45" s="201"/>
      <c r="AH45" s="253" t="str">
        <f>IF(COUNTBLANK(AD45:AG45)=4,"",SUM(AD45:AF45)+IF(Setup!$I$15="No",0,AG45))</f>
        <v/>
      </c>
      <c r="AI45" s="184"/>
      <c r="AJ45" s="185"/>
      <c r="AK45" s="186"/>
      <c r="AL45" s="187"/>
      <c r="AM45" s="249" t="str">
        <f>IF(COUNTBLANK(AI45:AL45)=4,"",SUM(AI45:AK45)+IF(Setup!$I$15="No",0,AL45))</f>
        <v/>
      </c>
      <c r="AN45" s="198"/>
      <c r="AO45" s="199"/>
      <c r="AP45" s="200"/>
      <c r="AQ45" s="201"/>
      <c r="AR45" s="253" t="str">
        <f>IF(COUNTBLANK(AN45:AQ45)=4,"",SUM(AN45:AP45)+IF(Setup!$I$15="No",0,AQ45))</f>
        <v/>
      </c>
      <c r="AS45" s="184"/>
      <c r="AT45" s="185"/>
      <c r="AU45" s="186"/>
      <c r="AV45" s="187"/>
      <c r="AW45" s="249" t="str">
        <f>IF(COUNTBLANK(AS45:AV45)=4,"",SUM(AS45:AU45)+IF(Setup!$I$15="No",0,AV45))</f>
        <v/>
      </c>
      <c r="AX45" s="198"/>
      <c r="AY45" s="199"/>
      <c r="AZ45" s="200"/>
      <c r="BA45" s="201"/>
      <c r="BB45" s="253" t="str">
        <f>IF(COUNTBLANK(AX45:BA45)=4,"",SUM(AX45:AZ45)+IF(Setup!$I$15="No",0,BA45))</f>
        <v/>
      </c>
      <c r="BC45" s="257">
        <f ca="1">IF('Demand background (hide)'!A36=Num_Modalities,"",SUM(Demand!I45))</f>
        <v>68</v>
      </c>
      <c r="BD45" s="257">
        <f ca="1">IF(AND(A45&lt;=MaxRows,BE45&lt;&gt;"Yes"),'Demand background (hide)'!X36+IF(Setup!$I$15="Yes",'Demand background (hide)'!AJ36,0),"")</f>
        <v>136</v>
      </c>
      <c r="BE45" s="207"/>
    </row>
    <row r="46" spans="1:57" x14ac:dyDescent="0.25">
      <c r="A46">
        <f t="shared" ca="1" si="0"/>
        <v>34</v>
      </c>
      <c r="B46" s="260" t="str">
        <f t="shared" ca="1" si="1"/>
        <v xml:space="preserve"> </v>
      </c>
      <c r="C46" s="262">
        <f t="shared" ca="1" si="2"/>
        <v>43</v>
      </c>
      <c r="D46" s="350">
        <f t="shared" ca="1" si="3"/>
        <v>44123</v>
      </c>
      <c r="E46" s="184"/>
      <c r="F46" s="185"/>
      <c r="G46" s="186">
        <v>70</v>
      </c>
      <c r="H46" s="187"/>
      <c r="I46" s="249">
        <f>IF(COUNTBLANK(E46:H46)=4,"",SUM(E46:G46)+IF(Setup!$I$15="No",0,H46))</f>
        <v>70</v>
      </c>
      <c r="J46" s="198"/>
      <c r="K46" s="199"/>
      <c r="L46" s="200"/>
      <c r="M46" s="201"/>
      <c r="N46" s="253" t="str">
        <f>IF(COUNTBLANK(J46:M46)=4,"",SUM(J46:L46)+IF(Setup!$I$15="No",0,M46))</f>
        <v/>
      </c>
      <c r="O46" s="184"/>
      <c r="P46" s="185"/>
      <c r="Q46" s="186"/>
      <c r="R46" s="187"/>
      <c r="S46" s="249" t="str">
        <f>IF(COUNTBLANK(O46:R46)=4,"",SUM(O46:Q46)+IF(Setup!$I$15="No",0,R46))</f>
        <v/>
      </c>
      <c r="T46" s="198"/>
      <c r="U46" s="199"/>
      <c r="V46" s="200"/>
      <c r="W46" s="201"/>
      <c r="X46" s="253" t="str">
        <f>IF(COUNTBLANK(T46:W46)=4,"",SUM(T46:V46)+IF(Setup!$I$15="No",0,W46))</f>
        <v/>
      </c>
      <c r="Y46" s="184"/>
      <c r="Z46" s="185"/>
      <c r="AA46" s="186"/>
      <c r="AB46" s="187"/>
      <c r="AC46" s="249" t="str">
        <f>IF(COUNTBLANK(Y46:AB46)=4,"",SUM(Y46:AA46)+IF(Setup!$I$15="No",0,AB46))</f>
        <v/>
      </c>
      <c r="AD46" s="198"/>
      <c r="AE46" s="199"/>
      <c r="AF46" s="200"/>
      <c r="AG46" s="201"/>
      <c r="AH46" s="253" t="str">
        <f>IF(COUNTBLANK(AD46:AG46)=4,"",SUM(AD46:AF46)+IF(Setup!$I$15="No",0,AG46))</f>
        <v/>
      </c>
      <c r="AI46" s="184"/>
      <c r="AJ46" s="185"/>
      <c r="AK46" s="186"/>
      <c r="AL46" s="187"/>
      <c r="AM46" s="249" t="str">
        <f>IF(COUNTBLANK(AI46:AL46)=4,"",SUM(AI46:AK46)+IF(Setup!$I$15="No",0,AL46))</f>
        <v/>
      </c>
      <c r="AN46" s="198"/>
      <c r="AO46" s="199"/>
      <c r="AP46" s="200"/>
      <c r="AQ46" s="201"/>
      <c r="AR46" s="253" t="str">
        <f>IF(COUNTBLANK(AN46:AQ46)=4,"",SUM(AN46:AP46)+IF(Setup!$I$15="No",0,AQ46))</f>
        <v/>
      </c>
      <c r="AS46" s="184"/>
      <c r="AT46" s="185"/>
      <c r="AU46" s="186"/>
      <c r="AV46" s="187"/>
      <c r="AW46" s="249" t="str">
        <f>IF(COUNTBLANK(AS46:AV46)=4,"",SUM(AS46:AU46)+IF(Setup!$I$15="No",0,AV46))</f>
        <v/>
      </c>
      <c r="AX46" s="198"/>
      <c r="AY46" s="199"/>
      <c r="AZ46" s="200"/>
      <c r="BA46" s="201"/>
      <c r="BB46" s="253" t="str">
        <f>IF(COUNTBLANK(AX46:BA46)=4,"",SUM(AX46:AZ46)+IF(Setup!$I$15="No",0,BA46))</f>
        <v/>
      </c>
      <c r="BC46" s="257">
        <f ca="1">IF('Demand background (hide)'!A37=Num_Modalities,"",SUM(Demand!I46))</f>
        <v>70</v>
      </c>
      <c r="BD46" s="257">
        <f ca="1">IF(AND(A46&lt;=MaxRows,BE46&lt;&gt;"Yes"),'Demand background (hide)'!X37+IF(Setup!$I$15="Yes",'Demand background (hide)'!AJ37,0),"")</f>
        <v>140</v>
      </c>
      <c r="BE46" s="207"/>
    </row>
    <row r="47" spans="1:57" x14ac:dyDescent="0.25">
      <c r="A47">
        <f t="shared" ca="1" si="0"/>
        <v>35</v>
      </c>
      <c r="B47" s="260" t="str">
        <f t="shared" ca="1" si="1"/>
        <v xml:space="preserve"> </v>
      </c>
      <c r="C47" s="262">
        <f t="shared" ca="1" si="2"/>
        <v>44</v>
      </c>
      <c r="D47" s="350">
        <f t="shared" ca="1" si="3"/>
        <v>44130</v>
      </c>
      <c r="E47" s="184"/>
      <c r="F47" s="185"/>
      <c r="G47" s="186">
        <v>72</v>
      </c>
      <c r="H47" s="187"/>
      <c r="I47" s="249">
        <f>IF(COUNTBLANK(E47:H47)=4,"",SUM(E47:G47)+IF(Setup!$I$15="No",0,H47))</f>
        <v>72</v>
      </c>
      <c r="J47" s="198"/>
      <c r="K47" s="199"/>
      <c r="L47" s="200"/>
      <c r="M47" s="201"/>
      <c r="N47" s="253" t="str">
        <f>IF(COUNTBLANK(J47:M47)=4,"",SUM(J47:L47)+IF(Setup!$I$15="No",0,M47))</f>
        <v/>
      </c>
      <c r="O47" s="184"/>
      <c r="P47" s="185"/>
      <c r="Q47" s="186"/>
      <c r="R47" s="187"/>
      <c r="S47" s="249" t="str">
        <f>IF(COUNTBLANK(O47:R47)=4,"",SUM(O47:Q47)+IF(Setup!$I$15="No",0,R47))</f>
        <v/>
      </c>
      <c r="T47" s="198"/>
      <c r="U47" s="199"/>
      <c r="V47" s="200"/>
      <c r="W47" s="201"/>
      <c r="X47" s="253" t="str">
        <f>IF(COUNTBLANK(T47:W47)=4,"",SUM(T47:V47)+IF(Setup!$I$15="No",0,W47))</f>
        <v/>
      </c>
      <c r="Y47" s="184"/>
      <c r="Z47" s="185"/>
      <c r="AA47" s="186"/>
      <c r="AB47" s="187"/>
      <c r="AC47" s="249" t="str">
        <f>IF(COUNTBLANK(Y47:AB47)=4,"",SUM(Y47:AA47)+IF(Setup!$I$15="No",0,AB47))</f>
        <v/>
      </c>
      <c r="AD47" s="198"/>
      <c r="AE47" s="199"/>
      <c r="AF47" s="200"/>
      <c r="AG47" s="201"/>
      <c r="AH47" s="253" t="str">
        <f>IF(COUNTBLANK(AD47:AG47)=4,"",SUM(AD47:AF47)+IF(Setup!$I$15="No",0,AG47))</f>
        <v/>
      </c>
      <c r="AI47" s="184"/>
      <c r="AJ47" s="185"/>
      <c r="AK47" s="186"/>
      <c r="AL47" s="187"/>
      <c r="AM47" s="249" t="str">
        <f>IF(COUNTBLANK(AI47:AL47)=4,"",SUM(AI47:AK47)+IF(Setup!$I$15="No",0,AL47))</f>
        <v/>
      </c>
      <c r="AN47" s="198"/>
      <c r="AO47" s="199"/>
      <c r="AP47" s="200"/>
      <c r="AQ47" s="201"/>
      <c r="AR47" s="253" t="str">
        <f>IF(COUNTBLANK(AN47:AQ47)=4,"",SUM(AN47:AP47)+IF(Setup!$I$15="No",0,AQ47))</f>
        <v/>
      </c>
      <c r="AS47" s="184"/>
      <c r="AT47" s="185"/>
      <c r="AU47" s="186"/>
      <c r="AV47" s="187"/>
      <c r="AW47" s="249" t="str">
        <f>IF(COUNTBLANK(AS47:AV47)=4,"",SUM(AS47:AU47)+IF(Setup!$I$15="No",0,AV47))</f>
        <v/>
      </c>
      <c r="AX47" s="198"/>
      <c r="AY47" s="199"/>
      <c r="AZ47" s="200"/>
      <c r="BA47" s="201"/>
      <c r="BB47" s="253" t="str">
        <f>IF(COUNTBLANK(AX47:BA47)=4,"",SUM(AX47:AZ47)+IF(Setup!$I$15="No",0,BA47))</f>
        <v/>
      </c>
      <c r="BC47" s="257">
        <f ca="1">IF('Demand background (hide)'!A38=Num_Modalities,"",SUM(Demand!I47))</f>
        <v>72</v>
      </c>
      <c r="BD47" s="257">
        <f ca="1">IF(AND(A47&lt;=MaxRows,BE47&lt;&gt;"Yes"),'Demand background (hide)'!X38+IF(Setup!$I$15="Yes",'Demand background (hide)'!AJ38,0),"")</f>
        <v>144</v>
      </c>
      <c r="BE47" s="207"/>
    </row>
    <row r="48" spans="1:57" x14ac:dyDescent="0.25">
      <c r="A48">
        <f t="shared" ca="1" si="0"/>
        <v>36</v>
      </c>
      <c r="B48" s="260" t="str">
        <f t="shared" ca="1" si="1"/>
        <v xml:space="preserve"> </v>
      </c>
      <c r="C48" s="262">
        <f t="shared" ca="1" si="2"/>
        <v>45</v>
      </c>
      <c r="D48" s="350">
        <f t="shared" ca="1" si="3"/>
        <v>44137</v>
      </c>
      <c r="E48" s="184"/>
      <c r="F48" s="185"/>
      <c r="G48" s="186">
        <v>62</v>
      </c>
      <c r="H48" s="187"/>
      <c r="I48" s="249">
        <f>IF(COUNTBLANK(E48:H48)=4,"",SUM(E48:G48)+IF(Setup!$I$15="No",0,H48))</f>
        <v>62</v>
      </c>
      <c r="J48" s="198"/>
      <c r="K48" s="199"/>
      <c r="L48" s="200"/>
      <c r="M48" s="201"/>
      <c r="N48" s="253" t="str">
        <f>IF(COUNTBLANK(J48:M48)=4,"",SUM(J48:L48)+IF(Setup!$I$15="No",0,M48))</f>
        <v/>
      </c>
      <c r="O48" s="184"/>
      <c r="P48" s="185"/>
      <c r="Q48" s="186"/>
      <c r="R48" s="187"/>
      <c r="S48" s="249" t="str">
        <f>IF(COUNTBLANK(O48:R48)=4,"",SUM(O48:Q48)+IF(Setup!$I$15="No",0,R48))</f>
        <v/>
      </c>
      <c r="T48" s="198"/>
      <c r="U48" s="199"/>
      <c r="V48" s="200"/>
      <c r="W48" s="201"/>
      <c r="X48" s="253" t="str">
        <f>IF(COUNTBLANK(T48:W48)=4,"",SUM(T48:V48)+IF(Setup!$I$15="No",0,W48))</f>
        <v/>
      </c>
      <c r="Y48" s="184"/>
      <c r="Z48" s="185"/>
      <c r="AA48" s="186"/>
      <c r="AB48" s="187"/>
      <c r="AC48" s="249" t="str">
        <f>IF(COUNTBLANK(Y48:AB48)=4,"",SUM(Y48:AA48)+IF(Setup!$I$15="No",0,AB48))</f>
        <v/>
      </c>
      <c r="AD48" s="198"/>
      <c r="AE48" s="199"/>
      <c r="AF48" s="200"/>
      <c r="AG48" s="201"/>
      <c r="AH48" s="253" t="str">
        <f>IF(COUNTBLANK(AD48:AG48)=4,"",SUM(AD48:AF48)+IF(Setup!$I$15="No",0,AG48))</f>
        <v/>
      </c>
      <c r="AI48" s="184"/>
      <c r="AJ48" s="185"/>
      <c r="AK48" s="186"/>
      <c r="AL48" s="187"/>
      <c r="AM48" s="249" t="str">
        <f>IF(COUNTBLANK(AI48:AL48)=4,"",SUM(AI48:AK48)+IF(Setup!$I$15="No",0,AL48))</f>
        <v/>
      </c>
      <c r="AN48" s="198"/>
      <c r="AO48" s="199"/>
      <c r="AP48" s="200"/>
      <c r="AQ48" s="201"/>
      <c r="AR48" s="253" t="str">
        <f>IF(COUNTBLANK(AN48:AQ48)=4,"",SUM(AN48:AP48)+IF(Setup!$I$15="No",0,AQ48))</f>
        <v/>
      </c>
      <c r="AS48" s="184"/>
      <c r="AT48" s="185"/>
      <c r="AU48" s="186"/>
      <c r="AV48" s="187"/>
      <c r="AW48" s="249" t="str">
        <f>IF(COUNTBLANK(AS48:AV48)=4,"",SUM(AS48:AU48)+IF(Setup!$I$15="No",0,AV48))</f>
        <v/>
      </c>
      <c r="AX48" s="198"/>
      <c r="AY48" s="199"/>
      <c r="AZ48" s="200"/>
      <c r="BA48" s="201"/>
      <c r="BB48" s="253" t="str">
        <f>IF(COUNTBLANK(AX48:BA48)=4,"",SUM(AX48:AZ48)+IF(Setup!$I$15="No",0,BA48))</f>
        <v/>
      </c>
      <c r="BC48" s="257">
        <f ca="1">IF('Demand background (hide)'!A39=Num_Modalities,"",SUM(Demand!I48))</f>
        <v>62</v>
      </c>
      <c r="BD48" s="257">
        <f ca="1">IF(AND(A48&lt;=MaxRows,BE48&lt;&gt;"Yes"),'Demand background (hide)'!X39+IF(Setup!$I$15="Yes",'Demand background (hide)'!AJ39,0),"")</f>
        <v>124</v>
      </c>
      <c r="BE48" s="207"/>
    </row>
    <row r="49" spans="1:57" x14ac:dyDescent="0.25">
      <c r="A49">
        <f t="shared" ca="1" si="0"/>
        <v>37</v>
      </c>
      <c r="B49" s="260" t="str">
        <f t="shared" ca="1" si="1"/>
        <v xml:space="preserve"> </v>
      </c>
      <c r="C49" s="262">
        <f t="shared" ca="1" si="2"/>
        <v>46</v>
      </c>
      <c r="D49" s="350">
        <f t="shared" ca="1" si="3"/>
        <v>44144</v>
      </c>
      <c r="E49" s="184"/>
      <c r="F49" s="185"/>
      <c r="G49" s="186">
        <v>71</v>
      </c>
      <c r="H49" s="187"/>
      <c r="I49" s="249">
        <f>IF(COUNTBLANK(E49:H49)=4,"",SUM(E49:G49)+IF(Setup!$I$15="No",0,H49))</f>
        <v>71</v>
      </c>
      <c r="J49" s="198"/>
      <c r="K49" s="199"/>
      <c r="L49" s="200"/>
      <c r="M49" s="201"/>
      <c r="N49" s="253" t="str">
        <f>IF(COUNTBLANK(J49:M49)=4,"",SUM(J49:L49)+IF(Setup!$I$15="No",0,M49))</f>
        <v/>
      </c>
      <c r="O49" s="184"/>
      <c r="P49" s="185"/>
      <c r="Q49" s="186"/>
      <c r="R49" s="187"/>
      <c r="S49" s="249" t="str">
        <f>IF(COUNTBLANK(O49:R49)=4,"",SUM(O49:Q49)+IF(Setup!$I$15="No",0,R49))</f>
        <v/>
      </c>
      <c r="T49" s="198"/>
      <c r="U49" s="199"/>
      <c r="V49" s="200"/>
      <c r="W49" s="201"/>
      <c r="X49" s="253" t="str">
        <f>IF(COUNTBLANK(T49:W49)=4,"",SUM(T49:V49)+IF(Setup!$I$15="No",0,W49))</f>
        <v/>
      </c>
      <c r="Y49" s="184"/>
      <c r="Z49" s="185"/>
      <c r="AA49" s="186"/>
      <c r="AB49" s="187"/>
      <c r="AC49" s="249" t="str">
        <f>IF(COUNTBLANK(Y49:AB49)=4,"",SUM(Y49:AA49)+IF(Setup!$I$15="No",0,AB49))</f>
        <v/>
      </c>
      <c r="AD49" s="198"/>
      <c r="AE49" s="199"/>
      <c r="AF49" s="200"/>
      <c r="AG49" s="201"/>
      <c r="AH49" s="253" t="str">
        <f>IF(COUNTBLANK(AD49:AG49)=4,"",SUM(AD49:AF49)+IF(Setup!$I$15="No",0,AG49))</f>
        <v/>
      </c>
      <c r="AI49" s="184"/>
      <c r="AJ49" s="185"/>
      <c r="AK49" s="186"/>
      <c r="AL49" s="187"/>
      <c r="AM49" s="249" t="str">
        <f>IF(COUNTBLANK(AI49:AL49)=4,"",SUM(AI49:AK49)+IF(Setup!$I$15="No",0,AL49))</f>
        <v/>
      </c>
      <c r="AN49" s="198"/>
      <c r="AO49" s="199"/>
      <c r="AP49" s="200"/>
      <c r="AQ49" s="201"/>
      <c r="AR49" s="253" t="str">
        <f>IF(COUNTBLANK(AN49:AQ49)=4,"",SUM(AN49:AP49)+IF(Setup!$I$15="No",0,AQ49))</f>
        <v/>
      </c>
      <c r="AS49" s="184"/>
      <c r="AT49" s="185"/>
      <c r="AU49" s="186"/>
      <c r="AV49" s="187"/>
      <c r="AW49" s="249" t="str">
        <f>IF(COUNTBLANK(AS49:AV49)=4,"",SUM(AS49:AU49)+IF(Setup!$I$15="No",0,AV49))</f>
        <v/>
      </c>
      <c r="AX49" s="198"/>
      <c r="AY49" s="199"/>
      <c r="AZ49" s="200"/>
      <c r="BA49" s="201"/>
      <c r="BB49" s="253" t="str">
        <f>IF(COUNTBLANK(AX49:BA49)=4,"",SUM(AX49:AZ49)+IF(Setup!$I$15="No",0,BA49))</f>
        <v/>
      </c>
      <c r="BC49" s="257">
        <f ca="1">IF('Demand background (hide)'!A40=Num_Modalities,"",SUM(Demand!I49))</f>
        <v>71</v>
      </c>
      <c r="BD49" s="257">
        <f ca="1">IF(AND(A49&lt;=MaxRows,BE49&lt;&gt;"Yes"),'Demand background (hide)'!X40+IF(Setup!$I$15="Yes",'Demand background (hide)'!AJ40,0),"")</f>
        <v>142</v>
      </c>
      <c r="BE49" s="207"/>
    </row>
    <row r="50" spans="1:57" x14ac:dyDescent="0.25">
      <c r="A50">
        <f t="shared" ca="1" si="0"/>
        <v>38</v>
      </c>
      <c r="B50" s="260" t="str">
        <f t="shared" ca="1" si="1"/>
        <v xml:space="preserve"> </v>
      </c>
      <c r="C50" s="262">
        <f t="shared" ca="1" si="2"/>
        <v>47</v>
      </c>
      <c r="D50" s="350">
        <f t="shared" ca="1" si="3"/>
        <v>44151</v>
      </c>
      <c r="E50" s="184"/>
      <c r="F50" s="185"/>
      <c r="G50" s="186">
        <v>78</v>
      </c>
      <c r="H50" s="187"/>
      <c r="I50" s="249">
        <f>IF(COUNTBLANK(E50:H50)=4,"",SUM(E50:G50)+IF(Setup!$I$15="No",0,H50))</f>
        <v>78</v>
      </c>
      <c r="J50" s="198"/>
      <c r="K50" s="199"/>
      <c r="L50" s="200"/>
      <c r="M50" s="201"/>
      <c r="N50" s="253" t="str">
        <f>IF(COUNTBLANK(J50:M50)=4,"",SUM(J50:L50)+IF(Setup!$I$15="No",0,M50))</f>
        <v/>
      </c>
      <c r="O50" s="184"/>
      <c r="P50" s="185"/>
      <c r="Q50" s="186"/>
      <c r="R50" s="187"/>
      <c r="S50" s="249" t="str">
        <f>IF(COUNTBLANK(O50:R50)=4,"",SUM(O50:Q50)+IF(Setup!$I$15="No",0,R50))</f>
        <v/>
      </c>
      <c r="T50" s="198"/>
      <c r="U50" s="199"/>
      <c r="V50" s="200"/>
      <c r="W50" s="201"/>
      <c r="X50" s="253" t="str">
        <f>IF(COUNTBLANK(T50:W50)=4,"",SUM(T50:V50)+IF(Setup!$I$15="No",0,W50))</f>
        <v/>
      </c>
      <c r="Y50" s="184"/>
      <c r="Z50" s="185"/>
      <c r="AA50" s="186"/>
      <c r="AB50" s="187"/>
      <c r="AC50" s="249" t="str">
        <f>IF(COUNTBLANK(Y50:AB50)=4,"",SUM(Y50:AA50)+IF(Setup!$I$15="No",0,AB50))</f>
        <v/>
      </c>
      <c r="AD50" s="198"/>
      <c r="AE50" s="199"/>
      <c r="AF50" s="200"/>
      <c r="AG50" s="201"/>
      <c r="AH50" s="253" t="str">
        <f>IF(COUNTBLANK(AD50:AG50)=4,"",SUM(AD50:AF50)+IF(Setup!$I$15="No",0,AG50))</f>
        <v/>
      </c>
      <c r="AI50" s="184"/>
      <c r="AJ50" s="185"/>
      <c r="AK50" s="186"/>
      <c r="AL50" s="187"/>
      <c r="AM50" s="249" t="str">
        <f>IF(COUNTBLANK(AI50:AL50)=4,"",SUM(AI50:AK50)+IF(Setup!$I$15="No",0,AL50))</f>
        <v/>
      </c>
      <c r="AN50" s="198"/>
      <c r="AO50" s="199"/>
      <c r="AP50" s="200"/>
      <c r="AQ50" s="201"/>
      <c r="AR50" s="253" t="str">
        <f>IF(COUNTBLANK(AN50:AQ50)=4,"",SUM(AN50:AP50)+IF(Setup!$I$15="No",0,AQ50))</f>
        <v/>
      </c>
      <c r="AS50" s="184"/>
      <c r="AT50" s="185"/>
      <c r="AU50" s="186"/>
      <c r="AV50" s="187"/>
      <c r="AW50" s="249" t="str">
        <f>IF(COUNTBLANK(AS50:AV50)=4,"",SUM(AS50:AU50)+IF(Setup!$I$15="No",0,AV50))</f>
        <v/>
      </c>
      <c r="AX50" s="198"/>
      <c r="AY50" s="199"/>
      <c r="AZ50" s="200"/>
      <c r="BA50" s="201"/>
      <c r="BB50" s="253" t="str">
        <f>IF(COUNTBLANK(AX50:BA50)=4,"",SUM(AX50:AZ50)+IF(Setup!$I$15="No",0,BA50))</f>
        <v/>
      </c>
      <c r="BC50" s="257">
        <f ca="1">IF('Demand background (hide)'!A41=Num_Modalities,"",SUM(Demand!I50))</f>
        <v>78</v>
      </c>
      <c r="BD50" s="257">
        <f ca="1">IF(AND(A50&lt;=MaxRows,BE50&lt;&gt;"Yes"),'Demand background (hide)'!X41+IF(Setup!$I$15="Yes",'Demand background (hide)'!AJ41,0),"")</f>
        <v>156</v>
      </c>
      <c r="BE50" s="207"/>
    </row>
    <row r="51" spans="1:57" x14ac:dyDescent="0.25">
      <c r="A51">
        <f t="shared" ca="1" si="0"/>
        <v>39</v>
      </c>
      <c r="B51" s="260" t="str">
        <f t="shared" ca="1" si="1"/>
        <v xml:space="preserve"> </v>
      </c>
      <c r="C51" s="262">
        <f t="shared" ca="1" si="2"/>
        <v>48</v>
      </c>
      <c r="D51" s="350">
        <f t="shared" ca="1" si="3"/>
        <v>44158</v>
      </c>
      <c r="E51" s="184"/>
      <c r="F51" s="185"/>
      <c r="G51" s="186">
        <v>70</v>
      </c>
      <c r="H51" s="187"/>
      <c r="I51" s="249">
        <f>IF(COUNTBLANK(E51:H51)=4,"",SUM(E51:G51)+IF(Setup!$I$15="No",0,H51))</f>
        <v>70</v>
      </c>
      <c r="J51" s="198"/>
      <c r="K51" s="199"/>
      <c r="L51" s="200"/>
      <c r="M51" s="201"/>
      <c r="N51" s="253" t="str">
        <f>IF(COUNTBLANK(J51:M51)=4,"",SUM(J51:L51)+IF(Setup!$I$15="No",0,M51))</f>
        <v/>
      </c>
      <c r="O51" s="184"/>
      <c r="P51" s="185"/>
      <c r="Q51" s="186"/>
      <c r="R51" s="187"/>
      <c r="S51" s="249" t="str">
        <f>IF(COUNTBLANK(O51:R51)=4,"",SUM(O51:Q51)+IF(Setup!$I$15="No",0,R51))</f>
        <v/>
      </c>
      <c r="T51" s="198"/>
      <c r="U51" s="199"/>
      <c r="V51" s="200"/>
      <c r="W51" s="201"/>
      <c r="X51" s="253" t="str">
        <f>IF(COUNTBLANK(T51:W51)=4,"",SUM(T51:V51)+IF(Setup!$I$15="No",0,W51))</f>
        <v/>
      </c>
      <c r="Y51" s="184"/>
      <c r="Z51" s="185"/>
      <c r="AA51" s="186"/>
      <c r="AB51" s="187"/>
      <c r="AC51" s="249" t="str">
        <f>IF(COUNTBLANK(Y51:AB51)=4,"",SUM(Y51:AA51)+IF(Setup!$I$15="No",0,AB51))</f>
        <v/>
      </c>
      <c r="AD51" s="198"/>
      <c r="AE51" s="199"/>
      <c r="AF51" s="200"/>
      <c r="AG51" s="201"/>
      <c r="AH51" s="253" t="str">
        <f>IF(COUNTBLANK(AD51:AG51)=4,"",SUM(AD51:AF51)+IF(Setup!$I$15="No",0,AG51))</f>
        <v/>
      </c>
      <c r="AI51" s="184"/>
      <c r="AJ51" s="185"/>
      <c r="AK51" s="186"/>
      <c r="AL51" s="187"/>
      <c r="AM51" s="249" t="str">
        <f>IF(COUNTBLANK(AI51:AL51)=4,"",SUM(AI51:AK51)+IF(Setup!$I$15="No",0,AL51))</f>
        <v/>
      </c>
      <c r="AN51" s="198"/>
      <c r="AO51" s="199"/>
      <c r="AP51" s="200"/>
      <c r="AQ51" s="201"/>
      <c r="AR51" s="253" t="str">
        <f>IF(COUNTBLANK(AN51:AQ51)=4,"",SUM(AN51:AP51)+IF(Setup!$I$15="No",0,AQ51))</f>
        <v/>
      </c>
      <c r="AS51" s="184"/>
      <c r="AT51" s="185"/>
      <c r="AU51" s="186"/>
      <c r="AV51" s="187"/>
      <c r="AW51" s="249" t="str">
        <f>IF(COUNTBLANK(AS51:AV51)=4,"",SUM(AS51:AU51)+IF(Setup!$I$15="No",0,AV51))</f>
        <v/>
      </c>
      <c r="AX51" s="198"/>
      <c r="AY51" s="199"/>
      <c r="AZ51" s="200"/>
      <c r="BA51" s="201"/>
      <c r="BB51" s="253" t="str">
        <f>IF(COUNTBLANK(AX51:BA51)=4,"",SUM(AX51:AZ51)+IF(Setup!$I$15="No",0,BA51))</f>
        <v/>
      </c>
      <c r="BC51" s="257">
        <f ca="1">IF('Demand background (hide)'!A42=Num_Modalities,"",SUM(Demand!I51))</f>
        <v>70</v>
      </c>
      <c r="BD51" s="257">
        <f ca="1">IF(AND(A51&lt;=MaxRows,BE51&lt;&gt;"Yes"),'Demand background (hide)'!X42+IF(Setup!$I$15="Yes",'Demand background (hide)'!AJ42,0),"")</f>
        <v>140</v>
      </c>
      <c r="BE51" s="207"/>
    </row>
    <row r="52" spans="1:57" x14ac:dyDescent="0.25">
      <c r="A52">
        <f t="shared" ca="1" si="0"/>
        <v>40</v>
      </c>
      <c r="B52" s="260" t="str">
        <f t="shared" ca="1" si="1"/>
        <v xml:space="preserve"> </v>
      </c>
      <c r="C52" s="262">
        <f t="shared" ca="1" si="2"/>
        <v>49</v>
      </c>
      <c r="D52" s="350">
        <f t="shared" ca="1" si="3"/>
        <v>44165</v>
      </c>
      <c r="E52" s="184"/>
      <c r="F52" s="185"/>
      <c r="G52" s="186">
        <v>65</v>
      </c>
      <c r="H52" s="187"/>
      <c r="I52" s="249">
        <f>IF(COUNTBLANK(E52:H52)=4,"",SUM(E52:G52)+IF(Setup!$I$15="No",0,H52))</f>
        <v>65</v>
      </c>
      <c r="J52" s="198"/>
      <c r="K52" s="199"/>
      <c r="L52" s="200"/>
      <c r="M52" s="201"/>
      <c r="N52" s="253" t="str">
        <f>IF(COUNTBLANK(J52:M52)=4,"",SUM(J52:L52)+IF(Setup!$I$15="No",0,M52))</f>
        <v/>
      </c>
      <c r="O52" s="184"/>
      <c r="P52" s="185"/>
      <c r="Q52" s="186"/>
      <c r="R52" s="187"/>
      <c r="S52" s="249" t="str">
        <f>IF(COUNTBLANK(O52:R52)=4,"",SUM(O52:Q52)+IF(Setup!$I$15="No",0,R52))</f>
        <v/>
      </c>
      <c r="T52" s="198"/>
      <c r="U52" s="199"/>
      <c r="V52" s="200"/>
      <c r="W52" s="201"/>
      <c r="X52" s="253" t="str">
        <f>IF(COUNTBLANK(T52:W52)=4,"",SUM(T52:V52)+IF(Setup!$I$15="No",0,W52))</f>
        <v/>
      </c>
      <c r="Y52" s="184"/>
      <c r="Z52" s="185"/>
      <c r="AA52" s="186"/>
      <c r="AB52" s="187"/>
      <c r="AC52" s="249" t="str">
        <f>IF(COUNTBLANK(Y52:AB52)=4,"",SUM(Y52:AA52)+IF(Setup!$I$15="No",0,AB52))</f>
        <v/>
      </c>
      <c r="AD52" s="198"/>
      <c r="AE52" s="199"/>
      <c r="AF52" s="200"/>
      <c r="AG52" s="201"/>
      <c r="AH52" s="253" t="str">
        <f>IF(COUNTBLANK(AD52:AG52)=4,"",SUM(AD52:AF52)+IF(Setup!$I$15="No",0,AG52))</f>
        <v/>
      </c>
      <c r="AI52" s="184"/>
      <c r="AJ52" s="185"/>
      <c r="AK52" s="186"/>
      <c r="AL52" s="187"/>
      <c r="AM52" s="249" t="str">
        <f>IF(COUNTBLANK(AI52:AL52)=4,"",SUM(AI52:AK52)+IF(Setup!$I$15="No",0,AL52))</f>
        <v/>
      </c>
      <c r="AN52" s="198"/>
      <c r="AO52" s="199"/>
      <c r="AP52" s="200"/>
      <c r="AQ52" s="201"/>
      <c r="AR52" s="253" t="str">
        <f>IF(COUNTBLANK(AN52:AQ52)=4,"",SUM(AN52:AP52)+IF(Setup!$I$15="No",0,AQ52))</f>
        <v/>
      </c>
      <c r="AS52" s="184"/>
      <c r="AT52" s="185"/>
      <c r="AU52" s="186"/>
      <c r="AV52" s="187"/>
      <c r="AW52" s="249" t="str">
        <f>IF(COUNTBLANK(AS52:AV52)=4,"",SUM(AS52:AU52)+IF(Setup!$I$15="No",0,AV52))</f>
        <v/>
      </c>
      <c r="AX52" s="198"/>
      <c r="AY52" s="199"/>
      <c r="AZ52" s="200"/>
      <c r="BA52" s="201"/>
      <c r="BB52" s="253" t="str">
        <f>IF(COUNTBLANK(AX52:BA52)=4,"",SUM(AX52:AZ52)+IF(Setup!$I$15="No",0,BA52))</f>
        <v/>
      </c>
      <c r="BC52" s="257">
        <f ca="1">IF('Demand background (hide)'!A43=Num_Modalities,"",SUM(Demand!I52))</f>
        <v>65</v>
      </c>
      <c r="BD52" s="257">
        <f ca="1">IF(AND(A52&lt;=MaxRows,BE52&lt;&gt;"Yes"),'Demand background (hide)'!X43+IF(Setup!$I$15="Yes",'Demand background (hide)'!AJ43,0),"")</f>
        <v>130</v>
      </c>
      <c r="BE52" s="207"/>
    </row>
    <row r="53" spans="1:57" x14ac:dyDescent="0.25">
      <c r="A53">
        <f t="shared" ca="1" si="0"/>
        <v>41</v>
      </c>
      <c r="B53" s="260" t="str">
        <f t="shared" ca="1" si="1"/>
        <v xml:space="preserve"> </v>
      </c>
      <c r="C53" s="262">
        <f t="shared" ca="1" si="2"/>
        <v>50</v>
      </c>
      <c r="D53" s="350">
        <f t="shared" ca="1" si="3"/>
        <v>44172</v>
      </c>
      <c r="E53" s="184"/>
      <c r="F53" s="185"/>
      <c r="G53" s="186">
        <v>60</v>
      </c>
      <c r="H53" s="187"/>
      <c r="I53" s="249">
        <f>IF(COUNTBLANK(E53:H53)=4,"",SUM(E53:G53)+IF(Setup!$I$15="No",0,H53))</f>
        <v>60</v>
      </c>
      <c r="J53" s="198"/>
      <c r="K53" s="199"/>
      <c r="L53" s="200"/>
      <c r="M53" s="201"/>
      <c r="N53" s="253" t="str">
        <f>IF(COUNTBLANK(J53:M53)=4,"",SUM(J53:L53)+IF(Setup!$I$15="No",0,M53))</f>
        <v/>
      </c>
      <c r="O53" s="184"/>
      <c r="P53" s="185"/>
      <c r="Q53" s="186"/>
      <c r="R53" s="187"/>
      <c r="S53" s="249" t="str">
        <f>IF(COUNTBLANK(O53:R53)=4,"",SUM(O53:Q53)+IF(Setup!$I$15="No",0,R53))</f>
        <v/>
      </c>
      <c r="T53" s="198"/>
      <c r="U53" s="199"/>
      <c r="V53" s="200"/>
      <c r="W53" s="201"/>
      <c r="X53" s="253" t="str">
        <f>IF(COUNTBLANK(T53:W53)=4,"",SUM(T53:V53)+IF(Setup!$I$15="No",0,W53))</f>
        <v/>
      </c>
      <c r="Y53" s="184"/>
      <c r="Z53" s="185"/>
      <c r="AA53" s="186"/>
      <c r="AB53" s="187"/>
      <c r="AC53" s="249" t="str">
        <f>IF(COUNTBLANK(Y53:AB53)=4,"",SUM(Y53:AA53)+IF(Setup!$I$15="No",0,AB53))</f>
        <v/>
      </c>
      <c r="AD53" s="198"/>
      <c r="AE53" s="199"/>
      <c r="AF53" s="200"/>
      <c r="AG53" s="201"/>
      <c r="AH53" s="253" t="str">
        <f>IF(COUNTBLANK(AD53:AG53)=4,"",SUM(AD53:AF53)+IF(Setup!$I$15="No",0,AG53))</f>
        <v/>
      </c>
      <c r="AI53" s="184"/>
      <c r="AJ53" s="185"/>
      <c r="AK53" s="186"/>
      <c r="AL53" s="187"/>
      <c r="AM53" s="249" t="str">
        <f>IF(COUNTBLANK(AI53:AL53)=4,"",SUM(AI53:AK53)+IF(Setup!$I$15="No",0,AL53))</f>
        <v/>
      </c>
      <c r="AN53" s="198"/>
      <c r="AO53" s="199"/>
      <c r="AP53" s="200"/>
      <c r="AQ53" s="201"/>
      <c r="AR53" s="253" t="str">
        <f>IF(COUNTBLANK(AN53:AQ53)=4,"",SUM(AN53:AP53)+IF(Setup!$I$15="No",0,AQ53))</f>
        <v/>
      </c>
      <c r="AS53" s="184"/>
      <c r="AT53" s="185"/>
      <c r="AU53" s="186"/>
      <c r="AV53" s="187"/>
      <c r="AW53" s="249" t="str">
        <f>IF(COUNTBLANK(AS53:AV53)=4,"",SUM(AS53:AU53)+IF(Setup!$I$15="No",0,AV53))</f>
        <v/>
      </c>
      <c r="AX53" s="198"/>
      <c r="AY53" s="199"/>
      <c r="AZ53" s="200"/>
      <c r="BA53" s="201"/>
      <c r="BB53" s="253" t="str">
        <f>IF(COUNTBLANK(AX53:BA53)=4,"",SUM(AX53:AZ53)+IF(Setup!$I$15="No",0,BA53))</f>
        <v/>
      </c>
      <c r="BC53" s="257">
        <f ca="1">IF('Demand background (hide)'!A44=Num_Modalities,"",SUM(Demand!I53))</f>
        <v>60</v>
      </c>
      <c r="BD53" s="257">
        <f ca="1">IF(AND(A53&lt;=MaxRows,BE53&lt;&gt;"Yes"),'Demand background (hide)'!X44+IF(Setup!$I$15="Yes",'Demand background (hide)'!AJ44,0),"")</f>
        <v>120</v>
      </c>
      <c r="BE53" s="207"/>
    </row>
    <row r="54" spans="1:57" x14ac:dyDescent="0.25">
      <c r="A54">
        <f t="shared" ca="1" si="0"/>
        <v>42</v>
      </c>
      <c r="B54" s="260" t="str">
        <f t="shared" ca="1" si="1"/>
        <v xml:space="preserve"> </v>
      </c>
      <c r="C54" s="262">
        <f t="shared" ca="1" si="2"/>
        <v>51</v>
      </c>
      <c r="D54" s="350">
        <f t="shared" ca="1" si="3"/>
        <v>44179</v>
      </c>
      <c r="E54" s="184"/>
      <c r="F54" s="185"/>
      <c r="G54" s="186">
        <v>75</v>
      </c>
      <c r="H54" s="187"/>
      <c r="I54" s="249">
        <f>IF(COUNTBLANK(E54:H54)=4,"",SUM(E54:G54)+IF(Setup!$I$15="No",0,H54))</f>
        <v>75</v>
      </c>
      <c r="J54" s="198"/>
      <c r="K54" s="199"/>
      <c r="L54" s="200"/>
      <c r="M54" s="201"/>
      <c r="N54" s="253" t="str">
        <f>IF(COUNTBLANK(J54:M54)=4,"",SUM(J54:L54)+IF(Setup!$I$15="No",0,M54))</f>
        <v/>
      </c>
      <c r="O54" s="184"/>
      <c r="P54" s="185"/>
      <c r="Q54" s="186"/>
      <c r="R54" s="187"/>
      <c r="S54" s="249" t="str">
        <f>IF(COUNTBLANK(O54:R54)=4,"",SUM(O54:Q54)+IF(Setup!$I$15="No",0,R54))</f>
        <v/>
      </c>
      <c r="T54" s="198"/>
      <c r="U54" s="199"/>
      <c r="V54" s="200"/>
      <c r="W54" s="201"/>
      <c r="X54" s="253" t="str">
        <f>IF(COUNTBLANK(T54:W54)=4,"",SUM(T54:V54)+IF(Setup!$I$15="No",0,W54))</f>
        <v/>
      </c>
      <c r="Y54" s="184"/>
      <c r="Z54" s="185"/>
      <c r="AA54" s="186"/>
      <c r="AB54" s="187"/>
      <c r="AC54" s="249" t="str">
        <f>IF(COUNTBLANK(Y54:AB54)=4,"",SUM(Y54:AA54)+IF(Setup!$I$15="No",0,AB54))</f>
        <v/>
      </c>
      <c r="AD54" s="198"/>
      <c r="AE54" s="199"/>
      <c r="AF54" s="200"/>
      <c r="AG54" s="201"/>
      <c r="AH54" s="253" t="str">
        <f>IF(COUNTBLANK(AD54:AG54)=4,"",SUM(AD54:AF54)+IF(Setup!$I$15="No",0,AG54))</f>
        <v/>
      </c>
      <c r="AI54" s="184"/>
      <c r="AJ54" s="185"/>
      <c r="AK54" s="186"/>
      <c r="AL54" s="187"/>
      <c r="AM54" s="249" t="str">
        <f>IF(COUNTBLANK(AI54:AL54)=4,"",SUM(AI54:AK54)+IF(Setup!$I$15="No",0,AL54))</f>
        <v/>
      </c>
      <c r="AN54" s="198"/>
      <c r="AO54" s="199"/>
      <c r="AP54" s="200"/>
      <c r="AQ54" s="201"/>
      <c r="AR54" s="253" t="str">
        <f>IF(COUNTBLANK(AN54:AQ54)=4,"",SUM(AN54:AP54)+IF(Setup!$I$15="No",0,AQ54))</f>
        <v/>
      </c>
      <c r="AS54" s="184"/>
      <c r="AT54" s="185"/>
      <c r="AU54" s="186"/>
      <c r="AV54" s="187"/>
      <c r="AW54" s="249" t="str">
        <f>IF(COUNTBLANK(AS54:AV54)=4,"",SUM(AS54:AU54)+IF(Setup!$I$15="No",0,AV54))</f>
        <v/>
      </c>
      <c r="AX54" s="198"/>
      <c r="AY54" s="199"/>
      <c r="AZ54" s="200"/>
      <c r="BA54" s="201"/>
      <c r="BB54" s="253" t="str">
        <f>IF(COUNTBLANK(AX54:BA54)=4,"",SUM(AX54:AZ54)+IF(Setup!$I$15="No",0,BA54))</f>
        <v/>
      </c>
      <c r="BC54" s="257">
        <f ca="1">IF('Demand background (hide)'!A45=Num_Modalities,"",SUM(Demand!I54))</f>
        <v>75</v>
      </c>
      <c r="BD54" s="257">
        <f ca="1">IF(AND(A54&lt;=MaxRows,BE54&lt;&gt;"Yes"),'Demand background (hide)'!X45+IF(Setup!$I$15="Yes",'Demand background (hide)'!AJ45,0),"")</f>
        <v>150</v>
      </c>
      <c r="BE54" s="207"/>
    </row>
    <row r="55" spans="1:57" x14ac:dyDescent="0.25">
      <c r="A55">
        <f t="shared" ca="1" si="0"/>
        <v>43</v>
      </c>
      <c r="B55" s="260" t="str">
        <f t="shared" ca="1" si="1"/>
        <v xml:space="preserve"> </v>
      </c>
      <c r="C55" s="262">
        <f t="shared" ca="1" si="2"/>
        <v>52</v>
      </c>
      <c r="D55" s="350">
        <f t="shared" ca="1" si="3"/>
        <v>44186</v>
      </c>
      <c r="E55" s="184"/>
      <c r="F55" s="185"/>
      <c r="G55" s="186">
        <v>77</v>
      </c>
      <c r="H55" s="187"/>
      <c r="I55" s="249">
        <f>IF(COUNTBLANK(E55:H55)=4,"",SUM(E55:G55)+IF(Setup!$I$15="No",0,H55))</f>
        <v>77</v>
      </c>
      <c r="J55" s="198"/>
      <c r="K55" s="199"/>
      <c r="L55" s="200"/>
      <c r="M55" s="201"/>
      <c r="N55" s="253" t="str">
        <f>IF(COUNTBLANK(J55:M55)=4,"",SUM(J55:L55)+IF(Setup!$I$15="No",0,M55))</f>
        <v/>
      </c>
      <c r="O55" s="184"/>
      <c r="P55" s="185"/>
      <c r="Q55" s="186"/>
      <c r="R55" s="187"/>
      <c r="S55" s="249" t="str">
        <f>IF(COUNTBLANK(O55:R55)=4,"",SUM(O55:Q55)+IF(Setup!$I$15="No",0,R55))</f>
        <v/>
      </c>
      <c r="T55" s="198"/>
      <c r="U55" s="199"/>
      <c r="V55" s="200"/>
      <c r="W55" s="201"/>
      <c r="X55" s="253" t="str">
        <f>IF(COUNTBLANK(T55:W55)=4,"",SUM(T55:V55)+IF(Setup!$I$15="No",0,W55))</f>
        <v/>
      </c>
      <c r="Y55" s="184"/>
      <c r="Z55" s="185"/>
      <c r="AA55" s="186"/>
      <c r="AB55" s="187"/>
      <c r="AC55" s="249" t="str">
        <f>IF(COUNTBLANK(Y55:AB55)=4,"",SUM(Y55:AA55)+IF(Setup!$I$15="No",0,AB55))</f>
        <v/>
      </c>
      <c r="AD55" s="198"/>
      <c r="AE55" s="199"/>
      <c r="AF55" s="200"/>
      <c r="AG55" s="201"/>
      <c r="AH55" s="253" t="str">
        <f>IF(COUNTBLANK(AD55:AG55)=4,"",SUM(AD55:AF55)+IF(Setup!$I$15="No",0,AG55))</f>
        <v/>
      </c>
      <c r="AI55" s="184"/>
      <c r="AJ55" s="185"/>
      <c r="AK55" s="186"/>
      <c r="AL55" s="187"/>
      <c r="AM55" s="249" t="str">
        <f>IF(COUNTBLANK(AI55:AL55)=4,"",SUM(AI55:AK55)+IF(Setup!$I$15="No",0,AL55))</f>
        <v/>
      </c>
      <c r="AN55" s="198"/>
      <c r="AO55" s="199"/>
      <c r="AP55" s="200"/>
      <c r="AQ55" s="201"/>
      <c r="AR55" s="253" t="str">
        <f>IF(COUNTBLANK(AN55:AQ55)=4,"",SUM(AN55:AP55)+IF(Setup!$I$15="No",0,AQ55))</f>
        <v/>
      </c>
      <c r="AS55" s="184"/>
      <c r="AT55" s="185"/>
      <c r="AU55" s="186"/>
      <c r="AV55" s="187"/>
      <c r="AW55" s="249" t="str">
        <f>IF(COUNTBLANK(AS55:AV55)=4,"",SUM(AS55:AU55)+IF(Setup!$I$15="No",0,AV55))</f>
        <v/>
      </c>
      <c r="AX55" s="198"/>
      <c r="AY55" s="199"/>
      <c r="AZ55" s="200"/>
      <c r="BA55" s="201"/>
      <c r="BB55" s="253" t="str">
        <f>IF(COUNTBLANK(AX55:BA55)=4,"",SUM(AX55:AZ55)+IF(Setup!$I$15="No",0,BA55))</f>
        <v/>
      </c>
      <c r="BC55" s="257">
        <f ca="1">IF('Demand background (hide)'!A46=Num_Modalities,"",SUM(Demand!I55))</f>
        <v>77</v>
      </c>
      <c r="BD55" s="257">
        <f ca="1">IF(AND(A55&lt;=MaxRows,BE55&lt;&gt;"Yes"),'Demand background (hide)'!X46+IF(Setup!$I$15="Yes",'Demand background (hide)'!AJ46,0),"")</f>
        <v>154</v>
      </c>
      <c r="BE55" s="207"/>
    </row>
    <row r="56" spans="1:57" x14ac:dyDescent="0.25">
      <c r="A56">
        <f t="shared" ca="1" si="0"/>
        <v>44</v>
      </c>
      <c r="B56" s="260" t="str">
        <f t="shared" ca="1" si="1"/>
        <v xml:space="preserve"> </v>
      </c>
      <c r="C56" s="262">
        <f t="shared" ca="1" si="2"/>
        <v>53</v>
      </c>
      <c r="D56" s="350">
        <f t="shared" ca="1" si="3"/>
        <v>44193</v>
      </c>
      <c r="E56" s="184"/>
      <c r="F56" s="185"/>
      <c r="G56" s="186">
        <v>70</v>
      </c>
      <c r="H56" s="187"/>
      <c r="I56" s="249">
        <f>IF(COUNTBLANK(E56:H56)=4,"",SUM(E56:G56)+IF(Setup!$I$15="No",0,H56))</f>
        <v>70</v>
      </c>
      <c r="J56" s="198"/>
      <c r="K56" s="199"/>
      <c r="L56" s="200"/>
      <c r="M56" s="201"/>
      <c r="N56" s="253" t="str">
        <f>IF(COUNTBLANK(J56:M56)=4,"",SUM(J56:L56)+IF(Setup!$I$15="No",0,M56))</f>
        <v/>
      </c>
      <c r="O56" s="184"/>
      <c r="P56" s="185"/>
      <c r="Q56" s="186"/>
      <c r="R56" s="187"/>
      <c r="S56" s="249" t="str">
        <f>IF(COUNTBLANK(O56:R56)=4,"",SUM(O56:Q56)+IF(Setup!$I$15="No",0,R56))</f>
        <v/>
      </c>
      <c r="T56" s="198"/>
      <c r="U56" s="199"/>
      <c r="V56" s="200"/>
      <c r="W56" s="201"/>
      <c r="X56" s="253" t="str">
        <f>IF(COUNTBLANK(T56:W56)=4,"",SUM(T56:V56)+IF(Setup!$I$15="No",0,W56))</f>
        <v/>
      </c>
      <c r="Y56" s="184"/>
      <c r="Z56" s="185"/>
      <c r="AA56" s="186"/>
      <c r="AB56" s="187"/>
      <c r="AC56" s="249" t="str">
        <f>IF(COUNTBLANK(Y56:AB56)=4,"",SUM(Y56:AA56)+IF(Setup!$I$15="No",0,AB56))</f>
        <v/>
      </c>
      <c r="AD56" s="198"/>
      <c r="AE56" s="199"/>
      <c r="AF56" s="200"/>
      <c r="AG56" s="201"/>
      <c r="AH56" s="253" t="str">
        <f>IF(COUNTBLANK(AD56:AG56)=4,"",SUM(AD56:AF56)+IF(Setup!$I$15="No",0,AG56))</f>
        <v/>
      </c>
      <c r="AI56" s="184"/>
      <c r="AJ56" s="185"/>
      <c r="AK56" s="186"/>
      <c r="AL56" s="187"/>
      <c r="AM56" s="249" t="str">
        <f>IF(COUNTBLANK(AI56:AL56)=4,"",SUM(AI56:AK56)+IF(Setup!$I$15="No",0,AL56))</f>
        <v/>
      </c>
      <c r="AN56" s="198"/>
      <c r="AO56" s="199"/>
      <c r="AP56" s="200"/>
      <c r="AQ56" s="201"/>
      <c r="AR56" s="253" t="str">
        <f>IF(COUNTBLANK(AN56:AQ56)=4,"",SUM(AN56:AP56)+IF(Setup!$I$15="No",0,AQ56))</f>
        <v/>
      </c>
      <c r="AS56" s="184"/>
      <c r="AT56" s="185"/>
      <c r="AU56" s="186"/>
      <c r="AV56" s="187"/>
      <c r="AW56" s="249" t="str">
        <f>IF(COUNTBLANK(AS56:AV56)=4,"",SUM(AS56:AU56)+IF(Setup!$I$15="No",0,AV56))</f>
        <v/>
      </c>
      <c r="AX56" s="198"/>
      <c r="AY56" s="199"/>
      <c r="AZ56" s="200"/>
      <c r="BA56" s="201"/>
      <c r="BB56" s="253" t="str">
        <f>IF(COUNTBLANK(AX56:BA56)=4,"",SUM(AX56:AZ56)+IF(Setup!$I$15="No",0,BA56))</f>
        <v/>
      </c>
      <c r="BC56" s="257">
        <f ca="1">IF('Demand background (hide)'!A47=Num_Modalities,"",SUM(Demand!I56))</f>
        <v>70</v>
      </c>
      <c r="BD56" s="257">
        <f ca="1">IF(AND(A56&lt;=MaxRows,BE56&lt;&gt;"Yes"),'Demand background (hide)'!X47+IF(Setup!$I$15="Yes",'Demand background (hide)'!AJ47,0),"")</f>
        <v>140</v>
      </c>
      <c r="BE56" s="207"/>
    </row>
    <row r="57" spans="1:57" x14ac:dyDescent="0.25">
      <c r="A57">
        <f t="shared" ca="1" si="0"/>
        <v>45</v>
      </c>
      <c r="B57" s="260">
        <f t="shared" ca="1" si="1"/>
        <v>2021</v>
      </c>
      <c r="C57" s="262">
        <f t="shared" ca="1" si="2"/>
        <v>1</v>
      </c>
      <c r="D57" s="350">
        <f t="shared" ca="1" si="3"/>
        <v>44200</v>
      </c>
      <c r="E57" s="184"/>
      <c r="F57" s="185"/>
      <c r="G57" s="186">
        <v>68</v>
      </c>
      <c r="H57" s="187"/>
      <c r="I57" s="249">
        <f>IF(COUNTBLANK(E57:H57)=4,"",SUM(E57:G57)+IF(Setup!$I$15="No",0,H57))</f>
        <v>68</v>
      </c>
      <c r="J57" s="198"/>
      <c r="K57" s="199"/>
      <c r="L57" s="200"/>
      <c r="M57" s="201"/>
      <c r="N57" s="253" t="str">
        <f>IF(COUNTBLANK(J57:M57)=4,"",SUM(J57:L57)+IF(Setup!$I$15="No",0,M57))</f>
        <v/>
      </c>
      <c r="O57" s="184"/>
      <c r="P57" s="185"/>
      <c r="Q57" s="186"/>
      <c r="R57" s="187"/>
      <c r="S57" s="249" t="str">
        <f>IF(COUNTBLANK(O57:R57)=4,"",SUM(O57:Q57)+IF(Setup!$I$15="No",0,R57))</f>
        <v/>
      </c>
      <c r="T57" s="198"/>
      <c r="U57" s="199"/>
      <c r="V57" s="200"/>
      <c r="W57" s="201"/>
      <c r="X57" s="253" t="str">
        <f>IF(COUNTBLANK(T57:W57)=4,"",SUM(T57:V57)+IF(Setup!$I$15="No",0,W57))</f>
        <v/>
      </c>
      <c r="Y57" s="184"/>
      <c r="Z57" s="185"/>
      <c r="AA57" s="186"/>
      <c r="AB57" s="187"/>
      <c r="AC57" s="249" t="str">
        <f>IF(COUNTBLANK(Y57:AB57)=4,"",SUM(Y57:AA57)+IF(Setup!$I$15="No",0,AB57))</f>
        <v/>
      </c>
      <c r="AD57" s="198"/>
      <c r="AE57" s="199"/>
      <c r="AF57" s="200"/>
      <c r="AG57" s="201"/>
      <c r="AH57" s="253" t="str">
        <f>IF(COUNTBLANK(AD57:AG57)=4,"",SUM(AD57:AF57)+IF(Setup!$I$15="No",0,AG57))</f>
        <v/>
      </c>
      <c r="AI57" s="184"/>
      <c r="AJ57" s="185"/>
      <c r="AK57" s="186"/>
      <c r="AL57" s="187"/>
      <c r="AM57" s="249" t="str">
        <f>IF(COUNTBLANK(AI57:AL57)=4,"",SUM(AI57:AK57)+IF(Setup!$I$15="No",0,AL57))</f>
        <v/>
      </c>
      <c r="AN57" s="198"/>
      <c r="AO57" s="199"/>
      <c r="AP57" s="200"/>
      <c r="AQ57" s="201"/>
      <c r="AR57" s="253" t="str">
        <f>IF(COUNTBLANK(AN57:AQ57)=4,"",SUM(AN57:AP57)+IF(Setup!$I$15="No",0,AQ57))</f>
        <v/>
      </c>
      <c r="AS57" s="184"/>
      <c r="AT57" s="185"/>
      <c r="AU57" s="186"/>
      <c r="AV57" s="187"/>
      <c r="AW57" s="249" t="str">
        <f>IF(COUNTBLANK(AS57:AV57)=4,"",SUM(AS57:AU57)+IF(Setup!$I$15="No",0,AV57))</f>
        <v/>
      </c>
      <c r="AX57" s="198"/>
      <c r="AY57" s="199"/>
      <c r="AZ57" s="200"/>
      <c r="BA57" s="201"/>
      <c r="BB57" s="253" t="str">
        <f>IF(COUNTBLANK(AX57:BA57)=4,"",SUM(AX57:AZ57)+IF(Setup!$I$15="No",0,BA57))</f>
        <v/>
      </c>
      <c r="BC57" s="257">
        <f ca="1">IF('Demand background (hide)'!A48=Num_Modalities,"",SUM(Demand!I57))</f>
        <v>68</v>
      </c>
      <c r="BD57" s="257">
        <f ca="1">IF(AND(A57&lt;=MaxRows,BE57&lt;&gt;"Yes"),'Demand background (hide)'!X48+IF(Setup!$I$15="Yes",'Demand background (hide)'!AJ48,0),"")</f>
        <v>136</v>
      </c>
      <c r="BE57" s="207"/>
    </row>
    <row r="58" spans="1:57" x14ac:dyDescent="0.25">
      <c r="A58">
        <f t="shared" ca="1" si="0"/>
        <v>46</v>
      </c>
      <c r="B58" s="260" t="str">
        <f t="shared" ca="1" si="1"/>
        <v xml:space="preserve"> </v>
      </c>
      <c r="C58" s="262">
        <f t="shared" ca="1" si="2"/>
        <v>2</v>
      </c>
      <c r="D58" s="350">
        <f t="shared" ca="1" si="3"/>
        <v>44207</v>
      </c>
      <c r="E58" s="184"/>
      <c r="F58" s="185"/>
      <c r="G58" s="186">
        <v>76</v>
      </c>
      <c r="H58" s="187"/>
      <c r="I58" s="249">
        <f>IF(COUNTBLANK(E58:H58)=4,"",SUM(E58:G58)+IF(Setup!$I$15="No",0,H58))</f>
        <v>76</v>
      </c>
      <c r="J58" s="198"/>
      <c r="K58" s="199"/>
      <c r="L58" s="200"/>
      <c r="M58" s="201"/>
      <c r="N58" s="253" t="str">
        <f>IF(COUNTBLANK(J58:M58)=4,"",SUM(J58:L58)+IF(Setup!$I$15="No",0,M58))</f>
        <v/>
      </c>
      <c r="O58" s="184"/>
      <c r="P58" s="185"/>
      <c r="Q58" s="186"/>
      <c r="R58" s="187"/>
      <c r="S58" s="249" t="str">
        <f>IF(COUNTBLANK(O58:R58)=4,"",SUM(O58:Q58)+IF(Setup!$I$15="No",0,R58))</f>
        <v/>
      </c>
      <c r="T58" s="198"/>
      <c r="U58" s="199"/>
      <c r="V58" s="200"/>
      <c r="W58" s="201"/>
      <c r="X58" s="253" t="str">
        <f>IF(COUNTBLANK(T58:W58)=4,"",SUM(T58:V58)+IF(Setup!$I$15="No",0,W58))</f>
        <v/>
      </c>
      <c r="Y58" s="184"/>
      <c r="Z58" s="185"/>
      <c r="AA58" s="186"/>
      <c r="AB58" s="187"/>
      <c r="AC58" s="249" t="str">
        <f>IF(COUNTBLANK(Y58:AB58)=4,"",SUM(Y58:AA58)+IF(Setup!$I$15="No",0,AB58))</f>
        <v/>
      </c>
      <c r="AD58" s="198"/>
      <c r="AE58" s="199"/>
      <c r="AF58" s="200"/>
      <c r="AG58" s="201"/>
      <c r="AH58" s="253" t="str">
        <f>IF(COUNTBLANK(AD58:AG58)=4,"",SUM(AD58:AF58)+IF(Setup!$I$15="No",0,AG58))</f>
        <v/>
      </c>
      <c r="AI58" s="184"/>
      <c r="AJ58" s="185"/>
      <c r="AK58" s="186"/>
      <c r="AL58" s="187"/>
      <c r="AM58" s="249" t="str">
        <f>IF(COUNTBLANK(AI58:AL58)=4,"",SUM(AI58:AK58)+IF(Setup!$I$15="No",0,AL58))</f>
        <v/>
      </c>
      <c r="AN58" s="198"/>
      <c r="AO58" s="199"/>
      <c r="AP58" s="200"/>
      <c r="AQ58" s="201"/>
      <c r="AR58" s="253" t="str">
        <f>IF(COUNTBLANK(AN58:AQ58)=4,"",SUM(AN58:AP58)+IF(Setup!$I$15="No",0,AQ58))</f>
        <v/>
      </c>
      <c r="AS58" s="184"/>
      <c r="AT58" s="185"/>
      <c r="AU58" s="186"/>
      <c r="AV58" s="187"/>
      <c r="AW58" s="249" t="str">
        <f>IF(COUNTBLANK(AS58:AV58)=4,"",SUM(AS58:AU58)+IF(Setup!$I$15="No",0,AV58))</f>
        <v/>
      </c>
      <c r="AX58" s="198"/>
      <c r="AY58" s="199"/>
      <c r="AZ58" s="200"/>
      <c r="BA58" s="201"/>
      <c r="BB58" s="253" t="str">
        <f>IF(COUNTBLANK(AX58:BA58)=4,"",SUM(AX58:AZ58)+IF(Setup!$I$15="No",0,BA58))</f>
        <v/>
      </c>
      <c r="BC58" s="257">
        <f ca="1">IF('Demand background (hide)'!A49=Num_Modalities,"",SUM(Demand!I58))</f>
        <v>76</v>
      </c>
      <c r="BD58" s="257">
        <f ca="1">IF(AND(A58&lt;=MaxRows,BE58&lt;&gt;"Yes"),'Demand background (hide)'!X49+IF(Setup!$I$15="Yes",'Demand background (hide)'!AJ49,0),"")</f>
        <v>152</v>
      </c>
      <c r="BE58" s="207"/>
    </row>
    <row r="59" spans="1:57" x14ac:dyDescent="0.25">
      <c r="A59">
        <f t="shared" ca="1" si="0"/>
        <v>47</v>
      </c>
      <c r="B59" s="260" t="str">
        <f t="shared" ca="1" si="1"/>
        <v xml:space="preserve"> </v>
      </c>
      <c r="C59" s="262">
        <f t="shared" ca="1" si="2"/>
        <v>3</v>
      </c>
      <c r="D59" s="350">
        <f t="shared" ca="1" si="3"/>
        <v>44214</v>
      </c>
      <c r="E59" s="184"/>
      <c r="F59" s="185"/>
      <c r="G59" s="186">
        <v>74</v>
      </c>
      <c r="H59" s="187"/>
      <c r="I59" s="249">
        <f>IF(COUNTBLANK(E59:H59)=4,"",SUM(E59:G59)+IF(Setup!$I$15="No",0,H59))</f>
        <v>74</v>
      </c>
      <c r="J59" s="198"/>
      <c r="K59" s="199"/>
      <c r="L59" s="200"/>
      <c r="M59" s="201"/>
      <c r="N59" s="253" t="str">
        <f>IF(COUNTBLANK(J59:M59)=4,"",SUM(J59:L59)+IF(Setup!$I$15="No",0,M59))</f>
        <v/>
      </c>
      <c r="O59" s="184"/>
      <c r="P59" s="185"/>
      <c r="Q59" s="186"/>
      <c r="R59" s="187"/>
      <c r="S59" s="249" t="str">
        <f>IF(COUNTBLANK(O59:R59)=4,"",SUM(O59:Q59)+IF(Setup!$I$15="No",0,R59))</f>
        <v/>
      </c>
      <c r="T59" s="198"/>
      <c r="U59" s="199"/>
      <c r="V59" s="200"/>
      <c r="W59" s="201"/>
      <c r="X59" s="253" t="str">
        <f>IF(COUNTBLANK(T59:W59)=4,"",SUM(T59:V59)+IF(Setup!$I$15="No",0,W59))</f>
        <v/>
      </c>
      <c r="Y59" s="184"/>
      <c r="Z59" s="185"/>
      <c r="AA59" s="186"/>
      <c r="AB59" s="187"/>
      <c r="AC59" s="249" t="str">
        <f>IF(COUNTBLANK(Y59:AB59)=4,"",SUM(Y59:AA59)+IF(Setup!$I$15="No",0,AB59))</f>
        <v/>
      </c>
      <c r="AD59" s="198"/>
      <c r="AE59" s="199"/>
      <c r="AF59" s="200"/>
      <c r="AG59" s="201"/>
      <c r="AH59" s="253" t="str">
        <f>IF(COUNTBLANK(AD59:AG59)=4,"",SUM(AD59:AF59)+IF(Setup!$I$15="No",0,AG59))</f>
        <v/>
      </c>
      <c r="AI59" s="184"/>
      <c r="AJ59" s="185"/>
      <c r="AK59" s="186"/>
      <c r="AL59" s="187"/>
      <c r="AM59" s="249" t="str">
        <f>IF(COUNTBLANK(AI59:AL59)=4,"",SUM(AI59:AK59)+IF(Setup!$I$15="No",0,AL59))</f>
        <v/>
      </c>
      <c r="AN59" s="198"/>
      <c r="AO59" s="199"/>
      <c r="AP59" s="200"/>
      <c r="AQ59" s="201"/>
      <c r="AR59" s="253" t="str">
        <f>IF(COUNTBLANK(AN59:AQ59)=4,"",SUM(AN59:AP59)+IF(Setup!$I$15="No",0,AQ59))</f>
        <v/>
      </c>
      <c r="AS59" s="184"/>
      <c r="AT59" s="185"/>
      <c r="AU59" s="186"/>
      <c r="AV59" s="187"/>
      <c r="AW59" s="249" t="str">
        <f>IF(COUNTBLANK(AS59:AV59)=4,"",SUM(AS59:AU59)+IF(Setup!$I$15="No",0,AV59))</f>
        <v/>
      </c>
      <c r="AX59" s="198"/>
      <c r="AY59" s="199"/>
      <c r="AZ59" s="200"/>
      <c r="BA59" s="201"/>
      <c r="BB59" s="253" t="str">
        <f>IF(COUNTBLANK(AX59:BA59)=4,"",SUM(AX59:AZ59)+IF(Setup!$I$15="No",0,BA59))</f>
        <v/>
      </c>
      <c r="BC59" s="257">
        <f ca="1">IF('Demand background (hide)'!A50=Num_Modalities,"",SUM(Demand!I59))</f>
        <v>74</v>
      </c>
      <c r="BD59" s="257">
        <f ca="1">IF(AND(A59&lt;=MaxRows,BE59&lt;&gt;"Yes"),'Demand background (hide)'!X50+IF(Setup!$I$15="Yes",'Demand background (hide)'!AJ50,0),"")</f>
        <v>148</v>
      </c>
      <c r="BE59" s="207"/>
    </row>
    <row r="60" spans="1:57" x14ac:dyDescent="0.25">
      <c r="A60">
        <f t="shared" ca="1" si="0"/>
        <v>48</v>
      </c>
      <c r="B60" s="260" t="str">
        <f t="shared" ca="1" si="1"/>
        <v xml:space="preserve"> </v>
      </c>
      <c r="C60" s="262">
        <f t="shared" ca="1" si="2"/>
        <v>4</v>
      </c>
      <c r="D60" s="350">
        <f t="shared" ca="1" si="3"/>
        <v>44221</v>
      </c>
      <c r="E60" s="184"/>
      <c r="F60" s="185"/>
      <c r="G60" s="186">
        <v>74</v>
      </c>
      <c r="H60" s="187"/>
      <c r="I60" s="249">
        <f>IF(COUNTBLANK(E60:H60)=4,"",SUM(E60:G60)+IF(Setup!$I$15="No",0,H60))</f>
        <v>74</v>
      </c>
      <c r="J60" s="198"/>
      <c r="K60" s="199"/>
      <c r="L60" s="200"/>
      <c r="M60" s="201"/>
      <c r="N60" s="253" t="str">
        <f>IF(COUNTBLANK(J60:M60)=4,"",SUM(J60:L60)+IF(Setup!$I$15="No",0,M60))</f>
        <v/>
      </c>
      <c r="O60" s="184"/>
      <c r="P60" s="185"/>
      <c r="Q60" s="186"/>
      <c r="R60" s="187"/>
      <c r="S60" s="249" t="str">
        <f>IF(COUNTBLANK(O60:R60)=4,"",SUM(O60:Q60)+IF(Setup!$I$15="No",0,R60))</f>
        <v/>
      </c>
      <c r="T60" s="198"/>
      <c r="U60" s="199"/>
      <c r="V60" s="200"/>
      <c r="W60" s="201"/>
      <c r="X60" s="253" t="str">
        <f>IF(COUNTBLANK(T60:W60)=4,"",SUM(T60:V60)+IF(Setup!$I$15="No",0,W60))</f>
        <v/>
      </c>
      <c r="Y60" s="184"/>
      <c r="Z60" s="185"/>
      <c r="AA60" s="186"/>
      <c r="AB60" s="187"/>
      <c r="AC60" s="249" t="str">
        <f>IF(COUNTBLANK(Y60:AB60)=4,"",SUM(Y60:AA60)+IF(Setup!$I$15="No",0,AB60))</f>
        <v/>
      </c>
      <c r="AD60" s="198"/>
      <c r="AE60" s="199"/>
      <c r="AF60" s="200"/>
      <c r="AG60" s="201"/>
      <c r="AH60" s="253" t="str">
        <f>IF(COUNTBLANK(AD60:AG60)=4,"",SUM(AD60:AF60)+IF(Setup!$I$15="No",0,AG60))</f>
        <v/>
      </c>
      <c r="AI60" s="184"/>
      <c r="AJ60" s="185"/>
      <c r="AK60" s="186"/>
      <c r="AL60" s="187"/>
      <c r="AM60" s="249" t="str">
        <f>IF(COUNTBLANK(AI60:AL60)=4,"",SUM(AI60:AK60)+IF(Setup!$I$15="No",0,AL60))</f>
        <v/>
      </c>
      <c r="AN60" s="198"/>
      <c r="AO60" s="199"/>
      <c r="AP60" s="200"/>
      <c r="AQ60" s="201"/>
      <c r="AR60" s="253" t="str">
        <f>IF(COUNTBLANK(AN60:AQ60)=4,"",SUM(AN60:AP60)+IF(Setup!$I$15="No",0,AQ60))</f>
        <v/>
      </c>
      <c r="AS60" s="184"/>
      <c r="AT60" s="185"/>
      <c r="AU60" s="186"/>
      <c r="AV60" s="187"/>
      <c r="AW60" s="249" t="str">
        <f>IF(COUNTBLANK(AS60:AV60)=4,"",SUM(AS60:AU60)+IF(Setup!$I$15="No",0,AV60))</f>
        <v/>
      </c>
      <c r="AX60" s="198"/>
      <c r="AY60" s="199"/>
      <c r="AZ60" s="200"/>
      <c r="BA60" s="201"/>
      <c r="BB60" s="253" t="str">
        <f>IF(COUNTBLANK(AX60:BA60)=4,"",SUM(AX60:AZ60)+IF(Setup!$I$15="No",0,BA60))</f>
        <v/>
      </c>
      <c r="BC60" s="257">
        <f ca="1">IF('Demand background (hide)'!A51=Num_Modalities,"",SUM(Demand!I60))</f>
        <v>74</v>
      </c>
      <c r="BD60" s="257">
        <f ca="1">IF(AND(A60&lt;=MaxRows,BE60&lt;&gt;"Yes"),'Demand background (hide)'!X51+IF(Setup!$I$15="Yes",'Demand background (hide)'!AJ51,0),"")</f>
        <v>148</v>
      </c>
      <c r="BE60" s="207"/>
    </row>
    <row r="61" spans="1:57" x14ac:dyDescent="0.25">
      <c r="A61">
        <f t="shared" ca="1" si="0"/>
        <v>49</v>
      </c>
      <c r="B61" s="260" t="str">
        <f t="shared" ca="1" si="1"/>
        <v xml:space="preserve"> </v>
      </c>
      <c r="C61" s="262">
        <f t="shared" ca="1" si="2"/>
        <v>5</v>
      </c>
      <c r="D61" s="350">
        <f t="shared" ca="1" si="3"/>
        <v>44228</v>
      </c>
      <c r="E61" s="184"/>
      <c r="F61" s="185"/>
      <c r="G61" s="186">
        <v>70</v>
      </c>
      <c r="H61" s="187"/>
      <c r="I61" s="249">
        <f>IF(COUNTBLANK(E61:H61)=4,"",SUM(E61:G61)+IF(Setup!$I$15="No",0,H61))</f>
        <v>70</v>
      </c>
      <c r="J61" s="198"/>
      <c r="K61" s="199"/>
      <c r="L61" s="200"/>
      <c r="M61" s="201"/>
      <c r="N61" s="253" t="str">
        <f>IF(COUNTBLANK(J61:M61)=4,"",SUM(J61:L61)+IF(Setup!$I$15="No",0,M61))</f>
        <v/>
      </c>
      <c r="O61" s="184"/>
      <c r="P61" s="185"/>
      <c r="Q61" s="186"/>
      <c r="R61" s="187"/>
      <c r="S61" s="249" t="str">
        <f>IF(COUNTBLANK(O61:R61)=4,"",SUM(O61:Q61)+IF(Setup!$I$15="No",0,R61))</f>
        <v/>
      </c>
      <c r="T61" s="198"/>
      <c r="U61" s="199"/>
      <c r="V61" s="200"/>
      <c r="W61" s="201"/>
      <c r="X61" s="253" t="str">
        <f>IF(COUNTBLANK(T61:W61)=4,"",SUM(T61:V61)+IF(Setup!$I$15="No",0,W61))</f>
        <v/>
      </c>
      <c r="Y61" s="184"/>
      <c r="Z61" s="185"/>
      <c r="AA61" s="186"/>
      <c r="AB61" s="187"/>
      <c r="AC61" s="249" t="str">
        <f>IF(COUNTBLANK(Y61:AB61)=4,"",SUM(Y61:AA61)+IF(Setup!$I$15="No",0,AB61))</f>
        <v/>
      </c>
      <c r="AD61" s="198"/>
      <c r="AE61" s="199"/>
      <c r="AF61" s="200"/>
      <c r="AG61" s="201"/>
      <c r="AH61" s="253" t="str">
        <f>IF(COUNTBLANK(AD61:AG61)=4,"",SUM(AD61:AF61)+IF(Setup!$I$15="No",0,AG61))</f>
        <v/>
      </c>
      <c r="AI61" s="184"/>
      <c r="AJ61" s="185"/>
      <c r="AK61" s="186"/>
      <c r="AL61" s="187"/>
      <c r="AM61" s="249" t="str">
        <f>IF(COUNTBLANK(AI61:AL61)=4,"",SUM(AI61:AK61)+IF(Setup!$I$15="No",0,AL61))</f>
        <v/>
      </c>
      <c r="AN61" s="198"/>
      <c r="AO61" s="199"/>
      <c r="AP61" s="200"/>
      <c r="AQ61" s="201"/>
      <c r="AR61" s="253" t="str">
        <f>IF(COUNTBLANK(AN61:AQ61)=4,"",SUM(AN61:AP61)+IF(Setup!$I$15="No",0,AQ61))</f>
        <v/>
      </c>
      <c r="AS61" s="184"/>
      <c r="AT61" s="185"/>
      <c r="AU61" s="186"/>
      <c r="AV61" s="187"/>
      <c r="AW61" s="249" t="str">
        <f>IF(COUNTBLANK(AS61:AV61)=4,"",SUM(AS61:AU61)+IF(Setup!$I$15="No",0,AV61))</f>
        <v/>
      </c>
      <c r="AX61" s="198"/>
      <c r="AY61" s="199"/>
      <c r="AZ61" s="200"/>
      <c r="BA61" s="201"/>
      <c r="BB61" s="253" t="str">
        <f>IF(COUNTBLANK(AX61:BA61)=4,"",SUM(AX61:AZ61)+IF(Setup!$I$15="No",0,BA61))</f>
        <v/>
      </c>
      <c r="BC61" s="257">
        <f ca="1">IF('Demand background (hide)'!A52=Num_Modalities,"",SUM(Demand!I61))</f>
        <v>70</v>
      </c>
      <c r="BD61" s="257">
        <f ca="1">IF(AND(A61&lt;=MaxRows,BE61&lt;&gt;"Yes"),'Demand background (hide)'!X52+IF(Setup!$I$15="Yes",'Demand background (hide)'!AJ52,0),"")</f>
        <v>140</v>
      </c>
      <c r="BE61" s="207"/>
    </row>
    <row r="62" spans="1:57" x14ac:dyDescent="0.25">
      <c r="A62">
        <f t="shared" ca="1" si="0"/>
        <v>50</v>
      </c>
      <c r="B62" s="260" t="str">
        <f t="shared" ca="1" si="1"/>
        <v xml:space="preserve"> </v>
      </c>
      <c r="C62" s="262">
        <f t="shared" ca="1" si="2"/>
        <v>6</v>
      </c>
      <c r="D62" s="350">
        <f t="shared" ca="1" si="3"/>
        <v>44235</v>
      </c>
      <c r="E62" s="184"/>
      <c r="F62" s="185"/>
      <c r="G62" s="186">
        <v>76</v>
      </c>
      <c r="H62" s="187"/>
      <c r="I62" s="249">
        <f>IF(COUNTBLANK(E62:H62)=4,"",SUM(E62:G62)+IF(Setup!$I$15="No",0,H62))</f>
        <v>76</v>
      </c>
      <c r="J62" s="198"/>
      <c r="K62" s="199"/>
      <c r="L62" s="200"/>
      <c r="M62" s="201"/>
      <c r="N62" s="253" t="str">
        <f>IF(COUNTBLANK(J62:M62)=4,"",SUM(J62:L62)+IF(Setup!$I$15="No",0,M62))</f>
        <v/>
      </c>
      <c r="O62" s="184"/>
      <c r="P62" s="185"/>
      <c r="Q62" s="186"/>
      <c r="R62" s="187"/>
      <c r="S62" s="249" t="str">
        <f>IF(COUNTBLANK(O62:R62)=4,"",SUM(O62:Q62)+IF(Setup!$I$15="No",0,R62))</f>
        <v/>
      </c>
      <c r="T62" s="198"/>
      <c r="U62" s="199"/>
      <c r="V62" s="200"/>
      <c r="W62" s="201"/>
      <c r="X62" s="253" t="str">
        <f>IF(COUNTBLANK(T62:W62)=4,"",SUM(T62:V62)+IF(Setup!$I$15="No",0,W62))</f>
        <v/>
      </c>
      <c r="Y62" s="184"/>
      <c r="Z62" s="185"/>
      <c r="AA62" s="186"/>
      <c r="AB62" s="187"/>
      <c r="AC62" s="249" t="str">
        <f>IF(COUNTBLANK(Y62:AB62)=4,"",SUM(Y62:AA62)+IF(Setup!$I$15="No",0,AB62))</f>
        <v/>
      </c>
      <c r="AD62" s="198"/>
      <c r="AE62" s="199"/>
      <c r="AF62" s="200"/>
      <c r="AG62" s="201"/>
      <c r="AH62" s="253" t="str">
        <f>IF(COUNTBLANK(AD62:AG62)=4,"",SUM(AD62:AF62)+IF(Setup!$I$15="No",0,AG62))</f>
        <v/>
      </c>
      <c r="AI62" s="184"/>
      <c r="AJ62" s="185"/>
      <c r="AK62" s="186"/>
      <c r="AL62" s="187"/>
      <c r="AM62" s="249" t="str">
        <f>IF(COUNTBLANK(AI62:AL62)=4,"",SUM(AI62:AK62)+IF(Setup!$I$15="No",0,AL62))</f>
        <v/>
      </c>
      <c r="AN62" s="198"/>
      <c r="AO62" s="199"/>
      <c r="AP62" s="200"/>
      <c r="AQ62" s="201"/>
      <c r="AR62" s="253" t="str">
        <f>IF(COUNTBLANK(AN62:AQ62)=4,"",SUM(AN62:AP62)+IF(Setup!$I$15="No",0,AQ62))</f>
        <v/>
      </c>
      <c r="AS62" s="184"/>
      <c r="AT62" s="185"/>
      <c r="AU62" s="186"/>
      <c r="AV62" s="187"/>
      <c r="AW62" s="249" t="str">
        <f>IF(COUNTBLANK(AS62:AV62)=4,"",SUM(AS62:AU62)+IF(Setup!$I$15="No",0,AV62))</f>
        <v/>
      </c>
      <c r="AX62" s="198"/>
      <c r="AY62" s="199"/>
      <c r="AZ62" s="200"/>
      <c r="BA62" s="201"/>
      <c r="BB62" s="253" t="str">
        <f>IF(COUNTBLANK(AX62:BA62)=4,"",SUM(AX62:AZ62)+IF(Setup!$I$15="No",0,BA62))</f>
        <v/>
      </c>
      <c r="BC62" s="257">
        <f ca="1">IF('Demand background (hide)'!A53=Num_Modalities,"",SUM(Demand!I62))</f>
        <v>76</v>
      </c>
      <c r="BD62" s="257">
        <f ca="1">IF(AND(A62&lt;=MaxRows,BE62&lt;&gt;"Yes"),'Demand background (hide)'!X53+IF(Setup!$I$15="Yes",'Demand background (hide)'!AJ53,0),"")</f>
        <v>152</v>
      </c>
      <c r="BE62" s="207"/>
    </row>
    <row r="63" spans="1:57" x14ac:dyDescent="0.25">
      <c r="A63">
        <f t="shared" ca="1" si="0"/>
        <v>51</v>
      </c>
      <c r="B63" s="260" t="str">
        <f t="shared" ca="1" si="1"/>
        <v xml:space="preserve"> </v>
      </c>
      <c r="C63" s="262">
        <f t="shared" ca="1" si="2"/>
        <v>7</v>
      </c>
      <c r="D63" s="350">
        <f t="shared" ca="1" si="3"/>
        <v>44242</v>
      </c>
      <c r="E63" s="184"/>
      <c r="F63" s="185"/>
      <c r="G63" s="186">
        <v>73</v>
      </c>
      <c r="H63" s="187"/>
      <c r="I63" s="249">
        <f>IF(COUNTBLANK(E63:H63)=4,"",SUM(E63:G63)+IF(Setup!$I$15="No",0,H63))</f>
        <v>73</v>
      </c>
      <c r="J63" s="198"/>
      <c r="K63" s="199"/>
      <c r="L63" s="200"/>
      <c r="M63" s="201"/>
      <c r="N63" s="253" t="str">
        <f>IF(COUNTBLANK(J63:M63)=4,"",SUM(J63:L63)+IF(Setup!$I$15="No",0,M63))</f>
        <v/>
      </c>
      <c r="O63" s="184"/>
      <c r="P63" s="185"/>
      <c r="Q63" s="186"/>
      <c r="R63" s="187"/>
      <c r="S63" s="249" t="str">
        <f>IF(COUNTBLANK(O63:R63)=4,"",SUM(O63:Q63)+IF(Setup!$I$15="No",0,R63))</f>
        <v/>
      </c>
      <c r="T63" s="198"/>
      <c r="U63" s="199"/>
      <c r="V63" s="200"/>
      <c r="W63" s="201"/>
      <c r="X63" s="253" t="str">
        <f>IF(COUNTBLANK(T63:W63)=4,"",SUM(T63:V63)+IF(Setup!$I$15="No",0,W63))</f>
        <v/>
      </c>
      <c r="Y63" s="184"/>
      <c r="Z63" s="185"/>
      <c r="AA63" s="186"/>
      <c r="AB63" s="187"/>
      <c r="AC63" s="249" t="str">
        <f>IF(COUNTBLANK(Y63:AB63)=4,"",SUM(Y63:AA63)+IF(Setup!$I$15="No",0,AB63))</f>
        <v/>
      </c>
      <c r="AD63" s="198"/>
      <c r="AE63" s="199"/>
      <c r="AF63" s="200"/>
      <c r="AG63" s="201"/>
      <c r="AH63" s="253" t="str">
        <f>IF(COUNTBLANK(AD63:AG63)=4,"",SUM(AD63:AF63)+IF(Setup!$I$15="No",0,AG63))</f>
        <v/>
      </c>
      <c r="AI63" s="184"/>
      <c r="AJ63" s="185"/>
      <c r="AK63" s="186"/>
      <c r="AL63" s="187"/>
      <c r="AM63" s="249" t="str">
        <f>IF(COUNTBLANK(AI63:AL63)=4,"",SUM(AI63:AK63)+IF(Setup!$I$15="No",0,AL63))</f>
        <v/>
      </c>
      <c r="AN63" s="198"/>
      <c r="AO63" s="199"/>
      <c r="AP63" s="200"/>
      <c r="AQ63" s="201"/>
      <c r="AR63" s="253" t="str">
        <f>IF(COUNTBLANK(AN63:AQ63)=4,"",SUM(AN63:AP63)+IF(Setup!$I$15="No",0,AQ63))</f>
        <v/>
      </c>
      <c r="AS63" s="184"/>
      <c r="AT63" s="185"/>
      <c r="AU63" s="186"/>
      <c r="AV63" s="187"/>
      <c r="AW63" s="249" t="str">
        <f>IF(COUNTBLANK(AS63:AV63)=4,"",SUM(AS63:AU63)+IF(Setup!$I$15="No",0,AV63))</f>
        <v/>
      </c>
      <c r="AX63" s="198"/>
      <c r="AY63" s="199"/>
      <c r="AZ63" s="200"/>
      <c r="BA63" s="201"/>
      <c r="BB63" s="253" t="str">
        <f>IF(COUNTBLANK(AX63:BA63)=4,"",SUM(AX63:AZ63)+IF(Setup!$I$15="No",0,BA63))</f>
        <v/>
      </c>
      <c r="BC63" s="257">
        <f ca="1">IF('Demand background (hide)'!A54=Num_Modalities,"",SUM(Demand!I63))</f>
        <v>73</v>
      </c>
      <c r="BD63" s="257">
        <f ca="1">IF(AND(A63&lt;=MaxRows,BE63&lt;&gt;"Yes"),'Demand background (hide)'!X54+IF(Setup!$I$15="Yes",'Demand background (hide)'!AJ54,0),"")</f>
        <v>146</v>
      </c>
      <c r="BE63" s="207"/>
    </row>
    <row r="64" spans="1:57" ht="14.4" thickBot="1" x14ac:dyDescent="0.3">
      <c r="A64">
        <f t="shared" ca="1" si="0"/>
        <v>52</v>
      </c>
      <c r="B64" s="260" t="str">
        <f t="shared" ca="1" si="1"/>
        <v xml:space="preserve"> </v>
      </c>
      <c r="C64" s="263">
        <f t="shared" ca="1" si="2"/>
        <v>8</v>
      </c>
      <c r="D64" s="351">
        <f t="shared" ca="1" si="3"/>
        <v>44249</v>
      </c>
      <c r="E64" s="188"/>
      <c r="F64" s="189"/>
      <c r="G64" s="190">
        <v>65</v>
      </c>
      <c r="H64" s="191"/>
      <c r="I64" s="250">
        <f>IF(COUNTBLANK(E64:H64)=4,"",SUM(E64:G64)+IF(Setup!$I$15="No",0,H64))</f>
        <v>65</v>
      </c>
      <c r="J64" s="202"/>
      <c r="K64" s="203"/>
      <c r="L64" s="204"/>
      <c r="M64" s="205"/>
      <c r="N64" s="254" t="str">
        <f>IF(COUNTBLANK(J64:M64)=4,"",SUM(J64:L64)+IF(Setup!$I$15="No",0,M64))</f>
        <v/>
      </c>
      <c r="O64" s="188"/>
      <c r="P64" s="189"/>
      <c r="Q64" s="190"/>
      <c r="R64" s="191"/>
      <c r="S64" s="250" t="str">
        <f>IF(COUNTBLANK(O64:R64)=4,"",SUM(O64:Q64)+IF(Setup!$I$15="No",0,R64))</f>
        <v/>
      </c>
      <c r="T64" s="202"/>
      <c r="U64" s="203"/>
      <c r="V64" s="204"/>
      <c r="W64" s="205"/>
      <c r="X64" s="254" t="str">
        <f>IF(COUNTBLANK(T64:W64)=4,"",SUM(T64:V64)+IF(Setup!$I$15="No",0,W64))</f>
        <v/>
      </c>
      <c r="Y64" s="188"/>
      <c r="Z64" s="189"/>
      <c r="AA64" s="190"/>
      <c r="AB64" s="191"/>
      <c r="AC64" s="250" t="str">
        <f>IF(COUNTBLANK(Y64:AB64)=4,"",SUM(Y64:AA64)+IF(Setup!$I$15="No",0,AB64))</f>
        <v/>
      </c>
      <c r="AD64" s="202"/>
      <c r="AE64" s="203"/>
      <c r="AF64" s="204"/>
      <c r="AG64" s="205"/>
      <c r="AH64" s="254" t="str">
        <f>IF(COUNTBLANK(AD64:AG64)=4,"",SUM(AD64:AF64)+IF(Setup!$I$15="No",0,AG64))</f>
        <v/>
      </c>
      <c r="AI64" s="188"/>
      <c r="AJ64" s="189"/>
      <c r="AK64" s="190"/>
      <c r="AL64" s="191"/>
      <c r="AM64" s="250" t="str">
        <f>IF(COUNTBLANK(AI64:AL64)=4,"",SUM(AI64:AK64)+IF(Setup!$I$15="No",0,AL64))</f>
        <v/>
      </c>
      <c r="AN64" s="202"/>
      <c r="AO64" s="203"/>
      <c r="AP64" s="204"/>
      <c r="AQ64" s="205"/>
      <c r="AR64" s="254" t="str">
        <f>IF(COUNTBLANK(AN64:AQ64)=4,"",SUM(AN64:AP64)+IF(Setup!$I$15="No",0,AQ64))</f>
        <v/>
      </c>
      <c r="AS64" s="188"/>
      <c r="AT64" s="189"/>
      <c r="AU64" s="190"/>
      <c r="AV64" s="191"/>
      <c r="AW64" s="250" t="str">
        <f>IF(COUNTBLANK(AS64:AV64)=4,"",SUM(AS64:AU64)+IF(Setup!$I$15="No",0,AV64))</f>
        <v/>
      </c>
      <c r="AX64" s="202"/>
      <c r="AY64" s="203"/>
      <c r="AZ64" s="204"/>
      <c r="BA64" s="205"/>
      <c r="BB64" s="254" t="str">
        <f>IF(COUNTBLANK(AX64:BA64)=4,"",SUM(AX64:AZ64)+IF(Setup!$I$15="No",0,BA64))</f>
        <v/>
      </c>
      <c r="BC64" s="258">
        <f ca="1">IF('Demand background (hide)'!A55=Num_Modalities,"",SUM(Demand!I64))</f>
        <v>65</v>
      </c>
      <c r="BD64" s="258">
        <f ca="1">IF(AND(A64&lt;=MaxRows,BE64&lt;&gt;"Yes"),'Demand background (hide)'!X55+IF(Setup!$I$15="Yes",'Demand background (hide)'!AJ55,0),"")</f>
        <v>130</v>
      </c>
      <c r="BE64" s="208"/>
    </row>
    <row r="65" spans="1:57" x14ac:dyDescent="0.25">
      <c r="A65" t="str">
        <f t="shared" ca="1" si="0"/>
        <v/>
      </c>
      <c r="B65" s="264" t="str">
        <f t="shared" ca="1" si="1"/>
        <v xml:space="preserve"> </v>
      </c>
      <c r="C65" s="265" t="str">
        <f t="shared" ca="1" si="2"/>
        <v/>
      </c>
      <c r="D65" s="352" t="str">
        <f t="shared" ca="1" si="3"/>
        <v/>
      </c>
      <c r="E65" s="192"/>
      <c r="F65" s="192"/>
      <c r="G65" s="193"/>
      <c r="H65" s="192"/>
      <c r="I65" s="251" t="str">
        <f>IF(COUNTBLANK(E65:H65)=4,"",SUM(E65:G65)+IF(Setup!$I$15="No",0,H65))</f>
        <v/>
      </c>
      <c r="J65" s="192"/>
      <c r="K65" s="192"/>
      <c r="L65" s="192"/>
      <c r="M65" s="192"/>
      <c r="N65" s="255" t="str">
        <f>IF(COUNTBLANK(J65:M65)=4,"",SUM(J65:L65)+IF(Setup!$I$15="No",0,M65))</f>
        <v/>
      </c>
      <c r="O65" s="192"/>
      <c r="P65" s="192"/>
      <c r="Q65" s="192"/>
      <c r="R65" s="192"/>
      <c r="S65" s="255" t="str">
        <f>IF(COUNTBLANK(O65:R65)=4,"",SUM(O65:Q65)+IF(Setup!$I$15="No",0,R65))</f>
        <v/>
      </c>
      <c r="T65" s="192"/>
      <c r="U65" s="192"/>
      <c r="V65" s="192"/>
      <c r="W65" s="192"/>
      <c r="X65" s="255" t="str">
        <f>IF(COUNTBLANK(T65:W65)=4,"",SUM(T65:V65)+IF(Setup!$I$15="No",0,W65))</f>
        <v/>
      </c>
      <c r="Y65" s="192"/>
      <c r="Z65" s="192"/>
      <c r="AA65" s="192"/>
      <c r="AB65" s="192"/>
      <c r="AC65" s="255" t="str">
        <f>IF(COUNTBLANK(Y65:AB65)=4,"",SUM(Y65:AA65)+IF(Setup!$I$15="No",0,AB65))</f>
        <v/>
      </c>
      <c r="AD65" s="192"/>
      <c r="AE65" s="192"/>
      <c r="AF65" s="192"/>
      <c r="AG65" s="192"/>
      <c r="AH65" s="255" t="str">
        <f>IF(COUNTBLANK(AD65:AG65)=4,"",SUM(AD65:AF65)+IF(Setup!$I$15="No",0,AG65))</f>
        <v/>
      </c>
      <c r="AI65" s="192"/>
      <c r="AJ65" s="192"/>
      <c r="AK65" s="192"/>
      <c r="AL65" s="192"/>
      <c r="AM65" s="255" t="str">
        <f>IF(COUNTBLANK(AI65:AL65)=4,"",SUM(AI65:AK65)+IF(Setup!$I$15="No",0,AL65))</f>
        <v/>
      </c>
      <c r="AN65" s="192"/>
      <c r="AO65" s="192"/>
      <c r="AP65" s="192"/>
      <c r="AQ65" s="192"/>
      <c r="AR65" s="255" t="str">
        <f>IF(COUNTBLANK(AN65:AQ65)=4,"",SUM(AN65:AP65)+IF(Setup!$I$15="No",0,AQ65))</f>
        <v/>
      </c>
      <c r="AS65" s="192"/>
      <c r="AT65" s="192"/>
      <c r="AU65" s="192"/>
      <c r="AV65" s="192"/>
      <c r="AW65" s="255" t="str">
        <f>IF(COUNTBLANK(AS65:AV65)=4,"",SUM(AS65:AU65)+IF(Setup!$I$15="No",0,AV65))</f>
        <v/>
      </c>
      <c r="AX65" s="192"/>
      <c r="AY65" s="192"/>
      <c r="AZ65" s="192"/>
      <c r="BA65" s="192"/>
      <c r="BB65" s="255" t="str">
        <f>IF(COUNTBLANK(AX65:BA65)=4,"",SUM(AX65:AZ65)+IF(Setup!$I$15="No",0,BA65))</f>
        <v/>
      </c>
      <c r="BC65" s="259" t="str">
        <f ca="1">IF('Demand background (hide)'!A56=Num_Modalities,"",SUM(Demand!I65))</f>
        <v/>
      </c>
      <c r="BD65" s="259" t="str">
        <f ca="1">IF(AND(A65&lt;=MaxRows,BE65&lt;&gt;"Yes"),'Demand background (hide)'!X56+IF(Setup!$I$15="Yes",'Demand background (hide)'!AJ56,0),"")</f>
        <v/>
      </c>
      <c r="BE65" s="209"/>
    </row>
    <row r="66" spans="1:57" x14ac:dyDescent="0.25">
      <c r="A66" t="str">
        <f t="shared" ca="1" si="0"/>
        <v/>
      </c>
      <c r="B66" s="264" t="str">
        <f t="shared" ca="1" si="1"/>
        <v xml:space="preserve"> </v>
      </c>
      <c r="C66" s="265" t="str">
        <f t="shared" ca="1" si="2"/>
        <v/>
      </c>
      <c r="D66" s="352" t="str">
        <f t="shared" ca="1" si="3"/>
        <v/>
      </c>
      <c r="E66" s="192"/>
      <c r="F66" s="192"/>
      <c r="G66" s="193"/>
      <c r="H66" s="192"/>
      <c r="I66" s="251" t="str">
        <f>IF(COUNTBLANK(E66:H66)=4,"",SUM(E66:G66)+IF(Setup!$I$15="No",0,H66))</f>
        <v/>
      </c>
      <c r="J66" s="192"/>
      <c r="K66" s="192"/>
      <c r="L66" s="192"/>
      <c r="M66" s="192"/>
      <c r="N66" s="255" t="str">
        <f>IF(COUNTBLANK(J66:M66)=4,"",SUM(J66:L66)+IF(Setup!$I$15="No",0,M66))</f>
        <v/>
      </c>
      <c r="O66" s="192"/>
      <c r="P66" s="192"/>
      <c r="Q66" s="192"/>
      <c r="R66" s="192"/>
      <c r="S66" s="255" t="str">
        <f>IF(COUNTBLANK(O66:R66)=4,"",SUM(O66:Q66)+IF(Setup!$I$15="No",0,R66))</f>
        <v/>
      </c>
      <c r="T66" s="192"/>
      <c r="U66" s="192"/>
      <c r="V66" s="192"/>
      <c r="W66" s="192"/>
      <c r="X66" s="255" t="str">
        <f>IF(COUNTBLANK(T66:W66)=4,"",SUM(T66:V66)+IF(Setup!$I$15="No",0,W66))</f>
        <v/>
      </c>
      <c r="Y66" s="192"/>
      <c r="Z66" s="192"/>
      <c r="AA66" s="192"/>
      <c r="AB66" s="192"/>
      <c r="AC66" s="255" t="str">
        <f>IF(COUNTBLANK(Y66:AB66)=4,"",SUM(Y66:AA66)+IF(Setup!$I$15="No",0,AB66))</f>
        <v/>
      </c>
      <c r="AD66" s="192"/>
      <c r="AE66" s="192"/>
      <c r="AF66" s="192"/>
      <c r="AG66" s="192"/>
      <c r="AH66" s="255" t="str">
        <f>IF(COUNTBLANK(AD66:AG66)=4,"",SUM(AD66:AF66)+IF(Setup!$I$15="No",0,AG66))</f>
        <v/>
      </c>
      <c r="AI66" s="192"/>
      <c r="AJ66" s="192"/>
      <c r="AK66" s="192"/>
      <c r="AL66" s="192"/>
      <c r="AM66" s="255" t="str">
        <f>IF(COUNTBLANK(AI66:AL66)=4,"",SUM(AI66:AK66)+IF(Setup!$I$15="No",0,AL66))</f>
        <v/>
      </c>
      <c r="AN66" s="192"/>
      <c r="AO66" s="192"/>
      <c r="AP66" s="192"/>
      <c r="AQ66" s="192"/>
      <c r="AR66" s="255" t="str">
        <f>IF(COUNTBLANK(AN66:AQ66)=4,"",SUM(AN66:AP66)+IF(Setup!$I$15="No",0,AQ66))</f>
        <v/>
      </c>
      <c r="AS66" s="192"/>
      <c r="AT66" s="192"/>
      <c r="AU66" s="192"/>
      <c r="AV66" s="192"/>
      <c r="AW66" s="255" t="str">
        <f>IF(COUNTBLANK(AS66:AV66)=4,"",SUM(AS66:AU66)+IF(Setup!$I$15="No",0,AV66))</f>
        <v/>
      </c>
      <c r="AX66" s="192"/>
      <c r="AY66" s="192"/>
      <c r="AZ66" s="192"/>
      <c r="BA66" s="192"/>
      <c r="BB66" s="255" t="str">
        <f>IF(COUNTBLANK(AX66:BA66)=4,"",SUM(AX66:AZ66)+IF(Setup!$I$15="No",0,BA66))</f>
        <v/>
      </c>
      <c r="BC66" s="259" t="str">
        <f ca="1">IF('Demand background (hide)'!A57=Num_Modalities,"",SUM(Demand!I66))</f>
        <v/>
      </c>
      <c r="BD66" s="259" t="str">
        <f ca="1">IF(AND(A66&lt;=MaxRows,BE66&lt;&gt;"Yes"),'Demand background (hide)'!X57+IF(Setup!$I$15="Yes",'Demand background (hide)'!AJ57,0),"")</f>
        <v/>
      </c>
      <c r="BE66" s="209"/>
    </row>
    <row r="67" spans="1:57" x14ac:dyDescent="0.25">
      <c r="A67" t="str">
        <f t="shared" ca="1" si="0"/>
        <v/>
      </c>
      <c r="B67" s="264" t="str">
        <f t="shared" ca="1" si="1"/>
        <v xml:space="preserve"> </v>
      </c>
      <c r="C67" s="265" t="str">
        <f t="shared" ca="1" si="2"/>
        <v/>
      </c>
      <c r="D67" s="352" t="str">
        <f t="shared" ca="1" si="3"/>
        <v/>
      </c>
      <c r="E67" s="192"/>
      <c r="F67" s="192"/>
      <c r="G67" s="193"/>
      <c r="H67" s="192"/>
      <c r="I67" s="251" t="str">
        <f>IF(COUNTBLANK(E67:H67)=4,"",SUM(E67:G67)+IF(Setup!$I$15="No",0,H67))</f>
        <v/>
      </c>
      <c r="J67" s="192"/>
      <c r="K67" s="192"/>
      <c r="L67" s="192"/>
      <c r="M67" s="192"/>
      <c r="N67" s="255" t="str">
        <f>IF(COUNTBLANK(J67:M67)=4,"",SUM(J67:L67)+IF(Setup!$I$15="No",0,M67))</f>
        <v/>
      </c>
      <c r="O67" s="192"/>
      <c r="P67" s="192"/>
      <c r="Q67" s="192"/>
      <c r="R67" s="192"/>
      <c r="S67" s="255" t="str">
        <f>IF(COUNTBLANK(O67:R67)=4,"",SUM(O67:Q67)+IF(Setup!$I$15="No",0,R67))</f>
        <v/>
      </c>
      <c r="T67" s="192"/>
      <c r="U67" s="192"/>
      <c r="V67" s="192"/>
      <c r="W67" s="192"/>
      <c r="X67" s="255" t="str">
        <f>IF(COUNTBLANK(T67:W67)=4,"",SUM(T67:V67)+IF(Setup!$I$15="No",0,W67))</f>
        <v/>
      </c>
      <c r="Y67" s="192"/>
      <c r="Z67" s="192"/>
      <c r="AA67" s="192"/>
      <c r="AB67" s="192"/>
      <c r="AC67" s="255" t="str">
        <f>IF(COUNTBLANK(Y67:AB67)=4,"",SUM(Y67:AA67)+IF(Setup!$I$15="No",0,AB67))</f>
        <v/>
      </c>
      <c r="AD67" s="192"/>
      <c r="AE67" s="192"/>
      <c r="AF67" s="192"/>
      <c r="AG67" s="192"/>
      <c r="AH67" s="255" t="str">
        <f>IF(COUNTBLANK(AD67:AG67)=4,"",SUM(AD67:AF67)+IF(Setup!$I$15="No",0,AG67))</f>
        <v/>
      </c>
      <c r="AI67" s="192"/>
      <c r="AJ67" s="192"/>
      <c r="AK67" s="192"/>
      <c r="AL67" s="192"/>
      <c r="AM67" s="255" t="str">
        <f>IF(COUNTBLANK(AI67:AL67)=4,"",SUM(AI67:AK67)+IF(Setup!$I$15="No",0,AL67))</f>
        <v/>
      </c>
      <c r="AN67" s="192"/>
      <c r="AO67" s="192"/>
      <c r="AP67" s="192"/>
      <c r="AQ67" s="192"/>
      <c r="AR67" s="255" t="str">
        <f>IF(COUNTBLANK(AN67:AQ67)=4,"",SUM(AN67:AP67)+IF(Setup!$I$15="No",0,AQ67))</f>
        <v/>
      </c>
      <c r="AS67" s="192"/>
      <c r="AT67" s="192"/>
      <c r="AU67" s="192"/>
      <c r="AV67" s="192"/>
      <c r="AW67" s="255" t="str">
        <f>IF(COUNTBLANK(AS67:AV67)=4,"",SUM(AS67:AU67)+IF(Setup!$I$15="No",0,AV67))</f>
        <v/>
      </c>
      <c r="AX67" s="192"/>
      <c r="AY67" s="192"/>
      <c r="AZ67" s="192"/>
      <c r="BA67" s="192"/>
      <c r="BB67" s="255" t="str">
        <f>IF(COUNTBLANK(AX67:BA67)=4,"",SUM(AX67:AZ67)+IF(Setup!$I$15="No",0,BA67))</f>
        <v/>
      </c>
      <c r="BC67" s="259" t="str">
        <f ca="1">IF('Demand background (hide)'!A58=Num_Modalities,"",SUM(Demand!I67))</f>
        <v/>
      </c>
      <c r="BD67" s="259" t="str">
        <f ca="1">IF(AND(A67&lt;=MaxRows,BE67&lt;&gt;"Yes"),'Demand background (hide)'!X58+IF(Setup!$I$15="Yes",'Demand background (hide)'!AJ58,0),"")</f>
        <v/>
      </c>
      <c r="BE67" s="209"/>
    </row>
    <row r="68" spans="1:57" x14ac:dyDescent="0.25">
      <c r="A68" t="str">
        <f t="shared" ca="1" si="0"/>
        <v/>
      </c>
      <c r="B68" s="264" t="str">
        <f t="shared" ca="1" si="1"/>
        <v xml:space="preserve"> </v>
      </c>
      <c r="C68" s="265" t="str">
        <f t="shared" ca="1" si="2"/>
        <v/>
      </c>
      <c r="D68" s="352" t="str">
        <f t="shared" ca="1" si="3"/>
        <v/>
      </c>
      <c r="E68" s="192"/>
      <c r="F68" s="192"/>
      <c r="G68" s="193"/>
      <c r="H68" s="192"/>
      <c r="I68" s="251" t="str">
        <f>IF(COUNTBLANK(E68:H68)=4,"",SUM(E68:G68)+IF(Setup!$I$15="No",0,H68))</f>
        <v/>
      </c>
      <c r="J68" s="192"/>
      <c r="K68" s="192"/>
      <c r="L68" s="192"/>
      <c r="M68" s="192"/>
      <c r="N68" s="255" t="str">
        <f>IF(COUNTBLANK(J68:M68)=4,"",SUM(J68:L68)+IF(Setup!$I$15="No",0,M68))</f>
        <v/>
      </c>
      <c r="O68" s="192"/>
      <c r="P68" s="192"/>
      <c r="Q68" s="192"/>
      <c r="R68" s="192"/>
      <c r="S68" s="255" t="str">
        <f>IF(COUNTBLANK(O68:R68)=4,"",SUM(O68:Q68)+IF(Setup!$I$15="No",0,R68))</f>
        <v/>
      </c>
      <c r="T68" s="192"/>
      <c r="U68" s="192"/>
      <c r="V68" s="192"/>
      <c r="W68" s="192"/>
      <c r="X68" s="255" t="str">
        <f>IF(COUNTBLANK(T68:W68)=4,"",SUM(T68:V68)+IF(Setup!$I$15="No",0,W68))</f>
        <v/>
      </c>
      <c r="Y68" s="192"/>
      <c r="Z68" s="192"/>
      <c r="AA68" s="192"/>
      <c r="AB68" s="192"/>
      <c r="AC68" s="255" t="str">
        <f>IF(COUNTBLANK(Y68:AB68)=4,"",SUM(Y68:AA68)+IF(Setup!$I$15="No",0,AB68))</f>
        <v/>
      </c>
      <c r="AD68" s="192"/>
      <c r="AE68" s="192"/>
      <c r="AF68" s="192"/>
      <c r="AG68" s="192"/>
      <c r="AH68" s="255" t="str">
        <f>IF(COUNTBLANK(AD68:AG68)=4,"",SUM(AD68:AF68)+IF(Setup!$I$15="No",0,AG68))</f>
        <v/>
      </c>
      <c r="AI68" s="192"/>
      <c r="AJ68" s="192"/>
      <c r="AK68" s="192"/>
      <c r="AL68" s="192"/>
      <c r="AM68" s="255" t="str">
        <f>IF(COUNTBLANK(AI68:AL68)=4,"",SUM(AI68:AK68)+IF(Setup!$I$15="No",0,AL68))</f>
        <v/>
      </c>
      <c r="AN68" s="192"/>
      <c r="AO68" s="192"/>
      <c r="AP68" s="192"/>
      <c r="AQ68" s="192"/>
      <c r="AR68" s="255" t="str">
        <f>IF(COUNTBLANK(AN68:AQ68)=4,"",SUM(AN68:AP68)+IF(Setup!$I$15="No",0,AQ68))</f>
        <v/>
      </c>
      <c r="AS68" s="192"/>
      <c r="AT68" s="192"/>
      <c r="AU68" s="192"/>
      <c r="AV68" s="192"/>
      <c r="AW68" s="255" t="str">
        <f>IF(COUNTBLANK(AS68:AV68)=4,"",SUM(AS68:AU68)+IF(Setup!$I$15="No",0,AV68))</f>
        <v/>
      </c>
      <c r="AX68" s="192"/>
      <c r="AY68" s="192"/>
      <c r="AZ68" s="192"/>
      <c r="BA68" s="192"/>
      <c r="BB68" s="255" t="str">
        <f>IF(COUNTBLANK(AX68:BA68)=4,"",SUM(AX68:AZ68)+IF(Setup!$I$15="No",0,BA68))</f>
        <v/>
      </c>
      <c r="BC68" s="259" t="str">
        <f ca="1">IF('Demand background (hide)'!A59=Num_Modalities,"",SUM(Demand!I68))</f>
        <v/>
      </c>
      <c r="BD68" s="259" t="str">
        <f ca="1">IF(AND(A68&lt;=MaxRows,BE68&lt;&gt;"Yes"),'Demand background (hide)'!X59+IF(Setup!$I$15="Yes",'Demand background (hide)'!AJ59,0),"")</f>
        <v/>
      </c>
      <c r="BE68" s="209"/>
    </row>
    <row r="69" spans="1:57" x14ac:dyDescent="0.25">
      <c r="A69" t="str">
        <f t="shared" ca="1" si="0"/>
        <v/>
      </c>
      <c r="B69" s="264" t="str">
        <f t="shared" ca="1" si="1"/>
        <v xml:space="preserve"> </v>
      </c>
      <c r="C69" s="265" t="str">
        <f t="shared" ca="1" si="2"/>
        <v/>
      </c>
      <c r="D69" s="352" t="str">
        <f t="shared" ca="1" si="3"/>
        <v/>
      </c>
      <c r="E69" s="192"/>
      <c r="F69" s="192"/>
      <c r="G69" s="193"/>
      <c r="H69" s="192"/>
      <c r="I69" s="251" t="str">
        <f>IF(COUNTBLANK(E69:H69)=4,"",SUM(E69:G69)+IF(Setup!$I$15="No",0,H69))</f>
        <v/>
      </c>
      <c r="J69" s="192"/>
      <c r="K69" s="192"/>
      <c r="L69" s="192"/>
      <c r="M69" s="192"/>
      <c r="N69" s="255" t="str">
        <f>IF(COUNTBLANK(J69:M69)=4,"",SUM(J69:L69)+IF(Setup!$I$15="No",0,M69))</f>
        <v/>
      </c>
      <c r="O69" s="192"/>
      <c r="P69" s="192"/>
      <c r="Q69" s="192"/>
      <c r="R69" s="192"/>
      <c r="S69" s="255" t="str">
        <f>IF(COUNTBLANK(O69:R69)=4,"",SUM(O69:Q69)+IF(Setup!$I$15="No",0,R69))</f>
        <v/>
      </c>
      <c r="T69" s="192"/>
      <c r="U69" s="192"/>
      <c r="V69" s="192"/>
      <c r="W69" s="192"/>
      <c r="X69" s="255" t="str">
        <f>IF(COUNTBLANK(T69:W69)=4,"",SUM(T69:V69)+IF(Setup!$I$15="No",0,W69))</f>
        <v/>
      </c>
      <c r="Y69" s="192"/>
      <c r="Z69" s="192"/>
      <c r="AA69" s="192"/>
      <c r="AB69" s="192"/>
      <c r="AC69" s="255" t="str">
        <f>IF(COUNTBLANK(Y69:AB69)=4,"",SUM(Y69:AA69)+IF(Setup!$I$15="No",0,AB69))</f>
        <v/>
      </c>
      <c r="AD69" s="192"/>
      <c r="AE69" s="192"/>
      <c r="AF69" s="192"/>
      <c r="AG69" s="192"/>
      <c r="AH69" s="255" t="str">
        <f>IF(COUNTBLANK(AD69:AG69)=4,"",SUM(AD69:AF69)+IF(Setup!$I$15="No",0,AG69))</f>
        <v/>
      </c>
      <c r="AI69" s="192"/>
      <c r="AJ69" s="192"/>
      <c r="AK69" s="192"/>
      <c r="AL69" s="192"/>
      <c r="AM69" s="255" t="str">
        <f>IF(COUNTBLANK(AI69:AL69)=4,"",SUM(AI69:AK69)+IF(Setup!$I$15="No",0,AL69))</f>
        <v/>
      </c>
      <c r="AN69" s="192"/>
      <c r="AO69" s="192"/>
      <c r="AP69" s="192"/>
      <c r="AQ69" s="192"/>
      <c r="AR69" s="255" t="str">
        <f>IF(COUNTBLANK(AN69:AQ69)=4,"",SUM(AN69:AP69)+IF(Setup!$I$15="No",0,AQ69))</f>
        <v/>
      </c>
      <c r="AS69" s="192"/>
      <c r="AT69" s="192"/>
      <c r="AU69" s="192"/>
      <c r="AV69" s="192"/>
      <c r="AW69" s="255" t="str">
        <f>IF(COUNTBLANK(AS69:AV69)=4,"",SUM(AS69:AU69)+IF(Setup!$I$15="No",0,AV69))</f>
        <v/>
      </c>
      <c r="AX69" s="192"/>
      <c r="AY69" s="192"/>
      <c r="AZ69" s="192"/>
      <c r="BA69" s="192"/>
      <c r="BB69" s="255" t="str">
        <f>IF(COUNTBLANK(AX69:BA69)=4,"",SUM(AX69:AZ69)+IF(Setup!$I$15="No",0,BA69))</f>
        <v/>
      </c>
      <c r="BC69" s="259" t="str">
        <f ca="1">IF('Demand background (hide)'!A60=Num_Modalities,"",SUM(Demand!I69))</f>
        <v/>
      </c>
      <c r="BD69" s="259" t="str">
        <f ca="1">IF(AND(A69&lt;=MaxRows,BE69&lt;&gt;"Yes"),'Demand background (hide)'!X60+IF(Setup!$I$15="Yes",'Demand background (hide)'!AJ60,0),"")</f>
        <v/>
      </c>
      <c r="BE69" s="209"/>
    </row>
    <row r="70" spans="1:57" x14ac:dyDescent="0.25">
      <c r="A70" t="str">
        <f t="shared" ca="1" si="0"/>
        <v/>
      </c>
      <c r="B70" s="264" t="str">
        <f t="shared" ca="1" si="1"/>
        <v xml:space="preserve"> </v>
      </c>
      <c r="C70" s="265" t="str">
        <f t="shared" ca="1" si="2"/>
        <v/>
      </c>
      <c r="D70" s="352" t="str">
        <f t="shared" ca="1" si="3"/>
        <v/>
      </c>
      <c r="E70" s="192"/>
      <c r="F70" s="192"/>
      <c r="G70" s="193"/>
      <c r="H70" s="192"/>
      <c r="I70" s="251" t="str">
        <f>IF(COUNTBLANK(E70:H70)=4,"",SUM(E70:G70)+IF(Setup!$I$15="No",0,H70))</f>
        <v/>
      </c>
      <c r="J70" s="192"/>
      <c r="K70" s="192"/>
      <c r="L70" s="192"/>
      <c r="M70" s="192"/>
      <c r="N70" s="255" t="str">
        <f>IF(COUNTBLANK(J70:M70)=4,"",SUM(J70:L70)+IF(Setup!$I$15="No",0,M70))</f>
        <v/>
      </c>
      <c r="O70" s="192"/>
      <c r="P70" s="192"/>
      <c r="Q70" s="192"/>
      <c r="R70" s="192"/>
      <c r="S70" s="255" t="str">
        <f>IF(COUNTBLANK(O70:R70)=4,"",SUM(O70:Q70)+IF(Setup!$I$15="No",0,R70))</f>
        <v/>
      </c>
      <c r="T70" s="192"/>
      <c r="U70" s="192"/>
      <c r="V70" s="192"/>
      <c r="W70" s="192"/>
      <c r="X70" s="255" t="str">
        <f>IF(COUNTBLANK(T70:W70)=4,"",SUM(T70:V70)+IF(Setup!$I$15="No",0,W70))</f>
        <v/>
      </c>
      <c r="Y70" s="192"/>
      <c r="Z70" s="192"/>
      <c r="AA70" s="192"/>
      <c r="AB70" s="192"/>
      <c r="AC70" s="255" t="str">
        <f>IF(COUNTBLANK(Y70:AB70)=4,"",SUM(Y70:AA70)+IF(Setup!$I$15="No",0,AB70))</f>
        <v/>
      </c>
      <c r="AD70" s="192"/>
      <c r="AE70" s="192"/>
      <c r="AF70" s="192"/>
      <c r="AG70" s="192"/>
      <c r="AH70" s="255" t="str">
        <f>IF(COUNTBLANK(AD70:AG70)=4,"",SUM(AD70:AF70)+IF(Setup!$I$15="No",0,AG70))</f>
        <v/>
      </c>
      <c r="AI70" s="192"/>
      <c r="AJ70" s="192"/>
      <c r="AK70" s="192"/>
      <c r="AL70" s="192"/>
      <c r="AM70" s="255" t="str">
        <f>IF(COUNTBLANK(AI70:AL70)=4,"",SUM(AI70:AK70)+IF(Setup!$I$15="No",0,AL70))</f>
        <v/>
      </c>
      <c r="AN70" s="192"/>
      <c r="AO70" s="192"/>
      <c r="AP70" s="192"/>
      <c r="AQ70" s="192"/>
      <c r="AR70" s="255" t="str">
        <f>IF(COUNTBLANK(AN70:AQ70)=4,"",SUM(AN70:AP70)+IF(Setup!$I$15="No",0,AQ70))</f>
        <v/>
      </c>
      <c r="AS70" s="192"/>
      <c r="AT70" s="192"/>
      <c r="AU70" s="192"/>
      <c r="AV70" s="192"/>
      <c r="AW70" s="255" t="str">
        <f>IF(COUNTBLANK(AS70:AV70)=4,"",SUM(AS70:AU70)+IF(Setup!$I$15="No",0,AV70))</f>
        <v/>
      </c>
      <c r="AX70" s="192"/>
      <c r="AY70" s="192"/>
      <c r="AZ70" s="192"/>
      <c r="BA70" s="192"/>
      <c r="BB70" s="255" t="str">
        <f>IF(COUNTBLANK(AX70:BA70)=4,"",SUM(AX70:AZ70)+IF(Setup!$I$15="No",0,BA70))</f>
        <v/>
      </c>
      <c r="BC70" s="259" t="str">
        <f ca="1">IF('Demand background (hide)'!A61=Num_Modalities,"",SUM(Demand!I70))</f>
        <v/>
      </c>
      <c r="BD70" s="259" t="str">
        <f ca="1">IF(AND(A70&lt;=MaxRows,BE70&lt;&gt;"Yes"),'Demand background (hide)'!X61+IF(Setup!$I$15="Yes",'Demand background (hide)'!AJ61,0),"")</f>
        <v/>
      </c>
      <c r="BE70" s="209"/>
    </row>
    <row r="71" spans="1:57" x14ac:dyDescent="0.25">
      <c r="A71" t="str">
        <f t="shared" ca="1" si="0"/>
        <v/>
      </c>
      <c r="B71" s="264" t="str">
        <f t="shared" ca="1" si="1"/>
        <v xml:space="preserve"> </v>
      </c>
      <c r="C71" s="265" t="str">
        <f t="shared" ca="1" si="2"/>
        <v/>
      </c>
      <c r="D71" s="352" t="str">
        <f t="shared" ca="1" si="3"/>
        <v/>
      </c>
      <c r="E71" s="192"/>
      <c r="F71" s="192"/>
      <c r="G71" s="193"/>
      <c r="H71" s="192"/>
      <c r="I71" s="251" t="str">
        <f>IF(COUNTBLANK(E71:H71)=4,"",SUM(E71:G71)+IF(Setup!$I$15="No",0,H71))</f>
        <v/>
      </c>
      <c r="J71" s="192"/>
      <c r="K71" s="192"/>
      <c r="L71" s="192"/>
      <c r="M71" s="192"/>
      <c r="N71" s="255" t="str">
        <f>IF(COUNTBLANK(J71:M71)=4,"",SUM(J71:L71)+IF(Setup!$I$15="No",0,M71))</f>
        <v/>
      </c>
      <c r="O71" s="192"/>
      <c r="P71" s="192"/>
      <c r="Q71" s="192"/>
      <c r="R71" s="192"/>
      <c r="S71" s="255" t="str">
        <f>IF(COUNTBLANK(O71:R71)=4,"",SUM(O71:Q71)+IF(Setup!$I$15="No",0,R71))</f>
        <v/>
      </c>
      <c r="T71" s="192"/>
      <c r="U71" s="192"/>
      <c r="V71" s="192"/>
      <c r="W71" s="192"/>
      <c r="X71" s="255" t="str">
        <f>IF(COUNTBLANK(T71:W71)=4,"",SUM(T71:V71)+IF(Setup!$I$15="No",0,W71))</f>
        <v/>
      </c>
      <c r="Y71" s="192"/>
      <c r="Z71" s="192"/>
      <c r="AA71" s="192"/>
      <c r="AB71" s="192"/>
      <c r="AC71" s="255" t="str">
        <f>IF(COUNTBLANK(Y71:AB71)=4,"",SUM(Y71:AA71)+IF(Setup!$I$15="No",0,AB71))</f>
        <v/>
      </c>
      <c r="AD71" s="192"/>
      <c r="AE71" s="192"/>
      <c r="AF71" s="192"/>
      <c r="AG71" s="192"/>
      <c r="AH71" s="255" t="str">
        <f>IF(COUNTBLANK(AD71:AG71)=4,"",SUM(AD71:AF71)+IF(Setup!$I$15="No",0,AG71))</f>
        <v/>
      </c>
      <c r="AI71" s="192"/>
      <c r="AJ71" s="192"/>
      <c r="AK71" s="192"/>
      <c r="AL71" s="192"/>
      <c r="AM71" s="255" t="str">
        <f>IF(COUNTBLANK(AI71:AL71)=4,"",SUM(AI71:AK71)+IF(Setup!$I$15="No",0,AL71))</f>
        <v/>
      </c>
      <c r="AN71" s="192"/>
      <c r="AO71" s="192"/>
      <c r="AP71" s="192"/>
      <c r="AQ71" s="192"/>
      <c r="AR71" s="255" t="str">
        <f>IF(COUNTBLANK(AN71:AQ71)=4,"",SUM(AN71:AP71)+IF(Setup!$I$15="No",0,AQ71))</f>
        <v/>
      </c>
      <c r="AS71" s="192"/>
      <c r="AT71" s="192"/>
      <c r="AU71" s="192"/>
      <c r="AV71" s="192"/>
      <c r="AW71" s="255" t="str">
        <f>IF(COUNTBLANK(AS71:AV71)=4,"",SUM(AS71:AU71)+IF(Setup!$I$15="No",0,AV71))</f>
        <v/>
      </c>
      <c r="AX71" s="192"/>
      <c r="AY71" s="192"/>
      <c r="AZ71" s="192"/>
      <c r="BA71" s="192"/>
      <c r="BB71" s="255" t="str">
        <f>IF(COUNTBLANK(AX71:BA71)=4,"",SUM(AX71:AZ71)+IF(Setup!$I$15="No",0,BA71))</f>
        <v/>
      </c>
      <c r="BC71" s="259" t="str">
        <f ca="1">IF('Demand background (hide)'!A62=Num_Modalities,"",SUM(Demand!I71))</f>
        <v/>
      </c>
      <c r="BD71" s="259" t="str">
        <f ca="1">IF(AND(A71&lt;=MaxRows,BE71&lt;&gt;"Yes"),'Demand background (hide)'!X62+IF(Setup!$I$15="Yes",'Demand background (hide)'!AJ62,0),"")</f>
        <v/>
      </c>
      <c r="BE71" s="209"/>
    </row>
    <row r="72" spans="1:57" x14ac:dyDescent="0.25">
      <c r="A72" t="str">
        <f t="shared" ca="1" si="0"/>
        <v/>
      </c>
      <c r="B72" s="264" t="str">
        <f t="shared" ca="1" si="1"/>
        <v xml:space="preserve"> </v>
      </c>
      <c r="C72" s="265" t="str">
        <f t="shared" ca="1" si="2"/>
        <v/>
      </c>
      <c r="D72" s="352" t="str">
        <f t="shared" ca="1" si="3"/>
        <v/>
      </c>
      <c r="E72" s="192"/>
      <c r="F72" s="192"/>
      <c r="G72" s="193"/>
      <c r="H72" s="192"/>
      <c r="I72" s="251" t="str">
        <f>IF(COUNTBLANK(E72:H72)=4,"",SUM(E72:G72)+IF(Setup!$I$15="No",0,H72))</f>
        <v/>
      </c>
      <c r="J72" s="192"/>
      <c r="K72" s="192"/>
      <c r="L72" s="192"/>
      <c r="M72" s="192"/>
      <c r="N72" s="255" t="str">
        <f>IF(COUNTBLANK(J72:M72)=4,"",SUM(J72:L72)+IF(Setup!$I$15="No",0,M72))</f>
        <v/>
      </c>
      <c r="O72" s="192"/>
      <c r="P72" s="192"/>
      <c r="Q72" s="192"/>
      <c r="R72" s="192"/>
      <c r="S72" s="255" t="str">
        <f>IF(COUNTBLANK(O72:R72)=4,"",SUM(O72:Q72)+IF(Setup!$I$15="No",0,R72))</f>
        <v/>
      </c>
      <c r="T72" s="192"/>
      <c r="U72" s="192"/>
      <c r="V72" s="192"/>
      <c r="W72" s="192"/>
      <c r="X72" s="255" t="str">
        <f>IF(COUNTBLANK(T72:W72)=4,"",SUM(T72:V72)+IF(Setup!$I$15="No",0,W72))</f>
        <v/>
      </c>
      <c r="Y72" s="192"/>
      <c r="Z72" s="192"/>
      <c r="AA72" s="192"/>
      <c r="AB72" s="192"/>
      <c r="AC72" s="255" t="str">
        <f>IF(COUNTBLANK(Y72:AB72)=4,"",SUM(Y72:AA72)+IF(Setup!$I$15="No",0,AB72))</f>
        <v/>
      </c>
      <c r="AD72" s="192"/>
      <c r="AE72" s="192"/>
      <c r="AF72" s="192"/>
      <c r="AG72" s="192"/>
      <c r="AH72" s="255" t="str">
        <f>IF(COUNTBLANK(AD72:AG72)=4,"",SUM(AD72:AF72)+IF(Setup!$I$15="No",0,AG72))</f>
        <v/>
      </c>
      <c r="AI72" s="192"/>
      <c r="AJ72" s="192"/>
      <c r="AK72" s="192"/>
      <c r="AL72" s="192"/>
      <c r="AM72" s="255" t="str">
        <f>IF(COUNTBLANK(AI72:AL72)=4,"",SUM(AI72:AK72)+IF(Setup!$I$15="No",0,AL72))</f>
        <v/>
      </c>
      <c r="AN72" s="192"/>
      <c r="AO72" s="192"/>
      <c r="AP72" s="192"/>
      <c r="AQ72" s="192"/>
      <c r="AR72" s="255" t="str">
        <f>IF(COUNTBLANK(AN72:AQ72)=4,"",SUM(AN72:AP72)+IF(Setup!$I$15="No",0,AQ72))</f>
        <v/>
      </c>
      <c r="AS72" s="192"/>
      <c r="AT72" s="192"/>
      <c r="AU72" s="192"/>
      <c r="AV72" s="192"/>
      <c r="AW72" s="255" t="str">
        <f>IF(COUNTBLANK(AS72:AV72)=4,"",SUM(AS72:AU72)+IF(Setup!$I$15="No",0,AV72))</f>
        <v/>
      </c>
      <c r="AX72" s="192"/>
      <c r="AY72" s="192"/>
      <c r="AZ72" s="192"/>
      <c r="BA72" s="192"/>
      <c r="BB72" s="255" t="str">
        <f>IF(COUNTBLANK(AX72:BA72)=4,"",SUM(AX72:AZ72)+IF(Setup!$I$15="No",0,BA72))</f>
        <v/>
      </c>
      <c r="BC72" s="259" t="str">
        <f ca="1">IF('Demand background (hide)'!A63=Num_Modalities,"",SUM(Demand!I72))</f>
        <v/>
      </c>
      <c r="BD72" s="259" t="str">
        <f ca="1">IF(AND(A72&lt;=MaxRows,BE72&lt;&gt;"Yes"),'Demand background (hide)'!X63+IF(Setup!$I$15="Yes",'Demand background (hide)'!AJ63,0),"")</f>
        <v/>
      </c>
      <c r="BE72" s="209"/>
    </row>
    <row r="73" spans="1:57" x14ac:dyDescent="0.25">
      <c r="A73" t="str">
        <f t="shared" ca="1" si="0"/>
        <v/>
      </c>
      <c r="B73" s="264" t="str">
        <f t="shared" ca="1" si="1"/>
        <v xml:space="preserve"> </v>
      </c>
      <c r="C73" s="265" t="str">
        <f t="shared" ca="1" si="2"/>
        <v/>
      </c>
      <c r="D73" s="352" t="str">
        <f t="shared" ca="1" si="3"/>
        <v/>
      </c>
      <c r="E73" s="192"/>
      <c r="F73" s="192"/>
      <c r="G73" s="193"/>
      <c r="H73" s="192"/>
      <c r="I73" s="251" t="str">
        <f>IF(COUNTBLANK(E73:H73)=4,"",SUM(E73:G73)+IF(Setup!$I$15="No",0,H73))</f>
        <v/>
      </c>
      <c r="J73" s="192"/>
      <c r="K73" s="192"/>
      <c r="L73" s="192"/>
      <c r="M73" s="192"/>
      <c r="N73" s="255" t="str">
        <f>IF(COUNTBLANK(J73:M73)=4,"",SUM(J73:L73)+IF(Setup!$I$15="No",0,M73))</f>
        <v/>
      </c>
      <c r="O73" s="192"/>
      <c r="P73" s="192"/>
      <c r="Q73" s="192"/>
      <c r="R73" s="192"/>
      <c r="S73" s="255" t="str">
        <f>IF(COUNTBLANK(O73:R73)=4,"",SUM(O73:Q73)+IF(Setup!$I$15="No",0,R73))</f>
        <v/>
      </c>
      <c r="T73" s="192"/>
      <c r="U73" s="192"/>
      <c r="V73" s="192"/>
      <c r="W73" s="192"/>
      <c r="X73" s="255" t="str">
        <f>IF(COUNTBLANK(T73:W73)=4,"",SUM(T73:V73)+IF(Setup!$I$15="No",0,W73))</f>
        <v/>
      </c>
      <c r="Y73" s="192"/>
      <c r="Z73" s="192"/>
      <c r="AA73" s="192"/>
      <c r="AB73" s="192"/>
      <c r="AC73" s="255" t="str">
        <f>IF(COUNTBLANK(Y73:AB73)=4,"",SUM(Y73:AA73)+IF(Setup!$I$15="No",0,AB73))</f>
        <v/>
      </c>
      <c r="AD73" s="192"/>
      <c r="AE73" s="192"/>
      <c r="AF73" s="192"/>
      <c r="AG73" s="192"/>
      <c r="AH73" s="255" t="str">
        <f>IF(COUNTBLANK(AD73:AG73)=4,"",SUM(AD73:AF73)+IF(Setup!$I$15="No",0,AG73))</f>
        <v/>
      </c>
      <c r="AI73" s="192"/>
      <c r="AJ73" s="192"/>
      <c r="AK73" s="192"/>
      <c r="AL73" s="192"/>
      <c r="AM73" s="255" t="str">
        <f>IF(COUNTBLANK(AI73:AL73)=4,"",SUM(AI73:AK73)+IF(Setup!$I$15="No",0,AL73))</f>
        <v/>
      </c>
      <c r="AN73" s="192"/>
      <c r="AO73" s="192"/>
      <c r="AP73" s="192"/>
      <c r="AQ73" s="192"/>
      <c r="AR73" s="255" t="str">
        <f>IF(COUNTBLANK(AN73:AQ73)=4,"",SUM(AN73:AP73)+IF(Setup!$I$15="No",0,AQ73))</f>
        <v/>
      </c>
      <c r="AS73" s="192"/>
      <c r="AT73" s="192"/>
      <c r="AU73" s="192"/>
      <c r="AV73" s="192"/>
      <c r="AW73" s="255" t="str">
        <f>IF(COUNTBLANK(AS73:AV73)=4,"",SUM(AS73:AU73)+IF(Setup!$I$15="No",0,AV73))</f>
        <v/>
      </c>
      <c r="AX73" s="192"/>
      <c r="AY73" s="192"/>
      <c r="AZ73" s="192"/>
      <c r="BA73" s="192"/>
      <c r="BB73" s="255" t="str">
        <f>IF(COUNTBLANK(AX73:BA73)=4,"",SUM(AX73:AZ73)+IF(Setup!$I$15="No",0,BA73))</f>
        <v/>
      </c>
      <c r="BC73" s="259" t="str">
        <f ca="1">IF('Demand background (hide)'!A64=Num_Modalities,"",SUM(Demand!I73))</f>
        <v/>
      </c>
      <c r="BD73" s="259" t="str">
        <f ca="1">IF(AND(A73&lt;=MaxRows,BE73&lt;&gt;"Yes"),'Demand background (hide)'!X64+IF(Setup!$I$15="Yes",'Demand background (hide)'!AJ64,0),"")</f>
        <v/>
      </c>
      <c r="BE73" s="209"/>
    </row>
    <row r="74" spans="1:57" x14ac:dyDescent="0.25">
      <c r="A74" t="str">
        <f t="shared" ca="1" si="0"/>
        <v/>
      </c>
      <c r="B74" s="264" t="str">
        <f t="shared" ca="1" si="1"/>
        <v xml:space="preserve"> </v>
      </c>
      <c r="C74" s="265" t="str">
        <f t="shared" ca="1" si="2"/>
        <v/>
      </c>
      <c r="D74" s="352" t="str">
        <f t="shared" ca="1" si="3"/>
        <v/>
      </c>
      <c r="E74" s="192"/>
      <c r="F74" s="192"/>
      <c r="G74" s="193"/>
      <c r="H74" s="192"/>
      <c r="I74" s="251" t="str">
        <f>IF(COUNTBLANK(E74:H74)=4,"",SUM(E74:G74)+IF(Setup!$I$15="No",0,H74))</f>
        <v/>
      </c>
      <c r="J74" s="192"/>
      <c r="K74" s="192"/>
      <c r="L74" s="192"/>
      <c r="M74" s="192"/>
      <c r="N74" s="255" t="str">
        <f>IF(COUNTBLANK(J74:M74)=4,"",SUM(J74:L74)+IF(Setup!$I$15="No",0,M74))</f>
        <v/>
      </c>
      <c r="O74" s="192"/>
      <c r="P74" s="192"/>
      <c r="Q74" s="192"/>
      <c r="R74" s="192"/>
      <c r="S74" s="255" t="str">
        <f>IF(COUNTBLANK(O74:R74)=4,"",SUM(O74:Q74)+IF(Setup!$I$15="No",0,R74))</f>
        <v/>
      </c>
      <c r="T74" s="192"/>
      <c r="U74" s="192"/>
      <c r="V74" s="192"/>
      <c r="W74" s="192"/>
      <c r="X74" s="255" t="str">
        <f>IF(COUNTBLANK(T74:W74)=4,"",SUM(T74:V74)+IF(Setup!$I$15="No",0,W74))</f>
        <v/>
      </c>
      <c r="Y74" s="192"/>
      <c r="Z74" s="192"/>
      <c r="AA74" s="192"/>
      <c r="AB74" s="192"/>
      <c r="AC74" s="255" t="str">
        <f>IF(COUNTBLANK(Y74:AB74)=4,"",SUM(Y74:AA74)+IF(Setup!$I$15="No",0,AB74))</f>
        <v/>
      </c>
      <c r="AD74" s="192"/>
      <c r="AE74" s="192"/>
      <c r="AF74" s="192"/>
      <c r="AG74" s="192"/>
      <c r="AH74" s="255" t="str">
        <f>IF(COUNTBLANK(AD74:AG74)=4,"",SUM(AD74:AF74)+IF(Setup!$I$15="No",0,AG74))</f>
        <v/>
      </c>
      <c r="AI74" s="192"/>
      <c r="AJ74" s="192"/>
      <c r="AK74" s="192"/>
      <c r="AL74" s="192"/>
      <c r="AM74" s="255" t="str">
        <f>IF(COUNTBLANK(AI74:AL74)=4,"",SUM(AI74:AK74)+IF(Setup!$I$15="No",0,AL74))</f>
        <v/>
      </c>
      <c r="AN74" s="192"/>
      <c r="AO74" s="192"/>
      <c r="AP74" s="192"/>
      <c r="AQ74" s="192"/>
      <c r="AR74" s="255" t="str">
        <f>IF(COUNTBLANK(AN74:AQ74)=4,"",SUM(AN74:AP74)+IF(Setup!$I$15="No",0,AQ74))</f>
        <v/>
      </c>
      <c r="AS74" s="192"/>
      <c r="AT74" s="192"/>
      <c r="AU74" s="192"/>
      <c r="AV74" s="192"/>
      <c r="AW74" s="255" t="str">
        <f>IF(COUNTBLANK(AS74:AV74)=4,"",SUM(AS74:AU74)+IF(Setup!$I$15="No",0,AV74))</f>
        <v/>
      </c>
      <c r="AX74" s="192"/>
      <c r="AY74" s="192"/>
      <c r="AZ74" s="192"/>
      <c r="BA74" s="192"/>
      <c r="BB74" s="255" t="str">
        <f>IF(COUNTBLANK(AX74:BA74)=4,"",SUM(AX74:AZ74)+IF(Setup!$I$15="No",0,BA74))</f>
        <v/>
      </c>
      <c r="BC74" s="259" t="str">
        <f ca="1">IF('Demand background (hide)'!A65=Num_Modalities,"",SUM(Demand!I74))</f>
        <v/>
      </c>
      <c r="BD74" s="259" t="str">
        <f ca="1">IF(AND(A74&lt;=MaxRows,BE74&lt;&gt;"Yes"),'Demand background (hide)'!X65+IF(Setup!$I$15="Yes",'Demand background (hide)'!AJ65,0),"")</f>
        <v/>
      </c>
      <c r="BE74" s="209"/>
    </row>
    <row r="75" spans="1:57" x14ac:dyDescent="0.25">
      <c r="A75" t="str">
        <f t="shared" ca="1" si="0"/>
        <v/>
      </c>
      <c r="B75" s="264" t="str">
        <f t="shared" ca="1" si="1"/>
        <v xml:space="preserve"> </v>
      </c>
      <c r="C75" s="265" t="str">
        <f t="shared" ca="1" si="2"/>
        <v/>
      </c>
      <c r="D75" s="352" t="str">
        <f t="shared" ca="1" si="3"/>
        <v/>
      </c>
      <c r="E75" s="192"/>
      <c r="F75" s="192"/>
      <c r="G75" s="193"/>
      <c r="H75" s="192"/>
      <c r="I75" s="251" t="str">
        <f>IF(COUNTBLANK(E75:H75)=4,"",SUM(E75:G75)+IF(Setup!$I$15="No",0,H75))</f>
        <v/>
      </c>
      <c r="J75" s="192"/>
      <c r="K75" s="192"/>
      <c r="L75" s="192"/>
      <c r="M75" s="192"/>
      <c r="N75" s="255" t="str">
        <f>IF(COUNTBLANK(J75:M75)=4,"",SUM(J75:L75)+IF(Setup!$I$15="No",0,M75))</f>
        <v/>
      </c>
      <c r="O75" s="192"/>
      <c r="P75" s="192"/>
      <c r="Q75" s="192"/>
      <c r="R75" s="192"/>
      <c r="S75" s="255" t="str">
        <f>IF(COUNTBLANK(O75:R75)=4,"",SUM(O75:Q75)+IF(Setup!$I$15="No",0,R75))</f>
        <v/>
      </c>
      <c r="T75" s="192"/>
      <c r="U75" s="192"/>
      <c r="V75" s="192"/>
      <c r="W75" s="192"/>
      <c r="X75" s="255" t="str">
        <f>IF(COUNTBLANK(T75:W75)=4,"",SUM(T75:V75)+IF(Setup!$I$15="No",0,W75))</f>
        <v/>
      </c>
      <c r="Y75" s="192"/>
      <c r="Z75" s="192"/>
      <c r="AA75" s="192"/>
      <c r="AB75" s="192"/>
      <c r="AC75" s="255" t="str">
        <f>IF(COUNTBLANK(Y75:AB75)=4,"",SUM(Y75:AA75)+IF(Setup!$I$15="No",0,AB75))</f>
        <v/>
      </c>
      <c r="AD75" s="192"/>
      <c r="AE75" s="192"/>
      <c r="AF75" s="192"/>
      <c r="AG75" s="192"/>
      <c r="AH75" s="255" t="str">
        <f>IF(COUNTBLANK(AD75:AG75)=4,"",SUM(AD75:AF75)+IF(Setup!$I$15="No",0,AG75))</f>
        <v/>
      </c>
      <c r="AI75" s="192"/>
      <c r="AJ75" s="192"/>
      <c r="AK75" s="192"/>
      <c r="AL75" s="192"/>
      <c r="AM75" s="255" t="str">
        <f>IF(COUNTBLANK(AI75:AL75)=4,"",SUM(AI75:AK75)+IF(Setup!$I$15="No",0,AL75))</f>
        <v/>
      </c>
      <c r="AN75" s="192"/>
      <c r="AO75" s="192"/>
      <c r="AP75" s="192"/>
      <c r="AQ75" s="192"/>
      <c r="AR75" s="255" t="str">
        <f>IF(COUNTBLANK(AN75:AQ75)=4,"",SUM(AN75:AP75)+IF(Setup!$I$15="No",0,AQ75))</f>
        <v/>
      </c>
      <c r="AS75" s="192"/>
      <c r="AT75" s="192"/>
      <c r="AU75" s="192"/>
      <c r="AV75" s="192"/>
      <c r="AW75" s="255" t="str">
        <f>IF(COUNTBLANK(AS75:AV75)=4,"",SUM(AS75:AU75)+IF(Setup!$I$15="No",0,AV75))</f>
        <v/>
      </c>
      <c r="AX75" s="192"/>
      <c r="AY75" s="192"/>
      <c r="AZ75" s="192"/>
      <c r="BA75" s="192"/>
      <c r="BB75" s="255" t="str">
        <f>IF(COUNTBLANK(AX75:BA75)=4,"",SUM(AX75:AZ75)+IF(Setup!$I$15="No",0,BA75))</f>
        <v/>
      </c>
      <c r="BC75" s="259" t="str">
        <f ca="1">IF('Demand background (hide)'!A66=Num_Modalities,"",SUM(Demand!I75))</f>
        <v/>
      </c>
      <c r="BD75" s="259" t="str">
        <f ca="1">IF(AND(A75&lt;=MaxRows,BE75&lt;&gt;"Yes"),'Demand background (hide)'!X66+IF(Setup!$I$15="Yes",'Demand background (hide)'!AJ66,0),"")</f>
        <v/>
      </c>
      <c r="BE75" s="209"/>
    </row>
    <row r="76" spans="1:57" x14ac:dyDescent="0.25">
      <c r="A76" t="str">
        <f t="shared" ca="1" si="0"/>
        <v/>
      </c>
      <c r="B76" s="264" t="str">
        <f t="shared" ca="1" si="1"/>
        <v xml:space="preserve"> </v>
      </c>
      <c r="C76" s="265" t="str">
        <f t="shared" ca="1" si="2"/>
        <v/>
      </c>
      <c r="D76" s="352" t="str">
        <f t="shared" ca="1" si="3"/>
        <v/>
      </c>
      <c r="E76" s="192"/>
      <c r="F76" s="192"/>
      <c r="G76" s="193"/>
      <c r="H76" s="192"/>
      <c r="I76" s="251" t="str">
        <f>IF(COUNTBLANK(E76:H76)=4,"",SUM(E76:G76)+IF(Setup!$I$15="No",0,H76))</f>
        <v/>
      </c>
      <c r="J76" s="192"/>
      <c r="K76" s="192"/>
      <c r="L76" s="192"/>
      <c r="M76" s="192"/>
      <c r="N76" s="255" t="str">
        <f>IF(COUNTBLANK(J76:M76)=4,"",SUM(J76:L76)+IF(Setup!$I$15="No",0,M76))</f>
        <v/>
      </c>
      <c r="O76" s="192"/>
      <c r="P76" s="192"/>
      <c r="Q76" s="192"/>
      <c r="R76" s="192"/>
      <c r="S76" s="255" t="str">
        <f>IF(COUNTBLANK(O76:R76)=4,"",SUM(O76:Q76)+IF(Setup!$I$15="No",0,R76))</f>
        <v/>
      </c>
      <c r="T76" s="192"/>
      <c r="U76" s="192"/>
      <c r="V76" s="192"/>
      <c r="W76" s="192"/>
      <c r="X76" s="255" t="str">
        <f>IF(COUNTBLANK(T76:W76)=4,"",SUM(T76:V76)+IF(Setup!$I$15="No",0,W76))</f>
        <v/>
      </c>
      <c r="Y76" s="192"/>
      <c r="Z76" s="192"/>
      <c r="AA76" s="192"/>
      <c r="AB76" s="192"/>
      <c r="AC76" s="255" t="str">
        <f>IF(COUNTBLANK(Y76:AB76)=4,"",SUM(Y76:AA76)+IF(Setup!$I$15="No",0,AB76))</f>
        <v/>
      </c>
      <c r="AD76" s="192"/>
      <c r="AE76" s="192"/>
      <c r="AF76" s="192"/>
      <c r="AG76" s="192"/>
      <c r="AH76" s="255" t="str">
        <f>IF(COUNTBLANK(AD76:AG76)=4,"",SUM(AD76:AF76)+IF(Setup!$I$15="No",0,AG76))</f>
        <v/>
      </c>
      <c r="AI76" s="192"/>
      <c r="AJ76" s="192"/>
      <c r="AK76" s="192"/>
      <c r="AL76" s="192"/>
      <c r="AM76" s="255" t="str">
        <f>IF(COUNTBLANK(AI76:AL76)=4,"",SUM(AI76:AK76)+IF(Setup!$I$15="No",0,AL76))</f>
        <v/>
      </c>
      <c r="AN76" s="192"/>
      <c r="AO76" s="192"/>
      <c r="AP76" s="192"/>
      <c r="AQ76" s="192"/>
      <c r="AR76" s="255" t="str">
        <f>IF(COUNTBLANK(AN76:AQ76)=4,"",SUM(AN76:AP76)+IF(Setup!$I$15="No",0,AQ76))</f>
        <v/>
      </c>
      <c r="AS76" s="192"/>
      <c r="AT76" s="192"/>
      <c r="AU76" s="192"/>
      <c r="AV76" s="192"/>
      <c r="AW76" s="255" t="str">
        <f>IF(COUNTBLANK(AS76:AV76)=4,"",SUM(AS76:AU76)+IF(Setup!$I$15="No",0,AV76))</f>
        <v/>
      </c>
      <c r="AX76" s="192"/>
      <c r="AY76" s="192"/>
      <c r="AZ76" s="192"/>
      <c r="BA76" s="192"/>
      <c r="BB76" s="255" t="str">
        <f>IF(COUNTBLANK(AX76:BA76)=4,"",SUM(AX76:AZ76)+IF(Setup!$I$15="No",0,BA76))</f>
        <v/>
      </c>
      <c r="BC76" s="259" t="str">
        <f ca="1">IF('Demand background (hide)'!A67=Num_Modalities,"",SUM(Demand!I76))</f>
        <v/>
      </c>
      <c r="BD76" s="259" t="str">
        <f ca="1">IF(AND(A76&lt;=MaxRows,BE76&lt;&gt;"Yes"),'Demand background (hide)'!X67+IF(Setup!$I$15="Yes",'Demand background (hide)'!AJ67,0),"")</f>
        <v/>
      </c>
      <c r="BE76" s="209"/>
    </row>
    <row r="77" spans="1:57" x14ac:dyDescent="0.25">
      <c r="A77" t="str">
        <f t="shared" ref="A77:A140" ca="1" si="4">IF(BC77&lt;&gt;"",ROW(A65),"")</f>
        <v/>
      </c>
      <c r="B77" s="264" t="str">
        <f t="shared" ca="1" si="1"/>
        <v xml:space="preserve"> </v>
      </c>
      <c r="C77" s="265" t="str">
        <f t="shared" ca="1" si="2"/>
        <v/>
      </c>
      <c r="D77" s="352" t="str">
        <f t="shared" ca="1" si="3"/>
        <v/>
      </c>
      <c r="E77" s="192"/>
      <c r="F77" s="192"/>
      <c r="G77" s="193"/>
      <c r="H77" s="192"/>
      <c r="I77" s="251" t="str">
        <f>IF(COUNTBLANK(E77:H77)=4,"",SUM(E77:G77)+IF(Setup!$I$15="No",0,H77))</f>
        <v/>
      </c>
      <c r="J77" s="192"/>
      <c r="K77" s="192"/>
      <c r="L77" s="192"/>
      <c r="M77" s="192"/>
      <c r="N77" s="255" t="str">
        <f>IF(COUNTBLANK(J77:M77)=4,"",SUM(J77:L77)+IF(Setup!$I$15="No",0,M77))</f>
        <v/>
      </c>
      <c r="O77" s="192"/>
      <c r="P77" s="192"/>
      <c r="Q77" s="192"/>
      <c r="R77" s="192"/>
      <c r="S77" s="255" t="str">
        <f>IF(COUNTBLANK(O77:R77)=4,"",SUM(O77:Q77)+IF(Setup!$I$15="No",0,R77))</f>
        <v/>
      </c>
      <c r="T77" s="192"/>
      <c r="U77" s="192"/>
      <c r="V77" s="192"/>
      <c r="W77" s="192"/>
      <c r="X77" s="255" t="str">
        <f>IF(COUNTBLANK(T77:W77)=4,"",SUM(T77:V77)+IF(Setup!$I$15="No",0,W77))</f>
        <v/>
      </c>
      <c r="Y77" s="192"/>
      <c r="Z77" s="192"/>
      <c r="AA77" s="192"/>
      <c r="AB77" s="192"/>
      <c r="AC77" s="255" t="str">
        <f>IF(COUNTBLANK(Y77:AB77)=4,"",SUM(Y77:AA77)+IF(Setup!$I$15="No",0,AB77))</f>
        <v/>
      </c>
      <c r="AD77" s="192"/>
      <c r="AE77" s="192"/>
      <c r="AF77" s="192"/>
      <c r="AG77" s="192"/>
      <c r="AH77" s="255" t="str">
        <f>IF(COUNTBLANK(AD77:AG77)=4,"",SUM(AD77:AF77)+IF(Setup!$I$15="No",0,AG77))</f>
        <v/>
      </c>
      <c r="AI77" s="192"/>
      <c r="AJ77" s="192"/>
      <c r="AK77" s="192"/>
      <c r="AL77" s="192"/>
      <c r="AM77" s="255" t="str">
        <f>IF(COUNTBLANK(AI77:AL77)=4,"",SUM(AI77:AK77)+IF(Setup!$I$15="No",0,AL77))</f>
        <v/>
      </c>
      <c r="AN77" s="192"/>
      <c r="AO77" s="192"/>
      <c r="AP77" s="192"/>
      <c r="AQ77" s="192"/>
      <c r="AR77" s="255" t="str">
        <f>IF(COUNTBLANK(AN77:AQ77)=4,"",SUM(AN77:AP77)+IF(Setup!$I$15="No",0,AQ77))</f>
        <v/>
      </c>
      <c r="AS77" s="192"/>
      <c r="AT77" s="192"/>
      <c r="AU77" s="192"/>
      <c r="AV77" s="192"/>
      <c r="AW77" s="255" t="str">
        <f>IF(COUNTBLANK(AS77:AV77)=4,"",SUM(AS77:AU77)+IF(Setup!$I$15="No",0,AV77))</f>
        <v/>
      </c>
      <c r="AX77" s="192"/>
      <c r="AY77" s="192"/>
      <c r="AZ77" s="192"/>
      <c r="BA77" s="192"/>
      <c r="BB77" s="255" t="str">
        <f>IF(COUNTBLANK(AX77:BA77)=4,"",SUM(AX77:AZ77)+IF(Setup!$I$15="No",0,BA77))</f>
        <v/>
      </c>
      <c r="BC77" s="259" t="str">
        <f ca="1">IF('Demand background (hide)'!A68=Num_Modalities,"",SUM(Demand!I77))</f>
        <v/>
      </c>
      <c r="BD77" s="259" t="str">
        <f ca="1">IF(AND(A77&lt;=MaxRows,BE77&lt;&gt;"Yes"),'Demand background (hide)'!X68+IF(Setup!$I$15="Yes",'Demand background (hide)'!AJ68,0),"")</f>
        <v/>
      </c>
      <c r="BE77" s="209"/>
    </row>
    <row r="78" spans="1:57" x14ac:dyDescent="0.25">
      <c r="A78" t="str">
        <f t="shared" ca="1" si="4"/>
        <v/>
      </c>
      <c r="B78" s="264" t="str">
        <f t="shared" ref="B78:B141" ca="1" si="5">IF(A78&lt;=MaxRows,IF($C$6&lt;&gt;"",IF(YEAR(D78)&lt;&gt;YEAR(D77),YEAR(D78)," "),IF(C78&lt;&gt;1,"",OFFSET(B78,-C77,0,1,1)+1))," ")</f>
        <v xml:space="preserve"> </v>
      </c>
      <c r="C78" s="265" t="str">
        <f t="shared" ref="C78:C141" ca="1" si="6">IF(ROW(A66)&lt;=MaxRows,IF($C$6&lt;&gt;"",WEEKNUM(D78,21),IF(MOD((C77+1),52)&gt;0,MOD((C77+1),52),52)),"")</f>
        <v/>
      </c>
      <c r="D78" s="352" t="str">
        <f t="shared" ref="D78:D141" ca="1" si="7">IF(OR(AND(ROW(A66)&lt;=MaxRows,$C$6&lt;&gt;""),AND(ROW(A78)&lt;=64,LEFT($C$8,1)&lt;&gt;"H")),D77+7,"")</f>
        <v/>
      </c>
      <c r="E78" s="192"/>
      <c r="F78" s="192"/>
      <c r="G78" s="193"/>
      <c r="H78" s="192"/>
      <c r="I78" s="251" t="str">
        <f>IF(COUNTBLANK(E78:H78)=4,"",SUM(E78:G78)+IF(Setup!$I$15="No",0,H78))</f>
        <v/>
      </c>
      <c r="J78" s="192"/>
      <c r="K78" s="192"/>
      <c r="L78" s="192"/>
      <c r="M78" s="192"/>
      <c r="N78" s="255" t="str">
        <f>IF(COUNTBLANK(J78:M78)=4,"",SUM(J78:L78)+IF(Setup!$I$15="No",0,M78))</f>
        <v/>
      </c>
      <c r="O78" s="192"/>
      <c r="P78" s="192"/>
      <c r="Q78" s="192"/>
      <c r="R78" s="192"/>
      <c r="S78" s="255" t="str">
        <f>IF(COUNTBLANK(O78:R78)=4,"",SUM(O78:Q78)+IF(Setup!$I$15="No",0,R78))</f>
        <v/>
      </c>
      <c r="T78" s="192"/>
      <c r="U78" s="192"/>
      <c r="V78" s="192"/>
      <c r="W78" s="192"/>
      <c r="X78" s="255" t="str">
        <f>IF(COUNTBLANK(T78:W78)=4,"",SUM(T78:V78)+IF(Setup!$I$15="No",0,W78))</f>
        <v/>
      </c>
      <c r="Y78" s="192"/>
      <c r="Z78" s="192"/>
      <c r="AA78" s="192"/>
      <c r="AB78" s="192"/>
      <c r="AC78" s="255" t="str">
        <f>IF(COUNTBLANK(Y78:AB78)=4,"",SUM(Y78:AA78)+IF(Setup!$I$15="No",0,AB78))</f>
        <v/>
      </c>
      <c r="AD78" s="192"/>
      <c r="AE78" s="192"/>
      <c r="AF78" s="192"/>
      <c r="AG78" s="192"/>
      <c r="AH78" s="255" t="str">
        <f>IF(COUNTBLANK(AD78:AG78)=4,"",SUM(AD78:AF78)+IF(Setup!$I$15="No",0,AG78))</f>
        <v/>
      </c>
      <c r="AI78" s="192"/>
      <c r="AJ78" s="192"/>
      <c r="AK78" s="192"/>
      <c r="AL78" s="192"/>
      <c r="AM78" s="255" t="str">
        <f>IF(COUNTBLANK(AI78:AL78)=4,"",SUM(AI78:AK78)+IF(Setup!$I$15="No",0,AL78))</f>
        <v/>
      </c>
      <c r="AN78" s="192"/>
      <c r="AO78" s="192"/>
      <c r="AP78" s="192"/>
      <c r="AQ78" s="192"/>
      <c r="AR78" s="255" t="str">
        <f>IF(COUNTBLANK(AN78:AQ78)=4,"",SUM(AN78:AP78)+IF(Setup!$I$15="No",0,AQ78))</f>
        <v/>
      </c>
      <c r="AS78" s="192"/>
      <c r="AT78" s="192"/>
      <c r="AU78" s="192"/>
      <c r="AV78" s="192"/>
      <c r="AW78" s="255" t="str">
        <f>IF(COUNTBLANK(AS78:AV78)=4,"",SUM(AS78:AU78)+IF(Setup!$I$15="No",0,AV78))</f>
        <v/>
      </c>
      <c r="AX78" s="192"/>
      <c r="AY78" s="192"/>
      <c r="AZ78" s="192"/>
      <c r="BA78" s="192"/>
      <c r="BB78" s="255" t="str">
        <f>IF(COUNTBLANK(AX78:BA78)=4,"",SUM(AX78:AZ78)+IF(Setup!$I$15="No",0,BA78))</f>
        <v/>
      </c>
      <c r="BC78" s="259" t="str">
        <f ca="1">IF('Demand background (hide)'!A69=Num_Modalities,"",SUM(Demand!I78))</f>
        <v/>
      </c>
      <c r="BD78" s="259" t="str">
        <f ca="1">IF(AND(A78&lt;=MaxRows,BE78&lt;&gt;"Yes"),'Demand background (hide)'!X69+IF(Setup!$I$15="Yes",'Demand background (hide)'!AJ69,0),"")</f>
        <v/>
      </c>
      <c r="BE78" s="209"/>
    </row>
    <row r="79" spans="1:57" x14ac:dyDescent="0.25">
      <c r="A79" t="str">
        <f t="shared" ca="1" si="4"/>
        <v/>
      </c>
      <c r="B79" s="264" t="str">
        <f t="shared" ca="1" si="5"/>
        <v xml:space="preserve"> </v>
      </c>
      <c r="C79" s="265" t="str">
        <f t="shared" ca="1" si="6"/>
        <v/>
      </c>
      <c r="D79" s="352" t="str">
        <f t="shared" ca="1" si="7"/>
        <v/>
      </c>
      <c r="E79" s="192"/>
      <c r="F79" s="192"/>
      <c r="G79" s="193"/>
      <c r="H79" s="192"/>
      <c r="I79" s="251" t="str">
        <f>IF(COUNTBLANK(E79:H79)=4,"",SUM(E79:G79)+IF(Setup!$I$15="No",0,H79))</f>
        <v/>
      </c>
      <c r="J79" s="192"/>
      <c r="K79" s="192"/>
      <c r="L79" s="192"/>
      <c r="M79" s="192"/>
      <c r="N79" s="255" t="str">
        <f>IF(COUNTBLANK(J79:M79)=4,"",SUM(J79:L79)+IF(Setup!$I$15="No",0,M79))</f>
        <v/>
      </c>
      <c r="O79" s="192"/>
      <c r="P79" s="192"/>
      <c r="Q79" s="192"/>
      <c r="R79" s="192"/>
      <c r="S79" s="255" t="str">
        <f>IF(COUNTBLANK(O79:R79)=4,"",SUM(O79:Q79)+IF(Setup!$I$15="No",0,R79))</f>
        <v/>
      </c>
      <c r="T79" s="192"/>
      <c r="U79" s="192"/>
      <c r="V79" s="192"/>
      <c r="W79" s="192"/>
      <c r="X79" s="255" t="str">
        <f>IF(COUNTBLANK(T79:W79)=4,"",SUM(T79:V79)+IF(Setup!$I$15="No",0,W79))</f>
        <v/>
      </c>
      <c r="Y79" s="192"/>
      <c r="Z79" s="192"/>
      <c r="AA79" s="192"/>
      <c r="AB79" s="192"/>
      <c r="AC79" s="255" t="str">
        <f>IF(COUNTBLANK(Y79:AB79)=4,"",SUM(Y79:AA79)+IF(Setup!$I$15="No",0,AB79))</f>
        <v/>
      </c>
      <c r="AD79" s="192"/>
      <c r="AE79" s="192"/>
      <c r="AF79" s="192"/>
      <c r="AG79" s="192"/>
      <c r="AH79" s="255" t="str">
        <f>IF(COUNTBLANK(AD79:AG79)=4,"",SUM(AD79:AF79)+IF(Setup!$I$15="No",0,AG79))</f>
        <v/>
      </c>
      <c r="AI79" s="192"/>
      <c r="AJ79" s="192"/>
      <c r="AK79" s="192"/>
      <c r="AL79" s="192"/>
      <c r="AM79" s="255" t="str">
        <f>IF(COUNTBLANK(AI79:AL79)=4,"",SUM(AI79:AK79)+IF(Setup!$I$15="No",0,AL79))</f>
        <v/>
      </c>
      <c r="AN79" s="192"/>
      <c r="AO79" s="192"/>
      <c r="AP79" s="192"/>
      <c r="AQ79" s="192"/>
      <c r="AR79" s="255" t="str">
        <f>IF(COUNTBLANK(AN79:AQ79)=4,"",SUM(AN79:AP79)+IF(Setup!$I$15="No",0,AQ79))</f>
        <v/>
      </c>
      <c r="AS79" s="192"/>
      <c r="AT79" s="192"/>
      <c r="AU79" s="192"/>
      <c r="AV79" s="192"/>
      <c r="AW79" s="255" t="str">
        <f>IF(COUNTBLANK(AS79:AV79)=4,"",SUM(AS79:AU79)+IF(Setup!$I$15="No",0,AV79))</f>
        <v/>
      </c>
      <c r="AX79" s="192"/>
      <c r="AY79" s="192"/>
      <c r="AZ79" s="192"/>
      <c r="BA79" s="192"/>
      <c r="BB79" s="255" t="str">
        <f>IF(COUNTBLANK(AX79:BA79)=4,"",SUM(AX79:AZ79)+IF(Setup!$I$15="No",0,BA79))</f>
        <v/>
      </c>
      <c r="BC79" s="259" t="str">
        <f ca="1">IF('Demand background (hide)'!A70=Num_Modalities,"",SUM(Demand!I79))</f>
        <v/>
      </c>
      <c r="BD79" s="259" t="str">
        <f ca="1">IF(AND(A79&lt;=MaxRows,BE79&lt;&gt;"Yes"),'Demand background (hide)'!X70+IF(Setup!$I$15="Yes",'Demand background (hide)'!AJ70,0),"")</f>
        <v/>
      </c>
      <c r="BE79" s="209"/>
    </row>
    <row r="80" spans="1:57" x14ac:dyDescent="0.25">
      <c r="A80" t="str">
        <f t="shared" ca="1" si="4"/>
        <v/>
      </c>
      <c r="B80" s="264" t="str">
        <f t="shared" ca="1" si="5"/>
        <v xml:space="preserve"> </v>
      </c>
      <c r="C80" s="265" t="str">
        <f t="shared" ca="1" si="6"/>
        <v/>
      </c>
      <c r="D80" s="352" t="str">
        <f t="shared" ca="1" si="7"/>
        <v/>
      </c>
      <c r="E80" s="192"/>
      <c r="F80" s="192"/>
      <c r="G80" s="193"/>
      <c r="H80" s="192"/>
      <c r="I80" s="251" t="str">
        <f>IF(COUNTBLANK(E80:H80)=4,"",SUM(E80:G80)+IF(Setup!$I$15="No",0,H80))</f>
        <v/>
      </c>
      <c r="J80" s="192"/>
      <c r="K80" s="192"/>
      <c r="L80" s="192"/>
      <c r="M80" s="192"/>
      <c r="N80" s="255" t="str">
        <f>IF(COUNTBLANK(J80:M80)=4,"",SUM(J80:L80)+IF(Setup!$I$15="No",0,M80))</f>
        <v/>
      </c>
      <c r="O80" s="192"/>
      <c r="P80" s="192"/>
      <c r="Q80" s="192"/>
      <c r="R80" s="192"/>
      <c r="S80" s="255" t="str">
        <f>IF(COUNTBLANK(O80:R80)=4,"",SUM(O80:Q80)+IF(Setup!$I$15="No",0,R80))</f>
        <v/>
      </c>
      <c r="T80" s="192"/>
      <c r="U80" s="192"/>
      <c r="V80" s="192"/>
      <c r="W80" s="192"/>
      <c r="X80" s="255" t="str">
        <f>IF(COUNTBLANK(T80:W80)=4,"",SUM(T80:V80)+IF(Setup!$I$15="No",0,W80))</f>
        <v/>
      </c>
      <c r="Y80" s="192"/>
      <c r="Z80" s="192"/>
      <c r="AA80" s="192"/>
      <c r="AB80" s="192"/>
      <c r="AC80" s="255" t="str">
        <f>IF(COUNTBLANK(Y80:AB80)=4,"",SUM(Y80:AA80)+IF(Setup!$I$15="No",0,AB80))</f>
        <v/>
      </c>
      <c r="AD80" s="192"/>
      <c r="AE80" s="192"/>
      <c r="AF80" s="192"/>
      <c r="AG80" s="192"/>
      <c r="AH80" s="255" t="str">
        <f>IF(COUNTBLANK(AD80:AG80)=4,"",SUM(AD80:AF80)+IF(Setup!$I$15="No",0,AG80))</f>
        <v/>
      </c>
      <c r="AI80" s="192"/>
      <c r="AJ80" s="192"/>
      <c r="AK80" s="192"/>
      <c r="AL80" s="192"/>
      <c r="AM80" s="255" t="str">
        <f>IF(COUNTBLANK(AI80:AL80)=4,"",SUM(AI80:AK80)+IF(Setup!$I$15="No",0,AL80))</f>
        <v/>
      </c>
      <c r="AN80" s="192"/>
      <c r="AO80" s="192"/>
      <c r="AP80" s="192"/>
      <c r="AQ80" s="192"/>
      <c r="AR80" s="255" t="str">
        <f>IF(COUNTBLANK(AN80:AQ80)=4,"",SUM(AN80:AP80)+IF(Setup!$I$15="No",0,AQ80))</f>
        <v/>
      </c>
      <c r="AS80" s="192"/>
      <c r="AT80" s="192"/>
      <c r="AU80" s="192"/>
      <c r="AV80" s="192"/>
      <c r="AW80" s="255" t="str">
        <f>IF(COUNTBLANK(AS80:AV80)=4,"",SUM(AS80:AU80)+IF(Setup!$I$15="No",0,AV80))</f>
        <v/>
      </c>
      <c r="AX80" s="192"/>
      <c r="AY80" s="192"/>
      <c r="AZ80" s="192"/>
      <c r="BA80" s="192"/>
      <c r="BB80" s="255" t="str">
        <f>IF(COUNTBLANK(AX80:BA80)=4,"",SUM(AX80:AZ80)+IF(Setup!$I$15="No",0,BA80))</f>
        <v/>
      </c>
      <c r="BC80" s="259" t="str">
        <f ca="1">IF('Demand background (hide)'!A71=Num_Modalities,"",SUM(Demand!I80))</f>
        <v/>
      </c>
      <c r="BD80" s="259" t="str">
        <f ca="1">IF(AND(A80&lt;=MaxRows,BE80&lt;&gt;"Yes"),'Demand background (hide)'!X71+IF(Setup!$I$15="Yes",'Demand background (hide)'!AJ71,0),"")</f>
        <v/>
      </c>
      <c r="BE80" s="209"/>
    </row>
    <row r="81" spans="1:57" x14ac:dyDescent="0.25">
      <c r="A81" t="str">
        <f t="shared" ca="1" si="4"/>
        <v/>
      </c>
      <c r="B81" s="264" t="str">
        <f t="shared" ca="1" si="5"/>
        <v xml:space="preserve"> </v>
      </c>
      <c r="C81" s="265" t="str">
        <f t="shared" ca="1" si="6"/>
        <v/>
      </c>
      <c r="D81" s="352" t="str">
        <f t="shared" ca="1" si="7"/>
        <v/>
      </c>
      <c r="E81" s="192"/>
      <c r="F81" s="192"/>
      <c r="G81" s="193"/>
      <c r="H81" s="192"/>
      <c r="I81" s="251" t="str">
        <f>IF(COUNTBLANK(E81:H81)=4,"",SUM(E81:G81)+IF(Setup!$I$15="No",0,H81))</f>
        <v/>
      </c>
      <c r="J81" s="192"/>
      <c r="K81" s="192"/>
      <c r="L81" s="192"/>
      <c r="M81" s="192"/>
      <c r="N81" s="255" t="str">
        <f>IF(COUNTBLANK(J81:M81)=4,"",SUM(J81:L81)+IF(Setup!$I$15="No",0,M81))</f>
        <v/>
      </c>
      <c r="O81" s="192"/>
      <c r="P81" s="192"/>
      <c r="Q81" s="192"/>
      <c r="R81" s="192"/>
      <c r="S81" s="255" t="str">
        <f>IF(COUNTBLANK(O81:R81)=4,"",SUM(O81:Q81)+IF(Setup!$I$15="No",0,R81))</f>
        <v/>
      </c>
      <c r="T81" s="192"/>
      <c r="U81" s="192"/>
      <c r="V81" s="192"/>
      <c r="W81" s="192"/>
      <c r="X81" s="255" t="str">
        <f>IF(COUNTBLANK(T81:W81)=4,"",SUM(T81:V81)+IF(Setup!$I$15="No",0,W81))</f>
        <v/>
      </c>
      <c r="Y81" s="192"/>
      <c r="Z81" s="192"/>
      <c r="AA81" s="192"/>
      <c r="AB81" s="192"/>
      <c r="AC81" s="255" t="str">
        <f>IF(COUNTBLANK(Y81:AB81)=4,"",SUM(Y81:AA81)+IF(Setup!$I$15="No",0,AB81))</f>
        <v/>
      </c>
      <c r="AD81" s="192"/>
      <c r="AE81" s="192"/>
      <c r="AF81" s="192"/>
      <c r="AG81" s="192"/>
      <c r="AH81" s="255" t="str">
        <f>IF(COUNTBLANK(AD81:AG81)=4,"",SUM(AD81:AF81)+IF(Setup!$I$15="No",0,AG81))</f>
        <v/>
      </c>
      <c r="AI81" s="192"/>
      <c r="AJ81" s="192"/>
      <c r="AK81" s="192"/>
      <c r="AL81" s="192"/>
      <c r="AM81" s="255" t="str">
        <f>IF(COUNTBLANK(AI81:AL81)=4,"",SUM(AI81:AK81)+IF(Setup!$I$15="No",0,AL81))</f>
        <v/>
      </c>
      <c r="AN81" s="192"/>
      <c r="AO81" s="192"/>
      <c r="AP81" s="192"/>
      <c r="AQ81" s="192"/>
      <c r="AR81" s="255" t="str">
        <f>IF(COUNTBLANK(AN81:AQ81)=4,"",SUM(AN81:AP81)+IF(Setup!$I$15="No",0,AQ81))</f>
        <v/>
      </c>
      <c r="AS81" s="192"/>
      <c r="AT81" s="192"/>
      <c r="AU81" s="192"/>
      <c r="AV81" s="192"/>
      <c r="AW81" s="255" t="str">
        <f>IF(COUNTBLANK(AS81:AV81)=4,"",SUM(AS81:AU81)+IF(Setup!$I$15="No",0,AV81))</f>
        <v/>
      </c>
      <c r="AX81" s="192"/>
      <c r="AY81" s="192"/>
      <c r="AZ81" s="192"/>
      <c r="BA81" s="192"/>
      <c r="BB81" s="255" t="str">
        <f>IF(COUNTBLANK(AX81:BA81)=4,"",SUM(AX81:AZ81)+IF(Setup!$I$15="No",0,BA81))</f>
        <v/>
      </c>
      <c r="BC81" s="259" t="str">
        <f ca="1">IF('Demand background (hide)'!A72=Num_Modalities,"",SUM(Demand!I81))</f>
        <v/>
      </c>
      <c r="BD81" s="259" t="str">
        <f ca="1">IF(AND(A81&lt;=MaxRows,BE81&lt;&gt;"Yes"),'Demand background (hide)'!X72+IF(Setup!$I$15="Yes",'Demand background (hide)'!AJ72,0),"")</f>
        <v/>
      </c>
      <c r="BE81" s="209"/>
    </row>
    <row r="82" spans="1:57" x14ac:dyDescent="0.25">
      <c r="A82" t="str">
        <f t="shared" ca="1" si="4"/>
        <v/>
      </c>
      <c r="B82" s="264" t="str">
        <f t="shared" ca="1" si="5"/>
        <v xml:space="preserve"> </v>
      </c>
      <c r="C82" s="265" t="str">
        <f t="shared" ca="1" si="6"/>
        <v/>
      </c>
      <c r="D82" s="352" t="str">
        <f t="shared" ca="1" si="7"/>
        <v/>
      </c>
      <c r="E82" s="192"/>
      <c r="F82" s="192"/>
      <c r="G82" s="193"/>
      <c r="H82" s="192"/>
      <c r="I82" s="251" t="str">
        <f>IF(COUNTBLANK(E82:H82)=4,"",SUM(E82:G82)+IF(Setup!$I$15="No",0,H82))</f>
        <v/>
      </c>
      <c r="J82" s="192"/>
      <c r="K82" s="192"/>
      <c r="L82" s="192"/>
      <c r="M82" s="192"/>
      <c r="N82" s="255" t="str">
        <f>IF(COUNTBLANK(J82:M82)=4,"",SUM(J82:L82)+IF(Setup!$I$15="No",0,M82))</f>
        <v/>
      </c>
      <c r="O82" s="192"/>
      <c r="P82" s="192"/>
      <c r="Q82" s="192"/>
      <c r="R82" s="192"/>
      <c r="S82" s="255" t="str">
        <f>IF(COUNTBLANK(O82:R82)=4,"",SUM(O82:Q82)+IF(Setup!$I$15="No",0,R82))</f>
        <v/>
      </c>
      <c r="T82" s="192"/>
      <c r="U82" s="192"/>
      <c r="V82" s="192"/>
      <c r="W82" s="192"/>
      <c r="X82" s="255" t="str">
        <f>IF(COUNTBLANK(T82:W82)=4,"",SUM(T82:V82)+IF(Setup!$I$15="No",0,W82))</f>
        <v/>
      </c>
      <c r="Y82" s="192"/>
      <c r="Z82" s="192"/>
      <c r="AA82" s="192"/>
      <c r="AB82" s="192"/>
      <c r="AC82" s="255" t="str">
        <f>IF(COUNTBLANK(Y82:AB82)=4,"",SUM(Y82:AA82)+IF(Setup!$I$15="No",0,AB82))</f>
        <v/>
      </c>
      <c r="AD82" s="192"/>
      <c r="AE82" s="192"/>
      <c r="AF82" s="192"/>
      <c r="AG82" s="192"/>
      <c r="AH82" s="255" t="str">
        <f>IF(COUNTBLANK(AD82:AG82)=4,"",SUM(AD82:AF82)+IF(Setup!$I$15="No",0,AG82))</f>
        <v/>
      </c>
      <c r="AI82" s="192"/>
      <c r="AJ82" s="192"/>
      <c r="AK82" s="192"/>
      <c r="AL82" s="192"/>
      <c r="AM82" s="255" t="str">
        <f>IF(COUNTBLANK(AI82:AL82)=4,"",SUM(AI82:AK82)+IF(Setup!$I$15="No",0,AL82))</f>
        <v/>
      </c>
      <c r="AN82" s="192"/>
      <c r="AO82" s="192"/>
      <c r="AP82" s="192"/>
      <c r="AQ82" s="192"/>
      <c r="AR82" s="255" t="str">
        <f>IF(COUNTBLANK(AN82:AQ82)=4,"",SUM(AN82:AP82)+IF(Setup!$I$15="No",0,AQ82))</f>
        <v/>
      </c>
      <c r="AS82" s="192"/>
      <c r="AT82" s="192"/>
      <c r="AU82" s="192"/>
      <c r="AV82" s="192"/>
      <c r="AW82" s="255" t="str">
        <f>IF(COUNTBLANK(AS82:AV82)=4,"",SUM(AS82:AU82)+IF(Setup!$I$15="No",0,AV82))</f>
        <v/>
      </c>
      <c r="AX82" s="192"/>
      <c r="AY82" s="192"/>
      <c r="AZ82" s="192"/>
      <c r="BA82" s="192"/>
      <c r="BB82" s="255" t="str">
        <f>IF(COUNTBLANK(AX82:BA82)=4,"",SUM(AX82:AZ82)+IF(Setup!$I$15="No",0,BA82))</f>
        <v/>
      </c>
      <c r="BC82" s="259" t="str">
        <f ca="1">IF('Demand background (hide)'!A73=Num_Modalities,"",SUM(Demand!I82))</f>
        <v/>
      </c>
      <c r="BD82" s="259" t="str">
        <f ca="1">IF(AND(A82&lt;=MaxRows,BE82&lt;&gt;"Yes"),'Demand background (hide)'!X73+IF(Setup!$I$15="Yes",'Demand background (hide)'!AJ73,0),"")</f>
        <v/>
      </c>
      <c r="BE82" s="209"/>
    </row>
    <row r="83" spans="1:57" x14ac:dyDescent="0.25">
      <c r="A83" t="str">
        <f t="shared" ca="1" si="4"/>
        <v/>
      </c>
      <c r="B83" s="264" t="str">
        <f t="shared" ca="1" si="5"/>
        <v xml:space="preserve"> </v>
      </c>
      <c r="C83" s="265" t="str">
        <f t="shared" ca="1" si="6"/>
        <v/>
      </c>
      <c r="D83" s="352" t="str">
        <f t="shared" ca="1" si="7"/>
        <v/>
      </c>
      <c r="E83" s="192"/>
      <c r="F83" s="192"/>
      <c r="G83" s="193"/>
      <c r="H83" s="192"/>
      <c r="I83" s="251" t="str">
        <f>IF(COUNTBLANK(E83:H83)=4,"",SUM(E83:G83)+IF(Setup!$I$15="No",0,H83))</f>
        <v/>
      </c>
      <c r="J83" s="192"/>
      <c r="K83" s="192"/>
      <c r="L83" s="192"/>
      <c r="M83" s="192"/>
      <c r="N83" s="255" t="str">
        <f>IF(COUNTBLANK(J83:M83)=4,"",SUM(J83:L83)+IF(Setup!$I$15="No",0,M83))</f>
        <v/>
      </c>
      <c r="O83" s="192"/>
      <c r="P83" s="192"/>
      <c r="Q83" s="192"/>
      <c r="R83" s="192"/>
      <c r="S83" s="255" t="str">
        <f>IF(COUNTBLANK(O83:R83)=4,"",SUM(O83:Q83)+IF(Setup!$I$15="No",0,R83))</f>
        <v/>
      </c>
      <c r="T83" s="192"/>
      <c r="U83" s="192"/>
      <c r="V83" s="192"/>
      <c r="W83" s="192"/>
      <c r="X83" s="255" t="str">
        <f>IF(COUNTBLANK(T83:W83)=4,"",SUM(T83:V83)+IF(Setup!$I$15="No",0,W83))</f>
        <v/>
      </c>
      <c r="Y83" s="192"/>
      <c r="Z83" s="192"/>
      <c r="AA83" s="192"/>
      <c r="AB83" s="192"/>
      <c r="AC83" s="255" t="str">
        <f>IF(COUNTBLANK(Y83:AB83)=4,"",SUM(Y83:AA83)+IF(Setup!$I$15="No",0,AB83))</f>
        <v/>
      </c>
      <c r="AD83" s="192"/>
      <c r="AE83" s="192"/>
      <c r="AF83" s="192"/>
      <c r="AG83" s="192"/>
      <c r="AH83" s="255" t="str">
        <f>IF(COUNTBLANK(AD83:AG83)=4,"",SUM(AD83:AF83)+IF(Setup!$I$15="No",0,AG83))</f>
        <v/>
      </c>
      <c r="AI83" s="192"/>
      <c r="AJ83" s="192"/>
      <c r="AK83" s="192"/>
      <c r="AL83" s="192"/>
      <c r="AM83" s="255" t="str">
        <f>IF(COUNTBLANK(AI83:AL83)=4,"",SUM(AI83:AK83)+IF(Setup!$I$15="No",0,AL83))</f>
        <v/>
      </c>
      <c r="AN83" s="192"/>
      <c r="AO83" s="192"/>
      <c r="AP83" s="192"/>
      <c r="AQ83" s="192"/>
      <c r="AR83" s="255" t="str">
        <f>IF(COUNTBLANK(AN83:AQ83)=4,"",SUM(AN83:AP83)+IF(Setup!$I$15="No",0,AQ83))</f>
        <v/>
      </c>
      <c r="AS83" s="192"/>
      <c r="AT83" s="192"/>
      <c r="AU83" s="192"/>
      <c r="AV83" s="192"/>
      <c r="AW83" s="255" t="str">
        <f>IF(COUNTBLANK(AS83:AV83)=4,"",SUM(AS83:AU83)+IF(Setup!$I$15="No",0,AV83))</f>
        <v/>
      </c>
      <c r="AX83" s="192"/>
      <c r="AY83" s="192"/>
      <c r="AZ83" s="192"/>
      <c r="BA83" s="192"/>
      <c r="BB83" s="255" t="str">
        <f>IF(COUNTBLANK(AX83:BA83)=4,"",SUM(AX83:AZ83)+IF(Setup!$I$15="No",0,BA83))</f>
        <v/>
      </c>
      <c r="BC83" s="259" t="str">
        <f ca="1">IF('Demand background (hide)'!A74=Num_Modalities,"",SUM(Demand!I83))</f>
        <v/>
      </c>
      <c r="BD83" s="259" t="str">
        <f ca="1">IF(AND(A83&lt;=MaxRows,BE83&lt;&gt;"Yes"),'Demand background (hide)'!X74+IF(Setup!$I$15="Yes",'Demand background (hide)'!AJ74,0),"")</f>
        <v/>
      </c>
      <c r="BE83" s="209"/>
    </row>
    <row r="84" spans="1:57" x14ac:dyDescent="0.25">
      <c r="A84" t="str">
        <f t="shared" ca="1" si="4"/>
        <v/>
      </c>
      <c r="B84" s="264" t="str">
        <f t="shared" ca="1" si="5"/>
        <v xml:space="preserve"> </v>
      </c>
      <c r="C84" s="265" t="str">
        <f t="shared" ca="1" si="6"/>
        <v/>
      </c>
      <c r="D84" s="352" t="str">
        <f t="shared" ca="1" si="7"/>
        <v/>
      </c>
      <c r="E84" s="192"/>
      <c r="F84" s="192"/>
      <c r="G84" s="193"/>
      <c r="H84" s="192"/>
      <c r="I84" s="251" t="str">
        <f>IF(COUNTBLANK(E84:H84)=4,"",SUM(E84:G84)+IF(Setup!$I$15="No",0,H84))</f>
        <v/>
      </c>
      <c r="J84" s="192"/>
      <c r="K84" s="192"/>
      <c r="L84" s="192"/>
      <c r="M84" s="192"/>
      <c r="N84" s="255" t="str">
        <f>IF(COUNTBLANK(J84:M84)=4,"",SUM(J84:L84)+IF(Setup!$I$15="No",0,M84))</f>
        <v/>
      </c>
      <c r="O84" s="192"/>
      <c r="P84" s="192"/>
      <c r="Q84" s="192"/>
      <c r="R84" s="192"/>
      <c r="S84" s="255" t="str">
        <f>IF(COUNTBLANK(O84:R84)=4,"",SUM(O84:Q84)+IF(Setup!$I$15="No",0,R84))</f>
        <v/>
      </c>
      <c r="T84" s="192"/>
      <c r="U84" s="192"/>
      <c r="V84" s="192"/>
      <c r="W84" s="192"/>
      <c r="X84" s="255" t="str">
        <f>IF(COUNTBLANK(T84:W84)=4,"",SUM(T84:V84)+IF(Setup!$I$15="No",0,W84))</f>
        <v/>
      </c>
      <c r="Y84" s="192"/>
      <c r="Z84" s="192"/>
      <c r="AA84" s="192"/>
      <c r="AB84" s="192"/>
      <c r="AC84" s="255" t="str">
        <f>IF(COUNTBLANK(Y84:AB84)=4,"",SUM(Y84:AA84)+IF(Setup!$I$15="No",0,AB84))</f>
        <v/>
      </c>
      <c r="AD84" s="192"/>
      <c r="AE84" s="192"/>
      <c r="AF84" s="192"/>
      <c r="AG84" s="192"/>
      <c r="AH84" s="255" t="str">
        <f>IF(COUNTBLANK(AD84:AG84)=4,"",SUM(AD84:AF84)+IF(Setup!$I$15="No",0,AG84))</f>
        <v/>
      </c>
      <c r="AI84" s="192"/>
      <c r="AJ84" s="192"/>
      <c r="AK84" s="192"/>
      <c r="AL84" s="192"/>
      <c r="AM84" s="255" t="str">
        <f>IF(COUNTBLANK(AI84:AL84)=4,"",SUM(AI84:AK84)+IF(Setup!$I$15="No",0,AL84))</f>
        <v/>
      </c>
      <c r="AN84" s="192"/>
      <c r="AO84" s="192"/>
      <c r="AP84" s="192"/>
      <c r="AQ84" s="192"/>
      <c r="AR84" s="255" t="str">
        <f>IF(COUNTBLANK(AN84:AQ84)=4,"",SUM(AN84:AP84)+IF(Setup!$I$15="No",0,AQ84))</f>
        <v/>
      </c>
      <c r="AS84" s="192"/>
      <c r="AT84" s="192"/>
      <c r="AU84" s="192"/>
      <c r="AV84" s="192"/>
      <c r="AW84" s="255" t="str">
        <f>IF(COUNTBLANK(AS84:AV84)=4,"",SUM(AS84:AU84)+IF(Setup!$I$15="No",0,AV84))</f>
        <v/>
      </c>
      <c r="AX84" s="192"/>
      <c r="AY84" s="192"/>
      <c r="AZ84" s="192"/>
      <c r="BA84" s="192"/>
      <c r="BB84" s="255" t="str">
        <f>IF(COUNTBLANK(AX84:BA84)=4,"",SUM(AX84:AZ84)+IF(Setup!$I$15="No",0,BA84))</f>
        <v/>
      </c>
      <c r="BC84" s="259" t="str">
        <f ca="1">IF('Demand background (hide)'!A75=Num_Modalities,"",SUM(Demand!I84))</f>
        <v/>
      </c>
      <c r="BD84" s="259" t="str">
        <f ca="1">IF(AND(A84&lt;=MaxRows,BE84&lt;&gt;"Yes"),'Demand background (hide)'!X75+IF(Setup!$I$15="Yes",'Demand background (hide)'!AJ75,0),"")</f>
        <v/>
      </c>
      <c r="BE84" s="209"/>
    </row>
    <row r="85" spans="1:57" x14ac:dyDescent="0.25">
      <c r="A85" t="str">
        <f t="shared" ca="1" si="4"/>
        <v/>
      </c>
      <c r="B85" s="264" t="str">
        <f t="shared" ca="1" si="5"/>
        <v xml:space="preserve"> </v>
      </c>
      <c r="C85" s="265" t="str">
        <f t="shared" ca="1" si="6"/>
        <v/>
      </c>
      <c r="D85" s="352" t="str">
        <f t="shared" ca="1" si="7"/>
        <v/>
      </c>
      <c r="E85" s="192"/>
      <c r="F85" s="192"/>
      <c r="G85" s="193"/>
      <c r="H85" s="192"/>
      <c r="I85" s="251" t="str">
        <f>IF(COUNTBLANK(E85:H85)=4,"",SUM(E85:G85)+IF(Setup!$I$15="No",0,H85))</f>
        <v/>
      </c>
      <c r="J85" s="192"/>
      <c r="K85" s="192"/>
      <c r="L85" s="192"/>
      <c r="M85" s="192"/>
      <c r="N85" s="255" t="str">
        <f>IF(COUNTBLANK(J85:M85)=4,"",SUM(J85:L85)+IF(Setup!$I$15="No",0,M85))</f>
        <v/>
      </c>
      <c r="O85" s="192"/>
      <c r="P85" s="192"/>
      <c r="Q85" s="192"/>
      <c r="R85" s="192"/>
      <c r="S85" s="255" t="str">
        <f>IF(COUNTBLANK(O85:R85)=4,"",SUM(O85:Q85)+IF(Setup!$I$15="No",0,R85))</f>
        <v/>
      </c>
      <c r="T85" s="192"/>
      <c r="U85" s="192"/>
      <c r="V85" s="192"/>
      <c r="W85" s="192"/>
      <c r="X85" s="255" t="str">
        <f>IF(COUNTBLANK(T85:W85)=4,"",SUM(T85:V85)+IF(Setup!$I$15="No",0,W85))</f>
        <v/>
      </c>
      <c r="Y85" s="192"/>
      <c r="Z85" s="192"/>
      <c r="AA85" s="192"/>
      <c r="AB85" s="192"/>
      <c r="AC85" s="255" t="str">
        <f>IF(COUNTBLANK(Y85:AB85)=4,"",SUM(Y85:AA85)+IF(Setup!$I$15="No",0,AB85))</f>
        <v/>
      </c>
      <c r="AD85" s="192"/>
      <c r="AE85" s="192"/>
      <c r="AF85" s="192"/>
      <c r="AG85" s="192"/>
      <c r="AH85" s="255" t="str">
        <f>IF(COUNTBLANK(AD85:AG85)=4,"",SUM(AD85:AF85)+IF(Setup!$I$15="No",0,AG85))</f>
        <v/>
      </c>
      <c r="AI85" s="192"/>
      <c r="AJ85" s="192"/>
      <c r="AK85" s="192"/>
      <c r="AL85" s="192"/>
      <c r="AM85" s="255" t="str">
        <f>IF(COUNTBLANK(AI85:AL85)=4,"",SUM(AI85:AK85)+IF(Setup!$I$15="No",0,AL85))</f>
        <v/>
      </c>
      <c r="AN85" s="192"/>
      <c r="AO85" s="192"/>
      <c r="AP85" s="192"/>
      <c r="AQ85" s="192"/>
      <c r="AR85" s="255" t="str">
        <f>IF(COUNTBLANK(AN85:AQ85)=4,"",SUM(AN85:AP85)+IF(Setup!$I$15="No",0,AQ85))</f>
        <v/>
      </c>
      <c r="AS85" s="192"/>
      <c r="AT85" s="192"/>
      <c r="AU85" s="192"/>
      <c r="AV85" s="192"/>
      <c r="AW85" s="255" t="str">
        <f>IF(COUNTBLANK(AS85:AV85)=4,"",SUM(AS85:AU85)+IF(Setup!$I$15="No",0,AV85))</f>
        <v/>
      </c>
      <c r="AX85" s="192"/>
      <c r="AY85" s="192"/>
      <c r="AZ85" s="192"/>
      <c r="BA85" s="192"/>
      <c r="BB85" s="255" t="str">
        <f>IF(COUNTBLANK(AX85:BA85)=4,"",SUM(AX85:AZ85)+IF(Setup!$I$15="No",0,BA85))</f>
        <v/>
      </c>
      <c r="BC85" s="259" t="str">
        <f ca="1">IF('Demand background (hide)'!A76=Num_Modalities,"",SUM(Demand!I85))</f>
        <v/>
      </c>
      <c r="BD85" s="259" t="str">
        <f ca="1">IF(AND(A85&lt;=MaxRows,BE85&lt;&gt;"Yes"),'Demand background (hide)'!X76+IF(Setup!$I$15="Yes",'Demand background (hide)'!AJ76,0),"")</f>
        <v/>
      </c>
      <c r="BE85" s="209"/>
    </row>
    <row r="86" spans="1:57" x14ac:dyDescent="0.25">
      <c r="A86" t="str">
        <f t="shared" ca="1" si="4"/>
        <v/>
      </c>
      <c r="B86" s="264" t="str">
        <f t="shared" ca="1" si="5"/>
        <v xml:space="preserve"> </v>
      </c>
      <c r="C86" s="265" t="str">
        <f t="shared" ca="1" si="6"/>
        <v/>
      </c>
      <c r="D86" s="352" t="str">
        <f t="shared" ca="1" si="7"/>
        <v/>
      </c>
      <c r="E86" s="192"/>
      <c r="F86" s="192"/>
      <c r="G86" s="193"/>
      <c r="H86" s="192"/>
      <c r="I86" s="251" t="str">
        <f>IF(COUNTBLANK(E86:H86)=4,"",SUM(E86:G86)+IF(Setup!$I$15="No",0,H86))</f>
        <v/>
      </c>
      <c r="J86" s="192"/>
      <c r="K86" s="192"/>
      <c r="L86" s="192"/>
      <c r="M86" s="192"/>
      <c r="N86" s="255" t="str">
        <f>IF(COUNTBLANK(J86:M86)=4,"",SUM(J86:L86)+IF(Setup!$I$15="No",0,M86))</f>
        <v/>
      </c>
      <c r="O86" s="192"/>
      <c r="P86" s="192"/>
      <c r="Q86" s="192"/>
      <c r="R86" s="192"/>
      <c r="S86" s="255" t="str">
        <f>IF(COUNTBLANK(O86:R86)=4,"",SUM(O86:Q86)+IF(Setup!$I$15="No",0,R86))</f>
        <v/>
      </c>
      <c r="T86" s="192"/>
      <c r="U86" s="192"/>
      <c r="V86" s="192"/>
      <c r="W86" s="192"/>
      <c r="X86" s="255" t="str">
        <f>IF(COUNTBLANK(T86:W86)=4,"",SUM(T86:V86)+IF(Setup!$I$15="No",0,W86))</f>
        <v/>
      </c>
      <c r="Y86" s="192"/>
      <c r="Z86" s="192"/>
      <c r="AA86" s="192"/>
      <c r="AB86" s="192"/>
      <c r="AC86" s="255" t="str">
        <f>IF(COUNTBLANK(Y86:AB86)=4,"",SUM(Y86:AA86)+IF(Setup!$I$15="No",0,AB86))</f>
        <v/>
      </c>
      <c r="AD86" s="192"/>
      <c r="AE86" s="192"/>
      <c r="AF86" s="192"/>
      <c r="AG86" s="192"/>
      <c r="AH86" s="255" t="str">
        <f>IF(COUNTBLANK(AD86:AG86)=4,"",SUM(AD86:AF86)+IF(Setup!$I$15="No",0,AG86))</f>
        <v/>
      </c>
      <c r="AI86" s="192"/>
      <c r="AJ86" s="192"/>
      <c r="AK86" s="192"/>
      <c r="AL86" s="192"/>
      <c r="AM86" s="255" t="str">
        <f>IF(COUNTBLANK(AI86:AL86)=4,"",SUM(AI86:AK86)+IF(Setup!$I$15="No",0,AL86))</f>
        <v/>
      </c>
      <c r="AN86" s="192"/>
      <c r="AO86" s="192"/>
      <c r="AP86" s="192"/>
      <c r="AQ86" s="192"/>
      <c r="AR86" s="255" t="str">
        <f>IF(COUNTBLANK(AN86:AQ86)=4,"",SUM(AN86:AP86)+IF(Setup!$I$15="No",0,AQ86))</f>
        <v/>
      </c>
      <c r="AS86" s="192"/>
      <c r="AT86" s="192"/>
      <c r="AU86" s="192"/>
      <c r="AV86" s="192"/>
      <c r="AW86" s="255" t="str">
        <f>IF(COUNTBLANK(AS86:AV86)=4,"",SUM(AS86:AU86)+IF(Setup!$I$15="No",0,AV86))</f>
        <v/>
      </c>
      <c r="AX86" s="192"/>
      <c r="AY86" s="192"/>
      <c r="AZ86" s="192"/>
      <c r="BA86" s="192"/>
      <c r="BB86" s="255" t="str">
        <f>IF(COUNTBLANK(AX86:BA86)=4,"",SUM(AX86:AZ86)+IF(Setup!$I$15="No",0,BA86))</f>
        <v/>
      </c>
      <c r="BC86" s="259" t="str">
        <f ca="1">IF('Demand background (hide)'!A77=Num_Modalities,"",SUM(Demand!I86))</f>
        <v/>
      </c>
      <c r="BD86" s="259" t="str">
        <f ca="1">IF(AND(A86&lt;=MaxRows,BE86&lt;&gt;"Yes"),'Demand background (hide)'!X77+IF(Setup!$I$15="Yes",'Demand background (hide)'!AJ77,0),"")</f>
        <v/>
      </c>
      <c r="BE86" s="209"/>
    </row>
    <row r="87" spans="1:57" x14ac:dyDescent="0.25">
      <c r="A87" t="str">
        <f t="shared" ca="1" si="4"/>
        <v/>
      </c>
      <c r="B87" s="264" t="str">
        <f t="shared" ca="1" si="5"/>
        <v xml:space="preserve"> </v>
      </c>
      <c r="C87" s="265" t="str">
        <f t="shared" ca="1" si="6"/>
        <v/>
      </c>
      <c r="D87" s="352" t="str">
        <f t="shared" ca="1" si="7"/>
        <v/>
      </c>
      <c r="E87" s="192"/>
      <c r="F87" s="192"/>
      <c r="G87" s="193"/>
      <c r="H87" s="192"/>
      <c r="I87" s="251" t="str">
        <f>IF(COUNTBLANK(E87:H87)=4,"",SUM(E87:G87)+IF(Setup!$I$15="No",0,H87))</f>
        <v/>
      </c>
      <c r="J87" s="192"/>
      <c r="K87" s="192"/>
      <c r="L87" s="192"/>
      <c r="M87" s="192"/>
      <c r="N87" s="255" t="str">
        <f>IF(COUNTBLANK(J87:M87)=4,"",SUM(J87:L87)+IF(Setup!$I$15="No",0,M87))</f>
        <v/>
      </c>
      <c r="O87" s="192"/>
      <c r="P87" s="192"/>
      <c r="Q87" s="192"/>
      <c r="R87" s="192"/>
      <c r="S87" s="255" t="str">
        <f>IF(COUNTBLANK(O87:R87)=4,"",SUM(O87:Q87)+IF(Setup!$I$15="No",0,R87))</f>
        <v/>
      </c>
      <c r="T87" s="192"/>
      <c r="U87" s="192"/>
      <c r="V87" s="192"/>
      <c r="W87" s="192"/>
      <c r="X87" s="255" t="str">
        <f>IF(COUNTBLANK(T87:W87)=4,"",SUM(T87:V87)+IF(Setup!$I$15="No",0,W87))</f>
        <v/>
      </c>
      <c r="Y87" s="192"/>
      <c r="Z87" s="192"/>
      <c r="AA87" s="192"/>
      <c r="AB87" s="192"/>
      <c r="AC87" s="255" t="str">
        <f>IF(COUNTBLANK(Y87:AB87)=4,"",SUM(Y87:AA87)+IF(Setup!$I$15="No",0,AB87))</f>
        <v/>
      </c>
      <c r="AD87" s="192"/>
      <c r="AE87" s="192"/>
      <c r="AF87" s="192"/>
      <c r="AG87" s="192"/>
      <c r="AH87" s="255" t="str">
        <f>IF(COUNTBLANK(AD87:AG87)=4,"",SUM(AD87:AF87)+IF(Setup!$I$15="No",0,AG87))</f>
        <v/>
      </c>
      <c r="AI87" s="192"/>
      <c r="AJ87" s="192"/>
      <c r="AK87" s="192"/>
      <c r="AL87" s="192"/>
      <c r="AM87" s="255" t="str">
        <f>IF(COUNTBLANK(AI87:AL87)=4,"",SUM(AI87:AK87)+IF(Setup!$I$15="No",0,AL87))</f>
        <v/>
      </c>
      <c r="AN87" s="192"/>
      <c r="AO87" s="192"/>
      <c r="AP87" s="192"/>
      <c r="AQ87" s="192"/>
      <c r="AR87" s="255" t="str">
        <f>IF(COUNTBLANK(AN87:AQ87)=4,"",SUM(AN87:AP87)+IF(Setup!$I$15="No",0,AQ87))</f>
        <v/>
      </c>
      <c r="AS87" s="192"/>
      <c r="AT87" s="192"/>
      <c r="AU87" s="192"/>
      <c r="AV87" s="192"/>
      <c r="AW87" s="255" t="str">
        <f>IF(COUNTBLANK(AS87:AV87)=4,"",SUM(AS87:AU87)+IF(Setup!$I$15="No",0,AV87))</f>
        <v/>
      </c>
      <c r="AX87" s="192"/>
      <c r="AY87" s="192"/>
      <c r="AZ87" s="192"/>
      <c r="BA87" s="192"/>
      <c r="BB87" s="255" t="str">
        <f>IF(COUNTBLANK(AX87:BA87)=4,"",SUM(AX87:AZ87)+IF(Setup!$I$15="No",0,BA87))</f>
        <v/>
      </c>
      <c r="BC87" s="259" t="str">
        <f ca="1">IF('Demand background (hide)'!A78=Num_Modalities,"",SUM(Demand!I87))</f>
        <v/>
      </c>
      <c r="BD87" s="259" t="str">
        <f ca="1">IF(AND(A87&lt;=MaxRows,BE87&lt;&gt;"Yes"),'Demand background (hide)'!X78+IF(Setup!$I$15="Yes",'Demand background (hide)'!AJ78,0),"")</f>
        <v/>
      </c>
      <c r="BE87" s="209"/>
    </row>
    <row r="88" spans="1:57" x14ac:dyDescent="0.25">
      <c r="A88" t="str">
        <f t="shared" ca="1" si="4"/>
        <v/>
      </c>
      <c r="B88" s="264" t="str">
        <f t="shared" ca="1" si="5"/>
        <v xml:space="preserve"> </v>
      </c>
      <c r="C88" s="265" t="str">
        <f t="shared" ca="1" si="6"/>
        <v/>
      </c>
      <c r="D88" s="352" t="str">
        <f t="shared" ca="1" si="7"/>
        <v/>
      </c>
      <c r="E88" s="192"/>
      <c r="F88" s="192"/>
      <c r="G88" s="193"/>
      <c r="H88" s="192"/>
      <c r="I88" s="251" t="str">
        <f>IF(COUNTBLANK(E88:H88)=4,"",SUM(E88:G88)+IF(Setup!$I$15="No",0,H88))</f>
        <v/>
      </c>
      <c r="J88" s="192"/>
      <c r="K88" s="192"/>
      <c r="L88" s="192"/>
      <c r="M88" s="192"/>
      <c r="N88" s="255" t="str">
        <f>IF(COUNTBLANK(J88:M88)=4,"",SUM(J88:L88)+IF(Setup!$I$15="No",0,M88))</f>
        <v/>
      </c>
      <c r="O88" s="192"/>
      <c r="P88" s="192"/>
      <c r="Q88" s="192"/>
      <c r="R88" s="192"/>
      <c r="S88" s="255" t="str">
        <f>IF(COUNTBLANK(O88:R88)=4,"",SUM(O88:Q88)+IF(Setup!$I$15="No",0,R88))</f>
        <v/>
      </c>
      <c r="T88" s="192"/>
      <c r="U88" s="192"/>
      <c r="V88" s="192"/>
      <c r="W88" s="192"/>
      <c r="X88" s="255" t="str">
        <f>IF(COUNTBLANK(T88:W88)=4,"",SUM(T88:V88)+IF(Setup!$I$15="No",0,W88))</f>
        <v/>
      </c>
      <c r="Y88" s="192"/>
      <c r="Z88" s="192"/>
      <c r="AA88" s="192"/>
      <c r="AB88" s="192"/>
      <c r="AC88" s="255" t="str">
        <f>IF(COUNTBLANK(Y88:AB88)=4,"",SUM(Y88:AA88)+IF(Setup!$I$15="No",0,AB88))</f>
        <v/>
      </c>
      <c r="AD88" s="192"/>
      <c r="AE88" s="192"/>
      <c r="AF88" s="192"/>
      <c r="AG88" s="192"/>
      <c r="AH88" s="255" t="str">
        <f>IF(COUNTBLANK(AD88:AG88)=4,"",SUM(AD88:AF88)+IF(Setup!$I$15="No",0,AG88))</f>
        <v/>
      </c>
      <c r="AI88" s="192"/>
      <c r="AJ88" s="192"/>
      <c r="AK88" s="192"/>
      <c r="AL88" s="192"/>
      <c r="AM88" s="255" t="str">
        <f>IF(COUNTBLANK(AI88:AL88)=4,"",SUM(AI88:AK88)+IF(Setup!$I$15="No",0,AL88))</f>
        <v/>
      </c>
      <c r="AN88" s="192"/>
      <c r="AO88" s="192"/>
      <c r="AP88" s="192"/>
      <c r="AQ88" s="192"/>
      <c r="AR88" s="255" t="str">
        <f>IF(COUNTBLANK(AN88:AQ88)=4,"",SUM(AN88:AP88)+IF(Setup!$I$15="No",0,AQ88))</f>
        <v/>
      </c>
      <c r="AS88" s="192"/>
      <c r="AT88" s="192"/>
      <c r="AU88" s="192"/>
      <c r="AV88" s="192"/>
      <c r="AW88" s="255" t="str">
        <f>IF(COUNTBLANK(AS88:AV88)=4,"",SUM(AS88:AU88)+IF(Setup!$I$15="No",0,AV88))</f>
        <v/>
      </c>
      <c r="AX88" s="192"/>
      <c r="AY88" s="192"/>
      <c r="AZ88" s="192"/>
      <c r="BA88" s="192"/>
      <c r="BB88" s="255" t="str">
        <f>IF(COUNTBLANK(AX88:BA88)=4,"",SUM(AX88:AZ88)+IF(Setup!$I$15="No",0,BA88))</f>
        <v/>
      </c>
      <c r="BC88" s="259" t="str">
        <f ca="1">IF('Demand background (hide)'!A79=Num_Modalities,"",SUM(Demand!I88))</f>
        <v/>
      </c>
      <c r="BD88" s="259" t="str">
        <f ca="1">IF(AND(A88&lt;=MaxRows,BE88&lt;&gt;"Yes"),'Demand background (hide)'!X79+IF(Setup!$I$15="Yes",'Demand background (hide)'!AJ79,0),"")</f>
        <v/>
      </c>
      <c r="BE88" s="209"/>
    </row>
    <row r="89" spans="1:57" x14ac:dyDescent="0.25">
      <c r="A89" t="str">
        <f t="shared" ca="1" si="4"/>
        <v/>
      </c>
      <c r="B89" s="264" t="str">
        <f t="shared" ca="1" si="5"/>
        <v xml:space="preserve"> </v>
      </c>
      <c r="C89" s="265" t="str">
        <f t="shared" ca="1" si="6"/>
        <v/>
      </c>
      <c r="D89" s="352" t="str">
        <f t="shared" ca="1" si="7"/>
        <v/>
      </c>
      <c r="E89" s="192"/>
      <c r="F89" s="192"/>
      <c r="G89" s="193"/>
      <c r="H89" s="192"/>
      <c r="I89" s="251" t="str">
        <f>IF(COUNTBLANK(E89:H89)=4,"",SUM(E89:G89)+IF(Setup!$I$15="No",0,H89))</f>
        <v/>
      </c>
      <c r="J89" s="192"/>
      <c r="K89" s="192"/>
      <c r="L89" s="192"/>
      <c r="M89" s="192"/>
      <c r="N89" s="255" t="str">
        <f>IF(COUNTBLANK(J89:M89)=4,"",SUM(J89:L89)+IF(Setup!$I$15="No",0,M89))</f>
        <v/>
      </c>
      <c r="O89" s="192"/>
      <c r="P89" s="192"/>
      <c r="Q89" s="192"/>
      <c r="R89" s="192"/>
      <c r="S89" s="255" t="str">
        <f>IF(COUNTBLANK(O89:R89)=4,"",SUM(O89:Q89)+IF(Setup!$I$15="No",0,R89))</f>
        <v/>
      </c>
      <c r="T89" s="192"/>
      <c r="U89" s="192"/>
      <c r="V89" s="192"/>
      <c r="W89" s="192"/>
      <c r="X89" s="255" t="str">
        <f>IF(COUNTBLANK(T89:W89)=4,"",SUM(T89:V89)+IF(Setup!$I$15="No",0,W89))</f>
        <v/>
      </c>
      <c r="Y89" s="192"/>
      <c r="Z89" s="192"/>
      <c r="AA89" s="192"/>
      <c r="AB89" s="192"/>
      <c r="AC89" s="255" t="str">
        <f>IF(COUNTBLANK(Y89:AB89)=4,"",SUM(Y89:AA89)+IF(Setup!$I$15="No",0,AB89))</f>
        <v/>
      </c>
      <c r="AD89" s="192"/>
      <c r="AE89" s="192"/>
      <c r="AF89" s="192"/>
      <c r="AG89" s="192"/>
      <c r="AH89" s="255" t="str">
        <f>IF(COUNTBLANK(AD89:AG89)=4,"",SUM(AD89:AF89)+IF(Setup!$I$15="No",0,AG89))</f>
        <v/>
      </c>
      <c r="AI89" s="192"/>
      <c r="AJ89" s="192"/>
      <c r="AK89" s="192"/>
      <c r="AL89" s="192"/>
      <c r="AM89" s="255" t="str">
        <f>IF(COUNTBLANK(AI89:AL89)=4,"",SUM(AI89:AK89)+IF(Setup!$I$15="No",0,AL89))</f>
        <v/>
      </c>
      <c r="AN89" s="192"/>
      <c r="AO89" s="192"/>
      <c r="AP89" s="192"/>
      <c r="AQ89" s="192"/>
      <c r="AR89" s="255" t="str">
        <f>IF(COUNTBLANK(AN89:AQ89)=4,"",SUM(AN89:AP89)+IF(Setup!$I$15="No",0,AQ89))</f>
        <v/>
      </c>
      <c r="AS89" s="192"/>
      <c r="AT89" s="192"/>
      <c r="AU89" s="192"/>
      <c r="AV89" s="192"/>
      <c r="AW89" s="255" t="str">
        <f>IF(COUNTBLANK(AS89:AV89)=4,"",SUM(AS89:AU89)+IF(Setup!$I$15="No",0,AV89))</f>
        <v/>
      </c>
      <c r="AX89" s="192"/>
      <c r="AY89" s="192"/>
      <c r="AZ89" s="192"/>
      <c r="BA89" s="192"/>
      <c r="BB89" s="255" t="str">
        <f>IF(COUNTBLANK(AX89:BA89)=4,"",SUM(AX89:AZ89)+IF(Setup!$I$15="No",0,BA89))</f>
        <v/>
      </c>
      <c r="BC89" s="259" t="str">
        <f ca="1">IF('Demand background (hide)'!A80=Num_Modalities,"",SUM(Demand!I89))</f>
        <v/>
      </c>
      <c r="BD89" s="259" t="str">
        <f ca="1">IF(AND(A89&lt;=MaxRows,BE89&lt;&gt;"Yes"),'Demand background (hide)'!X80+IF(Setup!$I$15="Yes",'Demand background (hide)'!AJ80,0),"")</f>
        <v/>
      </c>
      <c r="BE89" s="209"/>
    </row>
    <row r="90" spans="1:57" x14ac:dyDescent="0.25">
      <c r="A90" t="str">
        <f t="shared" ca="1" si="4"/>
        <v/>
      </c>
      <c r="B90" s="264" t="str">
        <f t="shared" ca="1" si="5"/>
        <v xml:space="preserve"> </v>
      </c>
      <c r="C90" s="265" t="str">
        <f t="shared" ca="1" si="6"/>
        <v/>
      </c>
      <c r="D90" s="352" t="str">
        <f t="shared" ca="1" si="7"/>
        <v/>
      </c>
      <c r="E90" s="192"/>
      <c r="F90" s="192"/>
      <c r="G90" s="193"/>
      <c r="H90" s="192"/>
      <c r="I90" s="251" t="str">
        <f>IF(COUNTBLANK(E90:H90)=4,"",SUM(E90:G90)+IF(Setup!$I$15="No",0,H90))</f>
        <v/>
      </c>
      <c r="J90" s="192"/>
      <c r="K90" s="192"/>
      <c r="L90" s="192"/>
      <c r="M90" s="192"/>
      <c r="N90" s="255" t="str">
        <f>IF(COUNTBLANK(J90:M90)=4,"",SUM(J90:L90)+IF(Setup!$I$15="No",0,M90))</f>
        <v/>
      </c>
      <c r="O90" s="192"/>
      <c r="P90" s="192"/>
      <c r="Q90" s="192"/>
      <c r="R90" s="192"/>
      <c r="S90" s="255" t="str">
        <f>IF(COUNTBLANK(O90:R90)=4,"",SUM(O90:Q90)+IF(Setup!$I$15="No",0,R90))</f>
        <v/>
      </c>
      <c r="T90" s="192"/>
      <c r="U90" s="192"/>
      <c r="V90" s="192"/>
      <c r="W90" s="192"/>
      <c r="X90" s="255" t="str">
        <f>IF(COUNTBLANK(T90:W90)=4,"",SUM(T90:V90)+IF(Setup!$I$15="No",0,W90))</f>
        <v/>
      </c>
      <c r="Y90" s="192"/>
      <c r="Z90" s="192"/>
      <c r="AA90" s="192"/>
      <c r="AB90" s="192"/>
      <c r="AC90" s="255" t="str">
        <f>IF(COUNTBLANK(Y90:AB90)=4,"",SUM(Y90:AA90)+IF(Setup!$I$15="No",0,AB90))</f>
        <v/>
      </c>
      <c r="AD90" s="192"/>
      <c r="AE90" s="192"/>
      <c r="AF90" s="192"/>
      <c r="AG90" s="192"/>
      <c r="AH90" s="255" t="str">
        <f>IF(COUNTBLANK(AD90:AG90)=4,"",SUM(AD90:AF90)+IF(Setup!$I$15="No",0,AG90))</f>
        <v/>
      </c>
      <c r="AI90" s="192"/>
      <c r="AJ90" s="192"/>
      <c r="AK90" s="192"/>
      <c r="AL90" s="192"/>
      <c r="AM90" s="255" t="str">
        <f>IF(COUNTBLANK(AI90:AL90)=4,"",SUM(AI90:AK90)+IF(Setup!$I$15="No",0,AL90))</f>
        <v/>
      </c>
      <c r="AN90" s="192"/>
      <c r="AO90" s="192"/>
      <c r="AP90" s="192"/>
      <c r="AQ90" s="192"/>
      <c r="AR90" s="255" t="str">
        <f>IF(COUNTBLANK(AN90:AQ90)=4,"",SUM(AN90:AP90)+IF(Setup!$I$15="No",0,AQ90))</f>
        <v/>
      </c>
      <c r="AS90" s="192"/>
      <c r="AT90" s="192"/>
      <c r="AU90" s="192"/>
      <c r="AV90" s="192"/>
      <c r="AW90" s="255" t="str">
        <f>IF(COUNTBLANK(AS90:AV90)=4,"",SUM(AS90:AU90)+IF(Setup!$I$15="No",0,AV90))</f>
        <v/>
      </c>
      <c r="AX90" s="192"/>
      <c r="AY90" s="192"/>
      <c r="AZ90" s="192"/>
      <c r="BA90" s="192"/>
      <c r="BB90" s="255" t="str">
        <f>IF(COUNTBLANK(AX90:BA90)=4,"",SUM(AX90:AZ90)+IF(Setup!$I$15="No",0,BA90))</f>
        <v/>
      </c>
      <c r="BC90" s="259" t="str">
        <f ca="1">IF('Demand background (hide)'!A81=Num_Modalities,"",SUM(Demand!I90))</f>
        <v/>
      </c>
      <c r="BD90" s="259" t="str">
        <f ca="1">IF(AND(A90&lt;=MaxRows,BE90&lt;&gt;"Yes"),'Demand background (hide)'!X81+IF(Setup!$I$15="Yes",'Demand background (hide)'!AJ81,0),"")</f>
        <v/>
      </c>
      <c r="BE90" s="209"/>
    </row>
    <row r="91" spans="1:57" x14ac:dyDescent="0.25">
      <c r="A91" t="str">
        <f t="shared" ca="1" si="4"/>
        <v/>
      </c>
      <c r="B91" s="264" t="str">
        <f t="shared" ca="1" si="5"/>
        <v xml:space="preserve"> </v>
      </c>
      <c r="C91" s="265" t="str">
        <f t="shared" ca="1" si="6"/>
        <v/>
      </c>
      <c r="D91" s="352" t="str">
        <f t="shared" ca="1" si="7"/>
        <v/>
      </c>
      <c r="E91" s="192"/>
      <c r="F91" s="192"/>
      <c r="G91" s="193"/>
      <c r="H91" s="192"/>
      <c r="I91" s="251" t="str">
        <f>IF(COUNTBLANK(E91:H91)=4,"",SUM(E91:G91)+IF(Setup!$I$15="No",0,H91))</f>
        <v/>
      </c>
      <c r="J91" s="192"/>
      <c r="K91" s="192"/>
      <c r="L91" s="192"/>
      <c r="M91" s="192"/>
      <c r="N91" s="255" t="str">
        <f>IF(COUNTBLANK(J91:M91)=4,"",SUM(J91:L91)+IF(Setup!$I$15="No",0,M91))</f>
        <v/>
      </c>
      <c r="O91" s="192"/>
      <c r="P91" s="192"/>
      <c r="Q91" s="192"/>
      <c r="R91" s="192"/>
      <c r="S91" s="255" t="str">
        <f>IF(COUNTBLANK(O91:R91)=4,"",SUM(O91:Q91)+IF(Setup!$I$15="No",0,R91))</f>
        <v/>
      </c>
      <c r="T91" s="192"/>
      <c r="U91" s="192"/>
      <c r="V91" s="192"/>
      <c r="W91" s="192"/>
      <c r="X91" s="255" t="str">
        <f>IF(COUNTBLANK(T91:W91)=4,"",SUM(T91:V91)+IF(Setup!$I$15="No",0,W91))</f>
        <v/>
      </c>
      <c r="Y91" s="192"/>
      <c r="Z91" s="192"/>
      <c r="AA91" s="192"/>
      <c r="AB91" s="192"/>
      <c r="AC91" s="255" t="str">
        <f>IF(COUNTBLANK(Y91:AB91)=4,"",SUM(Y91:AA91)+IF(Setup!$I$15="No",0,AB91))</f>
        <v/>
      </c>
      <c r="AD91" s="192"/>
      <c r="AE91" s="192"/>
      <c r="AF91" s="192"/>
      <c r="AG91" s="192"/>
      <c r="AH91" s="255" t="str">
        <f>IF(COUNTBLANK(AD91:AG91)=4,"",SUM(AD91:AF91)+IF(Setup!$I$15="No",0,AG91))</f>
        <v/>
      </c>
      <c r="AI91" s="192"/>
      <c r="AJ91" s="192"/>
      <c r="AK91" s="192"/>
      <c r="AL91" s="192"/>
      <c r="AM91" s="255" t="str">
        <f>IF(COUNTBLANK(AI91:AL91)=4,"",SUM(AI91:AK91)+IF(Setup!$I$15="No",0,AL91))</f>
        <v/>
      </c>
      <c r="AN91" s="192"/>
      <c r="AO91" s="192"/>
      <c r="AP91" s="192"/>
      <c r="AQ91" s="192"/>
      <c r="AR91" s="255" t="str">
        <f>IF(COUNTBLANK(AN91:AQ91)=4,"",SUM(AN91:AP91)+IF(Setup!$I$15="No",0,AQ91))</f>
        <v/>
      </c>
      <c r="AS91" s="192"/>
      <c r="AT91" s="192"/>
      <c r="AU91" s="192"/>
      <c r="AV91" s="192"/>
      <c r="AW91" s="255" t="str">
        <f>IF(COUNTBLANK(AS91:AV91)=4,"",SUM(AS91:AU91)+IF(Setup!$I$15="No",0,AV91))</f>
        <v/>
      </c>
      <c r="AX91" s="192"/>
      <c r="AY91" s="192"/>
      <c r="AZ91" s="192"/>
      <c r="BA91" s="192"/>
      <c r="BB91" s="255" t="str">
        <f>IF(COUNTBLANK(AX91:BA91)=4,"",SUM(AX91:AZ91)+IF(Setup!$I$15="No",0,BA91))</f>
        <v/>
      </c>
      <c r="BC91" s="259" t="str">
        <f ca="1">IF('Demand background (hide)'!A82=Num_Modalities,"",SUM(Demand!I91))</f>
        <v/>
      </c>
      <c r="BD91" s="259" t="str">
        <f ca="1">IF(AND(A91&lt;=MaxRows,BE91&lt;&gt;"Yes"),'Demand background (hide)'!X82+IF(Setup!$I$15="Yes",'Demand background (hide)'!AJ82,0),"")</f>
        <v/>
      </c>
      <c r="BE91" s="209"/>
    </row>
    <row r="92" spans="1:57" x14ac:dyDescent="0.25">
      <c r="A92" t="str">
        <f t="shared" ca="1" si="4"/>
        <v/>
      </c>
      <c r="B92" s="264" t="str">
        <f t="shared" ca="1" si="5"/>
        <v xml:space="preserve"> </v>
      </c>
      <c r="C92" s="265" t="str">
        <f t="shared" ca="1" si="6"/>
        <v/>
      </c>
      <c r="D92" s="352" t="str">
        <f t="shared" ca="1" si="7"/>
        <v/>
      </c>
      <c r="E92" s="192"/>
      <c r="F92" s="192"/>
      <c r="G92" s="193"/>
      <c r="H92" s="192"/>
      <c r="I92" s="251" t="str">
        <f>IF(COUNTBLANK(E92:H92)=4,"",SUM(E92:G92)+IF(Setup!$I$15="No",0,H92))</f>
        <v/>
      </c>
      <c r="J92" s="192"/>
      <c r="K92" s="192"/>
      <c r="L92" s="192"/>
      <c r="M92" s="192"/>
      <c r="N92" s="255" t="str">
        <f>IF(COUNTBLANK(J92:M92)=4,"",SUM(J92:L92)+IF(Setup!$I$15="No",0,M92))</f>
        <v/>
      </c>
      <c r="O92" s="192"/>
      <c r="P92" s="192"/>
      <c r="Q92" s="192"/>
      <c r="R92" s="192"/>
      <c r="S92" s="255" t="str">
        <f>IF(COUNTBLANK(O92:R92)=4,"",SUM(O92:Q92)+IF(Setup!$I$15="No",0,R92))</f>
        <v/>
      </c>
      <c r="T92" s="192"/>
      <c r="U92" s="192"/>
      <c r="V92" s="192"/>
      <c r="W92" s="192"/>
      <c r="X92" s="255" t="str">
        <f>IF(COUNTBLANK(T92:W92)=4,"",SUM(T92:V92)+IF(Setup!$I$15="No",0,W92))</f>
        <v/>
      </c>
      <c r="Y92" s="192"/>
      <c r="Z92" s="192"/>
      <c r="AA92" s="192"/>
      <c r="AB92" s="192"/>
      <c r="AC92" s="255" t="str">
        <f>IF(COUNTBLANK(Y92:AB92)=4,"",SUM(Y92:AA92)+IF(Setup!$I$15="No",0,AB92))</f>
        <v/>
      </c>
      <c r="AD92" s="192"/>
      <c r="AE92" s="192"/>
      <c r="AF92" s="192"/>
      <c r="AG92" s="192"/>
      <c r="AH92" s="255" t="str">
        <f>IF(COUNTBLANK(AD92:AG92)=4,"",SUM(AD92:AF92)+IF(Setup!$I$15="No",0,AG92))</f>
        <v/>
      </c>
      <c r="AI92" s="192"/>
      <c r="AJ92" s="192"/>
      <c r="AK92" s="192"/>
      <c r="AL92" s="192"/>
      <c r="AM92" s="255" t="str">
        <f>IF(COUNTBLANK(AI92:AL92)=4,"",SUM(AI92:AK92)+IF(Setup!$I$15="No",0,AL92))</f>
        <v/>
      </c>
      <c r="AN92" s="192"/>
      <c r="AO92" s="192"/>
      <c r="AP92" s="192"/>
      <c r="AQ92" s="192"/>
      <c r="AR92" s="255" t="str">
        <f>IF(COUNTBLANK(AN92:AQ92)=4,"",SUM(AN92:AP92)+IF(Setup!$I$15="No",0,AQ92))</f>
        <v/>
      </c>
      <c r="AS92" s="192"/>
      <c r="AT92" s="192"/>
      <c r="AU92" s="192"/>
      <c r="AV92" s="192"/>
      <c r="AW92" s="255" t="str">
        <f>IF(COUNTBLANK(AS92:AV92)=4,"",SUM(AS92:AU92)+IF(Setup!$I$15="No",0,AV92))</f>
        <v/>
      </c>
      <c r="AX92" s="192"/>
      <c r="AY92" s="192"/>
      <c r="AZ92" s="192"/>
      <c r="BA92" s="192"/>
      <c r="BB92" s="255" t="str">
        <f>IF(COUNTBLANK(AX92:BA92)=4,"",SUM(AX92:AZ92)+IF(Setup!$I$15="No",0,BA92))</f>
        <v/>
      </c>
      <c r="BC92" s="259" t="str">
        <f ca="1">IF('Demand background (hide)'!A83=Num_Modalities,"",SUM(Demand!I92))</f>
        <v/>
      </c>
      <c r="BD92" s="259" t="str">
        <f ca="1">IF(AND(A92&lt;=MaxRows,BE92&lt;&gt;"Yes"),'Demand background (hide)'!X83+IF(Setup!$I$15="Yes",'Demand background (hide)'!AJ83,0),"")</f>
        <v/>
      </c>
      <c r="BE92" s="209"/>
    </row>
    <row r="93" spans="1:57" x14ac:dyDescent="0.25">
      <c r="A93" t="str">
        <f t="shared" ca="1" si="4"/>
        <v/>
      </c>
      <c r="B93" s="264" t="str">
        <f t="shared" ca="1" si="5"/>
        <v xml:space="preserve"> </v>
      </c>
      <c r="C93" s="265" t="str">
        <f t="shared" ca="1" si="6"/>
        <v/>
      </c>
      <c r="D93" s="352" t="str">
        <f t="shared" ca="1" si="7"/>
        <v/>
      </c>
      <c r="E93" s="192"/>
      <c r="F93" s="192"/>
      <c r="G93" s="193"/>
      <c r="H93" s="192"/>
      <c r="I93" s="251" t="str">
        <f>IF(COUNTBLANK(E93:H93)=4,"",SUM(E93:G93)+IF(Setup!$I$15="No",0,H93))</f>
        <v/>
      </c>
      <c r="J93" s="192"/>
      <c r="K93" s="192"/>
      <c r="L93" s="192"/>
      <c r="M93" s="192"/>
      <c r="N93" s="255" t="str">
        <f>IF(COUNTBLANK(J93:M93)=4,"",SUM(J93:L93)+IF(Setup!$I$15="No",0,M93))</f>
        <v/>
      </c>
      <c r="O93" s="192"/>
      <c r="P93" s="192"/>
      <c r="Q93" s="192"/>
      <c r="R93" s="192"/>
      <c r="S93" s="255" t="str">
        <f>IF(COUNTBLANK(O93:R93)=4,"",SUM(O93:Q93)+IF(Setup!$I$15="No",0,R93))</f>
        <v/>
      </c>
      <c r="T93" s="192"/>
      <c r="U93" s="192"/>
      <c r="V93" s="192"/>
      <c r="W93" s="192"/>
      <c r="X93" s="255" t="str">
        <f>IF(COUNTBLANK(T93:W93)=4,"",SUM(T93:V93)+IF(Setup!$I$15="No",0,W93))</f>
        <v/>
      </c>
      <c r="Y93" s="192"/>
      <c r="Z93" s="192"/>
      <c r="AA93" s="192"/>
      <c r="AB93" s="192"/>
      <c r="AC93" s="255" t="str">
        <f>IF(COUNTBLANK(Y93:AB93)=4,"",SUM(Y93:AA93)+IF(Setup!$I$15="No",0,AB93))</f>
        <v/>
      </c>
      <c r="AD93" s="192"/>
      <c r="AE93" s="192"/>
      <c r="AF93" s="192"/>
      <c r="AG93" s="192"/>
      <c r="AH93" s="255" t="str">
        <f>IF(COUNTBLANK(AD93:AG93)=4,"",SUM(AD93:AF93)+IF(Setup!$I$15="No",0,AG93))</f>
        <v/>
      </c>
      <c r="AI93" s="192"/>
      <c r="AJ93" s="192"/>
      <c r="AK93" s="192"/>
      <c r="AL93" s="192"/>
      <c r="AM93" s="255" t="str">
        <f>IF(COUNTBLANK(AI93:AL93)=4,"",SUM(AI93:AK93)+IF(Setup!$I$15="No",0,AL93))</f>
        <v/>
      </c>
      <c r="AN93" s="192"/>
      <c r="AO93" s="192"/>
      <c r="AP93" s="192"/>
      <c r="AQ93" s="192"/>
      <c r="AR93" s="255" t="str">
        <f>IF(COUNTBLANK(AN93:AQ93)=4,"",SUM(AN93:AP93)+IF(Setup!$I$15="No",0,AQ93))</f>
        <v/>
      </c>
      <c r="AS93" s="192"/>
      <c r="AT93" s="192"/>
      <c r="AU93" s="192"/>
      <c r="AV93" s="192"/>
      <c r="AW93" s="255" t="str">
        <f>IF(COUNTBLANK(AS93:AV93)=4,"",SUM(AS93:AU93)+IF(Setup!$I$15="No",0,AV93))</f>
        <v/>
      </c>
      <c r="AX93" s="192"/>
      <c r="AY93" s="192"/>
      <c r="AZ93" s="192"/>
      <c r="BA93" s="192"/>
      <c r="BB93" s="255" t="str">
        <f>IF(COUNTBLANK(AX93:BA93)=4,"",SUM(AX93:AZ93)+IF(Setup!$I$15="No",0,BA93))</f>
        <v/>
      </c>
      <c r="BC93" s="259" t="str">
        <f ca="1">IF('Demand background (hide)'!A84=Num_Modalities,"",SUM(Demand!I93))</f>
        <v/>
      </c>
      <c r="BD93" s="259" t="str">
        <f ca="1">IF(AND(A93&lt;=MaxRows,BE93&lt;&gt;"Yes"),'Demand background (hide)'!X84+IF(Setup!$I$15="Yes",'Demand background (hide)'!AJ84,0),"")</f>
        <v/>
      </c>
      <c r="BE93" s="209"/>
    </row>
    <row r="94" spans="1:57" x14ac:dyDescent="0.25">
      <c r="A94" t="str">
        <f t="shared" ca="1" si="4"/>
        <v/>
      </c>
      <c r="B94" s="264" t="str">
        <f t="shared" ca="1" si="5"/>
        <v xml:space="preserve"> </v>
      </c>
      <c r="C94" s="265" t="str">
        <f t="shared" ca="1" si="6"/>
        <v/>
      </c>
      <c r="D94" s="352" t="str">
        <f t="shared" ca="1" si="7"/>
        <v/>
      </c>
      <c r="E94" s="192"/>
      <c r="F94" s="192"/>
      <c r="G94" s="193"/>
      <c r="H94" s="192"/>
      <c r="I94" s="251" t="str">
        <f>IF(COUNTBLANK(E94:H94)=4,"",SUM(E94:G94)+IF(Setup!$I$15="No",0,H94))</f>
        <v/>
      </c>
      <c r="J94" s="192"/>
      <c r="K94" s="192"/>
      <c r="L94" s="192"/>
      <c r="M94" s="192"/>
      <c r="N94" s="255" t="str">
        <f>IF(COUNTBLANK(J94:M94)=4,"",SUM(J94:L94)+IF(Setup!$I$15="No",0,M94))</f>
        <v/>
      </c>
      <c r="O94" s="192"/>
      <c r="P94" s="192"/>
      <c r="Q94" s="192"/>
      <c r="R94" s="192"/>
      <c r="S94" s="255" t="str">
        <f>IF(COUNTBLANK(O94:R94)=4,"",SUM(O94:Q94)+IF(Setup!$I$15="No",0,R94))</f>
        <v/>
      </c>
      <c r="T94" s="192"/>
      <c r="U94" s="192"/>
      <c r="V94" s="192"/>
      <c r="W94" s="192"/>
      <c r="X94" s="255" t="str">
        <f>IF(COUNTBLANK(T94:W94)=4,"",SUM(T94:V94)+IF(Setup!$I$15="No",0,W94))</f>
        <v/>
      </c>
      <c r="Y94" s="192"/>
      <c r="Z94" s="192"/>
      <c r="AA94" s="192"/>
      <c r="AB94" s="192"/>
      <c r="AC94" s="255" t="str">
        <f>IF(COUNTBLANK(Y94:AB94)=4,"",SUM(Y94:AA94)+IF(Setup!$I$15="No",0,AB94))</f>
        <v/>
      </c>
      <c r="AD94" s="192"/>
      <c r="AE94" s="192"/>
      <c r="AF94" s="192"/>
      <c r="AG94" s="192"/>
      <c r="AH94" s="255" t="str">
        <f>IF(COUNTBLANK(AD94:AG94)=4,"",SUM(AD94:AF94)+IF(Setup!$I$15="No",0,AG94))</f>
        <v/>
      </c>
      <c r="AI94" s="192"/>
      <c r="AJ94" s="192"/>
      <c r="AK94" s="192"/>
      <c r="AL94" s="192"/>
      <c r="AM94" s="255" t="str">
        <f>IF(COUNTBLANK(AI94:AL94)=4,"",SUM(AI94:AK94)+IF(Setup!$I$15="No",0,AL94))</f>
        <v/>
      </c>
      <c r="AN94" s="192"/>
      <c r="AO94" s="192"/>
      <c r="AP94" s="192"/>
      <c r="AQ94" s="192"/>
      <c r="AR94" s="255" t="str">
        <f>IF(COUNTBLANK(AN94:AQ94)=4,"",SUM(AN94:AP94)+IF(Setup!$I$15="No",0,AQ94))</f>
        <v/>
      </c>
      <c r="AS94" s="192"/>
      <c r="AT94" s="192"/>
      <c r="AU94" s="192"/>
      <c r="AV94" s="192"/>
      <c r="AW94" s="255" t="str">
        <f>IF(COUNTBLANK(AS94:AV94)=4,"",SUM(AS94:AU94)+IF(Setup!$I$15="No",0,AV94))</f>
        <v/>
      </c>
      <c r="AX94" s="192"/>
      <c r="AY94" s="192"/>
      <c r="AZ94" s="192"/>
      <c r="BA94" s="192"/>
      <c r="BB94" s="255" t="str">
        <f>IF(COUNTBLANK(AX94:BA94)=4,"",SUM(AX94:AZ94)+IF(Setup!$I$15="No",0,BA94))</f>
        <v/>
      </c>
      <c r="BC94" s="259" t="str">
        <f ca="1">IF('Demand background (hide)'!A85=Num_Modalities,"",SUM(Demand!I94))</f>
        <v/>
      </c>
      <c r="BD94" s="259" t="str">
        <f ca="1">IF(AND(A94&lt;=MaxRows,BE94&lt;&gt;"Yes"),'Demand background (hide)'!X85+IF(Setup!$I$15="Yes",'Demand background (hide)'!AJ85,0),"")</f>
        <v/>
      </c>
      <c r="BE94" s="209"/>
    </row>
    <row r="95" spans="1:57" x14ac:dyDescent="0.25">
      <c r="A95" t="str">
        <f t="shared" ca="1" si="4"/>
        <v/>
      </c>
      <c r="B95" s="264" t="str">
        <f t="shared" ca="1" si="5"/>
        <v xml:space="preserve"> </v>
      </c>
      <c r="C95" s="265" t="str">
        <f t="shared" ca="1" si="6"/>
        <v/>
      </c>
      <c r="D95" s="352" t="str">
        <f t="shared" ca="1" si="7"/>
        <v/>
      </c>
      <c r="E95" s="192"/>
      <c r="F95" s="192"/>
      <c r="G95" s="193"/>
      <c r="H95" s="192"/>
      <c r="I95" s="251" t="str">
        <f>IF(COUNTBLANK(E95:H95)=4,"",SUM(E95:G95)+IF(Setup!$I$15="No",0,H95))</f>
        <v/>
      </c>
      <c r="J95" s="192"/>
      <c r="K95" s="192"/>
      <c r="L95" s="192"/>
      <c r="M95" s="192"/>
      <c r="N95" s="255" t="str">
        <f>IF(COUNTBLANK(J95:M95)=4,"",SUM(J95:L95)+IF(Setup!$I$15="No",0,M95))</f>
        <v/>
      </c>
      <c r="O95" s="192"/>
      <c r="P95" s="192"/>
      <c r="Q95" s="192"/>
      <c r="R95" s="192"/>
      <c r="S95" s="255" t="str">
        <f>IF(COUNTBLANK(O95:R95)=4,"",SUM(O95:Q95)+IF(Setup!$I$15="No",0,R95))</f>
        <v/>
      </c>
      <c r="T95" s="192"/>
      <c r="U95" s="192"/>
      <c r="V95" s="192"/>
      <c r="W95" s="192"/>
      <c r="X95" s="255" t="str">
        <f>IF(COUNTBLANK(T95:W95)=4,"",SUM(T95:V95)+IF(Setup!$I$15="No",0,W95))</f>
        <v/>
      </c>
      <c r="Y95" s="192"/>
      <c r="Z95" s="192"/>
      <c r="AA95" s="192"/>
      <c r="AB95" s="192"/>
      <c r="AC95" s="255" t="str">
        <f>IF(COUNTBLANK(Y95:AB95)=4,"",SUM(Y95:AA95)+IF(Setup!$I$15="No",0,AB95))</f>
        <v/>
      </c>
      <c r="AD95" s="192"/>
      <c r="AE95" s="192"/>
      <c r="AF95" s="192"/>
      <c r="AG95" s="192"/>
      <c r="AH95" s="255" t="str">
        <f>IF(COUNTBLANK(AD95:AG95)=4,"",SUM(AD95:AF95)+IF(Setup!$I$15="No",0,AG95))</f>
        <v/>
      </c>
      <c r="AI95" s="192"/>
      <c r="AJ95" s="192"/>
      <c r="AK95" s="192"/>
      <c r="AL95" s="192"/>
      <c r="AM95" s="255" t="str">
        <f>IF(COUNTBLANK(AI95:AL95)=4,"",SUM(AI95:AK95)+IF(Setup!$I$15="No",0,AL95))</f>
        <v/>
      </c>
      <c r="AN95" s="192"/>
      <c r="AO95" s="192"/>
      <c r="AP95" s="192"/>
      <c r="AQ95" s="192"/>
      <c r="AR95" s="255" t="str">
        <f>IF(COUNTBLANK(AN95:AQ95)=4,"",SUM(AN95:AP95)+IF(Setup!$I$15="No",0,AQ95))</f>
        <v/>
      </c>
      <c r="AS95" s="192"/>
      <c r="AT95" s="192"/>
      <c r="AU95" s="192"/>
      <c r="AV95" s="192"/>
      <c r="AW95" s="255" t="str">
        <f>IF(COUNTBLANK(AS95:AV95)=4,"",SUM(AS95:AU95)+IF(Setup!$I$15="No",0,AV95))</f>
        <v/>
      </c>
      <c r="AX95" s="192"/>
      <c r="AY95" s="192"/>
      <c r="AZ95" s="192"/>
      <c r="BA95" s="192"/>
      <c r="BB95" s="255" t="str">
        <f>IF(COUNTBLANK(AX95:BA95)=4,"",SUM(AX95:AZ95)+IF(Setup!$I$15="No",0,BA95))</f>
        <v/>
      </c>
      <c r="BC95" s="259" t="str">
        <f ca="1">IF('Demand background (hide)'!A86=Num_Modalities,"",SUM(Demand!I95))</f>
        <v/>
      </c>
      <c r="BD95" s="259" t="str">
        <f ca="1">IF(AND(A95&lt;=MaxRows,BE95&lt;&gt;"Yes"),'Demand background (hide)'!X86+IF(Setup!$I$15="Yes",'Demand background (hide)'!AJ86,0),"")</f>
        <v/>
      </c>
      <c r="BE95" s="209"/>
    </row>
    <row r="96" spans="1:57" x14ac:dyDescent="0.25">
      <c r="A96" t="str">
        <f t="shared" ca="1" si="4"/>
        <v/>
      </c>
      <c r="B96" s="264" t="str">
        <f t="shared" ca="1" si="5"/>
        <v xml:space="preserve"> </v>
      </c>
      <c r="C96" s="265" t="str">
        <f t="shared" ca="1" si="6"/>
        <v/>
      </c>
      <c r="D96" s="352" t="str">
        <f t="shared" ca="1" si="7"/>
        <v/>
      </c>
      <c r="E96" s="192"/>
      <c r="F96" s="192"/>
      <c r="G96" s="193"/>
      <c r="H96" s="192"/>
      <c r="I96" s="251" t="str">
        <f>IF(COUNTBLANK(E96:H96)=4,"",SUM(E96:G96)+IF(Setup!$I$15="No",0,H96))</f>
        <v/>
      </c>
      <c r="J96" s="192"/>
      <c r="K96" s="192"/>
      <c r="L96" s="192"/>
      <c r="M96" s="192"/>
      <c r="N96" s="255" t="str">
        <f>IF(COUNTBLANK(J96:M96)=4,"",SUM(J96:L96)+IF(Setup!$I$15="No",0,M96))</f>
        <v/>
      </c>
      <c r="O96" s="192"/>
      <c r="P96" s="192"/>
      <c r="Q96" s="192"/>
      <c r="R96" s="192"/>
      <c r="S96" s="255" t="str">
        <f>IF(COUNTBLANK(O96:R96)=4,"",SUM(O96:Q96)+IF(Setup!$I$15="No",0,R96))</f>
        <v/>
      </c>
      <c r="T96" s="192"/>
      <c r="U96" s="192"/>
      <c r="V96" s="192"/>
      <c r="W96" s="192"/>
      <c r="X96" s="255" t="str">
        <f>IF(COUNTBLANK(T96:W96)=4,"",SUM(T96:V96)+IF(Setup!$I$15="No",0,W96))</f>
        <v/>
      </c>
      <c r="Y96" s="192"/>
      <c r="Z96" s="192"/>
      <c r="AA96" s="192"/>
      <c r="AB96" s="192"/>
      <c r="AC96" s="255" t="str">
        <f>IF(COUNTBLANK(Y96:AB96)=4,"",SUM(Y96:AA96)+IF(Setup!$I$15="No",0,AB96))</f>
        <v/>
      </c>
      <c r="AD96" s="192"/>
      <c r="AE96" s="192"/>
      <c r="AF96" s="192"/>
      <c r="AG96" s="192"/>
      <c r="AH96" s="255" t="str">
        <f>IF(COUNTBLANK(AD96:AG96)=4,"",SUM(AD96:AF96)+IF(Setup!$I$15="No",0,AG96))</f>
        <v/>
      </c>
      <c r="AI96" s="192"/>
      <c r="AJ96" s="192"/>
      <c r="AK96" s="192"/>
      <c r="AL96" s="192"/>
      <c r="AM96" s="255" t="str">
        <f>IF(COUNTBLANK(AI96:AL96)=4,"",SUM(AI96:AK96)+IF(Setup!$I$15="No",0,AL96))</f>
        <v/>
      </c>
      <c r="AN96" s="192"/>
      <c r="AO96" s="192"/>
      <c r="AP96" s="192"/>
      <c r="AQ96" s="192"/>
      <c r="AR96" s="255" t="str">
        <f>IF(COUNTBLANK(AN96:AQ96)=4,"",SUM(AN96:AP96)+IF(Setup!$I$15="No",0,AQ96))</f>
        <v/>
      </c>
      <c r="AS96" s="192"/>
      <c r="AT96" s="192"/>
      <c r="AU96" s="192"/>
      <c r="AV96" s="192"/>
      <c r="AW96" s="255" t="str">
        <f>IF(COUNTBLANK(AS96:AV96)=4,"",SUM(AS96:AU96)+IF(Setup!$I$15="No",0,AV96))</f>
        <v/>
      </c>
      <c r="AX96" s="192"/>
      <c r="AY96" s="192"/>
      <c r="AZ96" s="192"/>
      <c r="BA96" s="192"/>
      <c r="BB96" s="255" t="str">
        <f>IF(COUNTBLANK(AX96:BA96)=4,"",SUM(AX96:AZ96)+IF(Setup!$I$15="No",0,BA96))</f>
        <v/>
      </c>
      <c r="BC96" s="259" t="str">
        <f ca="1">IF('Demand background (hide)'!A87=Num_Modalities,"",SUM(Demand!I96))</f>
        <v/>
      </c>
      <c r="BD96" s="259" t="str">
        <f ca="1">IF(AND(A96&lt;=MaxRows,BE96&lt;&gt;"Yes"),'Demand background (hide)'!X87+IF(Setup!$I$15="Yes",'Demand background (hide)'!AJ87,0),"")</f>
        <v/>
      </c>
      <c r="BE96" s="209"/>
    </row>
    <row r="97" spans="1:57" x14ac:dyDescent="0.25">
      <c r="A97" t="str">
        <f t="shared" ca="1" si="4"/>
        <v/>
      </c>
      <c r="B97" s="264" t="str">
        <f t="shared" ca="1" si="5"/>
        <v xml:space="preserve"> </v>
      </c>
      <c r="C97" s="265" t="str">
        <f t="shared" ca="1" si="6"/>
        <v/>
      </c>
      <c r="D97" s="352" t="str">
        <f t="shared" ca="1" si="7"/>
        <v/>
      </c>
      <c r="E97" s="192"/>
      <c r="F97" s="192"/>
      <c r="G97" s="193"/>
      <c r="H97" s="192"/>
      <c r="I97" s="251" t="str">
        <f>IF(COUNTBLANK(E97:H97)=4,"",SUM(E97:G97)+IF(Setup!$I$15="No",0,H97))</f>
        <v/>
      </c>
      <c r="J97" s="192"/>
      <c r="K97" s="192"/>
      <c r="L97" s="192"/>
      <c r="M97" s="192"/>
      <c r="N97" s="255" t="str">
        <f>IF(COUNTBLANK(J97:M97)=4,"",SUM(J97:L97)+IF(Setup!$I$15="No",0,M97))</f>
        <v/>
      </c>
      <c r="O97" s="192"/>
      <c r="P97" s="192"/>
      <c r="Q97" s="192"/>
      <c r="R97" s="192"/>
      <c r="S97" s="255" t="str">
        <f>IF(COUNTBLANK(O97:R97)=4,"",SUM(O97:Q97)+IF(Setup!$I$15="No",0,R97))</f>
        <v/>
      </c>
      <c r="T97" s="192"/>
      <c r="U97" s="192"/>
      <c r="V97" s="192"/>
      <c r="W97" s="192"/>
      <c r="X97" s="255" t="str">
        <f>IF(COUNTBLANK(T97:W97)=4,"",SUM(T97:V97)+IF(Setup!$I$15="No",0,W97))</f>
        <v/>
      </c>
      <c r="Y97" s="192"/>
      <c r="Z97" s="192"/>
      <c r="AA97" s="192"/>
      <c r="AB97" s="192"/>
      <c r="AC97" s="255" t="str">
        <f>IF(COUNTBLANK(Y97:AB97)=4,"",SUM(Y97:AA97)+IF(Setup!$I$15="No",0,AB97))</f>
        <v/>
      </c>
      <c r="AD97" s="192"/>
      <c r="AE97" s="192"/>
      <c r="AF97" s="192"/>
      <c r="AG97" s="192"/>
      <c r="AH97" s="255" t="str">
        <f>IF(COUNTBLANK(AD97:AG97)=4,"",SUM(AD97:AF97)+IF(Setup!$I$15="No",0,AG97))</f>
        <v/>
      </c>
      <c r="AI97" s="192"/>
      <c r="AJ97" s="192"/>
      <c r="AK97" s="192"/>
      <c r="AL97" s="192"/>
      <c r="AM97" s="255" t="str">
        <f>IF(COUNTBLANK(AI97:AL97)=4,"",SUM(AI97:AK97)+IF(Setup!$I$15="No",0,AL97))</f>
        <v/>
      </c>
      <c r="AN97" s="192"/>
      <c r="AO97" s="192"/>
      <c r="AP97" s="192"/>
      <c r="AQ97" s="192"/>
      <c r="AR97" s="255" t="str">
        <f>IF(COUNTBLANK(AN97:AQ97)=4,"",SUM(AN97:AP97)+IF(Setup!$I$15="No",0,AQ97))</f>
        <v/>
      </c>
      <c r="AS97" s="192"/>
      <c r="AT97" s="192"/>
      <c r="AU97" s="192"/>
      <c r="AV97" s="192"/>
      <c r="AW97" s="255" t="str">
        <f>IF(COUNTBLANK(AS97:AV97)=4,"",SUM(AS97:AU97)+IF(Setup!$I$15="No",0,AV97))</f>
        <v/>
      </c>
      <c r="AX97" s="192"/>
      <c r="AY97" s="192"/>
      <c r="AZ97" s="192"/>
      <c r="BA97" s="192"/>
      <c r="BB97" s="255" t="str">
        <f>IF(COUNTBLANK(AX97:BA97)=4,"",SUM(AX97:AZ97)+IF(Setup!$I$15="No",0,BA97))</f>
        <v/>
      </c>
      <c r="BC97" s="259" t="str">
        <f ca="1">IF('Demand background (hide)'!A88=Num_Modalities,"",SUM(Demand!I97))</f>
        <v/>
      </c>
      <c r="BD97" s="259" t="str">
        <f ca="1">IF(AND(A97&lt;=MaxRows,BE97&lt;&gt;"Yes"),'Demand background (hide)'!X88+IF(Setup!$I$15="Yes",'Demand background (hide)'!AJ88,0),"")</f>
        <v/>
      </c>
      <c r="BE97" s="209"/>
    </row>
    <row r="98" spans="1:57" x14ac:dyDescent="0.25">
      <c r="A98" t="str">
        <f t="shared" ca="1" si="4"/>
        <v/>
      </c>
      <c r="B98" s="264" t="str">
        <f t="shared" ca="1" si="5"/>
        <v xml:space="preserve"> </v>
      </c>
      <c r="C98" s="265" t="str">
        <f t="shared" ca="1" si="6"/>
        <v/>
      </c>
      <c r="D98" s="352" t="str">
        <f t="shared" ca="1" si="7"/>
        <v/>
      </c>
      <c r="E98" s="192"/>
      <c r="F98" s="192"/>
      <c r="G98" s="193"/>
      <c r="H98" s="192"/>
      <c r="I98" s="251" t="str">
        <f>IF(COUNTBLANK(E98:H98)=4,"",SUM(E98:G98)+IF(Setup!$I$15="No",0,H98))</f>
        <v/>
      </c>
      <c r="J98" s="192"/>
      <c r="K98" s="192"/>
      <c r="L98" s="192"/>
      <c r="M98" s="192"/>
      <c r="N98" s="255" t="str">
        <f>IF(COUNTBLANK(J98:M98)=4,"",SUM(J98:L98)+IF(Setup!$I$15="No",0,M98))</f>
        <v/>
      </c>
      <c r="O98" s="192"/>
      <c r="P98" s="192"/>
      <c r="Q98" s="192"/>
      <c r="R98" s="192"/>
      <c r="S98" s="255" t="str">
        <f>IF(COUNTBLANK(O98:R98)=4,"",SUM(O98:Q98)+IF(Setup!$I$15="No",0,R98))</f>
        <v/>
      </c>
      <c r="T98" s="192"/>
      <c r="U98" s="192"/>
      <c r="V98" s="192"/>
      <c r="W98" s="192"/>
      <c r="X98" s="255" t="str">
        <f>IF(COUNTBLANK(T98:W98)=4,"",SUM(T98:V98)+IF(Setup!$I$15="No",0,W98))</f>
        <v/>
      </c>
      <c r="Y98" s="192"/>
      <c r="Z98" s="192"/>
      <c r="AA98" s="192"/>
      <c r="AB98" s="192"/>
      <c r="AC98" s="255" t="str">
        <f>IF(COUNTBLANK(Y98:AB98)=4,"",SUM(Y98:AA98)+IF(Setup!$I$15="No",0,AB98))</f>
        <v/>
      </c>
      <c r="AD98" s="192"/>
      <c r="AE98" s="192"/>
      <c r="AF98" s="192"/>
      <c r="AG98" s="192"/>
      <c r="AH98" s="255" t="str">
        <f>IF(COUNTBLANK(AD98:AG98)=4,"",SUM(AD98:AF98)+IF(Setup!$I$15="No",0,AG98))</f>
        <v/>
      </c>
      <c r="AI98" s="192"/>
      <c r="AJ98" s="192"/>
      <c r="AK98" s="192"/>
      <c r="AL98" s="192"/>
      <c r="AM98" s="255" t="str">
        <f>IF(COUNTBLANK(AI98:AL98)=4,"",SUM(AI98:AK98)+IF(Setup!$I$15="No",0,AL98))</f>
        <v/>
      </c>
      <c r="AN98" s="192"/>
      <c r="AO98" s="192"/>
      <c r="AP98" s="192"/>
      <c r="AQ98" s="192"/>
      <c r="AR98" s="255" t="str">
        <f>IF(COUNTBLANK(AN98:AQ98)=4,"",SUM(AN98:AP98)+IF(Setup!$I$15="No",0,AQ98))</f>
        <v/>
      </c>
      <c r="AS98" s="192"/>
      <c r="AT98" s="192"/>
      <c r="AU98" s="192"/>
      <c r="AV98" s="192"/>
      <c r="AW98" s="255" t="str">
        <f>IF(COUNTBLANK(AS98:AV98)=4,"",SUM(AS98:AU98)+IF(Setup!$I$15="No",0,AV98))</f>
        <v/>
      </c>
      <c r="AX98" s="192"/>
      <c r="AY98" s="192"/>
      <c r="AZ98" s="192"/>
      <c r="BA98" s="192"/>
      <c r="BB98" s="255" t="str">
        <f>IF(COUNTBLANK(AX98:BA98)=4,"",SUM(AX98:AZ98)+IF(Setup!$I$15="No",0,BA98))</f>
        <v/>
      </c>
      <c r="BC98" s="259" t="str">
        <f ca="1">IF('Demand background (hide)'!A89=Num_Modalities,"",SUM(Demand!I98))</f>
        <v/>
      </c>
      <c r="BD98" s="259" t="str">
        <f ca="1">IF(AND(A98&lt;=MaxRows,BE98&lt;&gt;"Yes"),'Demand background (hide)'!X89+IF(Setup!$I$15="Yes",'Demand background (hide)'!AJ89,0),"")</f>
        <v/>
      </c>
      <c r="BE98" s="209"/>
    </row>
    <row r="99" spans="1:57" x14ac:dyDescent="0.25">
      <c r="A99" t="str">
        <f t="shared" ca="1" si="4"/>
        <v/>
      </c>
      <c r="B99" s="264" t="str">
        <f t="shared" ca="1" si="5"/>
        <v xml:space="preserve"> </v>
      </c>
      <c r="C99" s="265" t="str">
        <f t="shared" ca="1" si="6"/>
        <v/>
      </c>
      <c r="D99" s="352" t="str">
        <f t="shared" ca="1" si="7"/>
        <v/>
      </c>
      <c r="E99" s="192"/>
      <c r="F99" s="192"/>
      <c r="G99" s="193"/>
      <c r="H99" s="192"/>
      <c r="I99" s="251" t="str">
        <f>IF(COUNTBLANK(E99:H99)=4,"",SUM(E99:G99)+IF(Setup!$I$15="No",0,H99))</f>
        <v/>
      </c>
      <c r="J99" s="192"/>
      <c r="K99" s="192"/>
      <c r="L99" s="192"/>
      <c r="M99" s="192"/>
      <c r="N99" s="255" t="str">
        <f>IF(COUNTBLANK(J99:M99)=4,"",SUM(J99:L99)+IF(Setup!$I$15="No",0,M99))</f>
        <v/>
      </c>
      <c r="O99" s="192"/>
      <c r="P99" s="192"/>
      <c r="Q99" s="192"/>
      <c r="R99" s="192"/>
      <c r="S99" s="255" t="str">
        <f>IF(COUNTBLANK(O99:R99)=4,"",SUM(O99:Q99)+IF(Setup!$I$15="No",0,R99))</f>
        <v/>
      </c>
      <c r="T99" s="192"/>
      <c r="U99" s="192"/>
      <c r="V99" s="192"/>
      <c r="W99" s="192"/>
      <c r="X99" s="255" t="str">
        <f>IF(COUNTBLANK(T99:W99)=4,"",SUM(T99:V99)+IF(Setup!$I$15="No",0,W99))</f>
        <v/>
      </c>
      <c r="Y99" s="192"/>
      <c r="Z99" s="192"/>
      <c r="AA99" s="192"/>
      <c r="AB99" s="192"/>
      <c r="AC99" s="255" t="str">
        <f>IF(COUNTBLANK(Y99:AB99)=4,"",SUM(Y99:AA99)+IF(Setup!$I$15="No",0,AB99))</f>
        <v/>
      </c>
      <c r="AD99" s="192"/>
      <c r="AE99" s="192"/>
      <c r="AF99" s="192"/>
      <c r="AG99" s="192"/>
      <c r="AH99" s="255" t="str">
        <f>IF(COUNTBLANK(AD99:AG99)=4,"",SUM(AD99:AF99)+IF(Setup!$I$15="No",0,AG99))</f>
        <v/>
      </c>
      <c r="AI99" s="192"/>
      <c r="AJ99" s="192"/>
      <c r="AK99" s="192"/>
      <c r="AL99" s="192"/>
      <c r="AM99" s="255" t="str">
        <f>IF(COUNTBLANK(AI99:AL99)=4,"",SUM(AI99:AK99)+IF(Setup!$I$15="No",0,AL99))</f>
        <v/>
      </c>
      <c r="AN99" s="192"/>
      <c r="AO99" s="192"/>
      <c r="AP99" s="192"/>
      <c r="AQ99" s="192"/>
      <c r="AR99" s="255" t="str">
        <f>IF(COUNTBLANK(AN99:AQ99)=4,"",SUM(AN99:AP99)+IF(Setup!$I$15="No",0,AQ99))</f>
        <v/>
      </c>
      <c r="AS99" s="192"/>
      <c r="AT99" s="192"/>
      <c r="AU99" s="192"/>
      <c r="AV99" s="192"/>
      <c r="AW99" s="255" t="str">
        <f>IF(COUNTBLANK(AS99:AV99)=4,"",SUM(AS99:AU99)+IF(Setup!$I$15="No",0,AV99))</f>
        <v/>
      </c>
      <c r="AX99" s="192"/>
      <c r="AY99" s="192"/>
      <c r="AZ99" s="192"/>
      <c r="BA99" s="192"/>
      <c r="BB99" s="255" t="str">
        <f>IF(COUNTBLANK(AX99:BA99)=4,"",SUM(AX99:AZ99)+IF(Setup!$I$15="No",0,BA99))</f>
        <v/>
      </c>
      <c r="BC99" s="259" t="str">
        <f ca="1">IF('Demand background (hide)'!A90=Num_Modalities,"",SUM(Demand!I99))</f>
        <v/>
      </c>
      <c r="BD99" s="259" t="str">
        <f ca="1">IF(AND(A99&lt;=MaxRows,BE99&lt;&gt;"Yes"),'Demand background (hide)'!X90+IF(Setup!$I$15="Yes",'Demand background (hide)'!AJ90,0),"")</f>
        <v/>
      </c>
      <c r="BE99" s="209"/>
    </row>
    <row r="100" spans="1:57" x14ac:dyDescent="0.25">
      <c r="A100" t="str">
        <f t="shared" ca="1" si="4"/>
        <v/>
      </c>
      <c r="B100" s="264" t="str">
        <f t="shared" ca="1" si="5"/>
        <v xml:space="preserve"> </v>
      </c>
      <c r="C100" s="265" t="str">
        <f t="shared" ca="1" si="6"/>
        <v/>
      </c>
      <c r="D100" s="352" t="str">
        <f t="shared" ca="1" si="7"/>
        <v/>
      </c>
      <c r="E100" s="192"/>
      <c r="F100" s="192"/>
      <c r="G100" s="193"/>
      <c r="H100" s="192"/>
      <c r="I100" s="251" t="str">
        <f>IF(COUNTBLANK(E100:H100)=4,"",SUM(E100:G100)+IF(Setup!$I$15="No",0,H100))</f>
        <v/>
      </c>
      <c r="J100" s="192"/>
      <c r="K100" s="192"/>
      <c r="L100" s="192"/>
      <c r="M100" s="192"/>
      <c r="N100" s="255" t="str">
        <f>IF(COUNTBLANK(J100:M100)=4,"",SUM(J100:L100)+IF(Setup!$I$15="No",0,M100))</f>
        <v/>
      </c>
      <c r="O100" s="192"/>
      <c r="P100" s="192"/>
      <c r="Q100" s="192"/>
      <c r="R100" s="192"/>
      <c r="S100" s="255" t="str">
        <f>IF(COUNTBLANK(O100:R100)=4,"",SUM(O100:Q100)+IF(Setup!$I$15="No",0,R100))</f>
        <v/>
      </c>
      <c r="T100" s="192"/>
      <c r="U100" s="192"/>
      <c r="V100" s="192"/>
      <c r="W100" s="192"/>
      <c r="X100" s="255" t="str">
        <f>IF(COUNTBLANK(T100:W100)=4,"",SUM(T100:V100)+IF(Setup!$I$15="No",0,W100))</f>
        <v/>
      </c>
      <c r="Y100" s="192"/>
      <c r="Z100" s="192"/>
      <c r="AA100" s="192"/>
      <c r="AB100" s="192"/>
      <c r="AC100" s="255" t="str">
        <f>IF(COUNTBLANK(Y100:AB100)=4,"",SUM(Y100:AA100)+IF(Setup!$I$15="No",0,AB100))</f>
        <v/>
      </c>
      <c r="AD100" s="192"/>
      <c r="AE100" s="192"/>
      <c r="AF100" s="192"/>
      <c r="AG100" s="192"/>
      <c r="AH100" s="255" t="str">
        <f>IF(COUNTBLANK(AD100:AG100)=4,"",SUM(AD100:AF100)+IF(Setup!$I$15="No",0,AG100))</f>
        <v/>
      </c>
      <c r="AI100" s="192"/>
      <c r="AJ100" s="192"/>
      <c r="AK100" s="192"/>
      <c r="AL100" s="192"/>
      <c r="AM100" s="255" t="str">
        <f>IF(COUNTBLANK(AI100:AL100)=4,"",SUM(AI100:AK100)+IF(Setup!$I$15="No",0,AL100))</f>
        <v/>
      </c>
      <c r="AN100" s="192"/>
      <c r="AO100" s="192"/>
      <c r="AP100" s="192"/>
      <c r="AQ100" s="192"/>
      <c r="AR100" s="255" t="str">
        <f>IF(COUNTBLANK(AN100:AQ100)=4,"",SUM(AN100:AP100)+IF(Setup!$I$15="No",0,AQ100))</f>
        <v/>
      </c>
      <c r="AS100" s="192"/>
      <c r="AT100" s="192"/>
      <c r="AU100" s="192"/>
      <c r="AV100" s="192"/>
      <c r="AW100" s="255" t="str">
        <f>IF(COUNTBLANK(AS100:AV100)=4,"",SUM(AS100:AU100)+IF(Setup!$I$15="No",0,AV100))</f>
        <v/>
      </c>
      <c r="AX100" s="192"/>
      <c r="AY100" s="192"/>
      <c r="AZ100" s="192"/>
      <c r="BA100" s="192"/>
      <c r="BB100" s="255" t="str">
        <f>IF(COUNTBLANK(AX100:BA100)=4,"",SUM(AX100:AZ100)+IF(Setup!$I$15="No",0,BA100))</f>
        <v/>
      </c>
      <c r="BC100" s="259" t="str">
        <f ca="1">IF('Demand background (hide)'!A91=Num_Modalities,"",SUM(Demand!I100))</f>
        <v/>
      </c>
      <c r="BD100" s="259" t="str">
        <f ca="1">IF(AND(A100&lt;=MaxRows,BE100&lt;&gt;"Yes"),'Demand background (hide)'!X91+IF(Setup!$I$15="Yes",'Demand background (hide)'!AJ91,0),"")</f>
        <v/>
      </c>
      <c r="BE100" s="209"/>
    </row>
    <row r="101" spans="1:57" x14ac:dyDescent="0.25">
      <c r="A101" t="str">
        <f t="shared" ca="1" si="4"/>
        <v/>
      </c>
      <c r="B101" s="264" t="str">
        <f t="shared" ca="1" si="5"/>
        <v xml:space="preserve"> </v>
      </c>
      <c r="C101" s="265" t="str">
        <f t="shared" ca="1" si="6"/>
        <v/>
      </c>
      <c r="D101" s="352" t="str">
        <f t="shared" ca="1" si="7"/>
        <v/>
      </c>
      <c r="E101" s="192"/>
      <c r="F101" s="192"/>
      <c r="G101" s="193"/>
      <c r="H101" s="192"/>
      <c r="I101" s="251" t="str">
        <f>IF(COUNTBLANK(E101:H101)=4,"",SUM(E101:G101)+IF(Setup!$I$15="No",0,H101))</f>
        <v/>
      </c>
      <c r="J101" s="192"/>
      <c r="K101" s="192"/>
      <c r="L101" s="192"/>
      <c r="M101" s="192"/>
      <c r="N101" s="255" t="str">
        <f>IF(COUNTBLANK(J101:M101)=4,"",SUM(J101:L101)+IF(Setup!$I$15="No",0,M101))</f>
        <v/>
      </c>
      <c r="O101" s="192"/>
      <c r="P101" s="192"/>
      <c r="Q101" s="192"/>
      <c r="R101" s="192"/>
      <c r="S101" s="255" t="str">
        <f>IF(COUNTBLANK(O101:R101)=4,"",SUM(O101:Q101)+IF(Setup!$I$15="No",0,R101))</f>
        <v/>
      </c>
      <c r="T101" s="192"/>
      <c r="U101" s="192"/>
      <c r="V101" s="192"/>
      <c r="W101" s="192"/>
      <c r="X101" s="255" t="str">
        <f>IF(COUNTBLANK(T101:W101)=4,"",SUM(T101:V101)+IF(Setup!$I$15="No",0,W101))</f>
        <v/>
      </c>
      <c r="Y101" s="192"/>
      <c r="Z101" s="192"/>
      <c r="AA101" s="192"/>
      <c r="AB101" s="192"/>
      <c r="AC101" s="255" t="str">
        <f>IF(COUNTBLANK(Y101:AB101)=4,"",SUM(Y101:AA101)+IF(Setup!$I$15="No",0,AB101))</f>
        <v/>
      </c>
      <c r="AD101" s="192"/>
      <c r="AE101" s="192"/>
      <c r="AF101" s="192"/>
      <c r="AG101" s="192"/>
      <c r="AH101" s="255" t="str">
        <f>IF(COUNTBLANK(AD101:AG101)=4,"",SUM(AD101:AF101)+IF(Setup!$I$15="No",0,AG101))</f>
        <v/>
      </c>
      <c r="AI101" s="192"/>
      <c r="AJ101" s="192"/>
      <c r="AK101" s="192"/>
      <c r="AL101" s="192"/>
      <c r="AM101" s="255" t="str">
        <f>IF(COUNTBLANK(AI101:AL101)=4,"",SUM(AI101:AK101)+IF(Setup!$I$15="No",0,AL101))</f>
        <v/>
      </c>
      <c r="AN101" s="192"/>
      <c r="AO101" s="192"/>
      <c r="AP101" s="192"/>
      <c r="AQ101" s="192"/>
      <c r="AR101" s="255" t="str">
        <f>IF(COUNTBLANK(AN101:AQ101)=4,"",SUM(AN101:AP101)+IF(Setup!$I$15="No",0,AQ101))</f>
        <v/>
      </c>
      <c r="AS101" s="192"/>
      <c r="AT101" s="192"/>
      <c r="AU101" s="192"/>
      <c r="AV101" s="192"/>
      <c r="AW101" s="255" t="str">
        <f>IF(COUNTBLANK(AS101:AV101)=4,"",SUM(AS101:AU101)+IF(Setup!$I$15="No",0,AV101))</f>
        <v/>
      </c>
      <c r="AX101" s="192"/>
      <c r="AY101" s="192"/>
      <c r="AZ101" s="192"/>
      <c r="BA101" s="192"/>
      <c r="BB101" s="255" t="str">
        <f>IF(COUNTBLANK(AX101:BA101)=4,"",SUM(AX101:AZ101)+IF(Setup!$I$15="No",0,BA101))</f>
        <v/>
      </c>
      <c r="BC101" s="259" t="str">
        <f ca="1">IF('Demand background (hide)'!A92=Num_Modalities,"",SUM(Demand!I101))</f>
        <v/>
      </c>
      <c r="BD101" s="259" t="str">
        <f ca="1">IF(AND(A101&lt;=MaxRows,BE101&lt;&gt;"Yes"),'Demand background (hide)'!X92+IF(Setup!$I$15="Yes",'Demand background (hide)'!AJ92,0),"")</f>
        <v/>
      </c>
      <c r="BE101" s="209"/>
    </row>
    <row r="102" spans="1:57" x14ac:dyDescent="0.25">
      <c r="A102" t="str">
        <f t="shared" ca="1" si="4"/>
        <v/>
      </c>
      <c r="B102" s="264" t="str">
        <f t="shared" ca="1" si="5"/>
        <v xml:space="preserve"> </v>
      </c>
      <c r="C102" s="265" t="str">
        <f t="shared" ca="1" si="6"/>
        <v/>
      </c>
      <c r="D102" s="352" t="str">
        <f t="shared" ca="1" si="7"/>
        <v/>
      </c>
      <c r="E102" s="192"/>
      <c r="F102" s="192"/>
      <c r="G102" s="193"/>
      <c r="H102" s="192"/>
      <c r="I102" s="251" t="str">
        <f>IF(COUNTBLANK(E102:H102)=4,"",SUM(E102:G102)+IF(Setup!$I$15="No",0,H102))</f>
        <v/>
      </c>
      <c r="J102" s="192"/>
      <c r="K102" s="192"/>
      <c r="L102" s="192"/>
      <c r="M102" s="192"/>
      <c r="N102" s="255" t="str">
        <f>IF(COUNTBLANK(J102:M102)=4,"",SUM(J102:L102)+IF(Setup!$I$15="No",0,M102))</f>
        <v/>
      </c>
      <c r="O102" s="192"/>
      <c r="P102" s="192"/>
      <c r="Q102" s="192"/>
      <c r="R102" s="192"/>
      <c r="S102" s="255" t="str">
        <f>IF(COUNTBLANK(O102:R102)=4,"",SUM(O102:Q102)+IF(Setup!$I$15="No",0,R102))</f>
        <v/>
      </c>
      <c r="T102" s="192"/>
      <c r="U102" s="192"/>
      <c r="V102" s="192"/>
      <c r="W102" s="192"/>
      <c r="X102" s="255" t="str">
        <f>IF(COUNTBLANK(T102:W102)=4,"",SUM(T102:V102)+IF(Setup!$I$15="No",0,W102))</f>
        <v/>
      </c>
      <c r="Y102" s="192"/>
      <c r="Z102" s="192"/>
      <c r="AA102" s="192"/>
      <c r="AB102" s="192"/>
      <c r="AC102" s="255" t="str">
        <f>IF(COUNTBLANK(Y102:AB102)=4,"",SUM(Y102:AA102)+IF(Setup!$I$15="No",0,AB102))</f>
        <v/>
      </c>
      <c r="AD102" s="192"/>
      <c r="AE102" s="192"/>
      <c r="AF102" s="192"/>
      <c r="AG102" s="192"/>
      <c r="AH102" s="255" t="str">
        <f>IF(COUNTBLANK(AD102:AG102)=4,"",SUM(AD102:AF102)+IF(Setup!$I$15="No",0,AG102))</f>
        <v/>
      </c>
      <c r="AI102" s="192"/>
      <c r="AJ102" s="192"/>
      <c r="AK102" s="192"/>
      <c r="AL102" s="192"/>
      <c r="AM102" s="255" t="str">
        <f>IF(COUNTBLANK(AI102:AL102)=4,"",SUM(AI102:AK102)+IF(Setup!$I$15="No",0,AL102))</f>
        <v/>
      </c>
      <c r="AN102" s="192"/>
      <c r="AO102" s="192"/>
      <c r="AP102" s="192"/>
      <c r="AQ102" s="192"/>
      <c r="AR102" s="255" t="str">
        <f>IF(COUNTBLANK(AN102:AQ102)=4,"",SUM(AN102:AP102)+IF(Setup!$I$15="No",0,AQ102))</f>
        <v/>
      </c>
      <c r="AS102" s="192"/>
      <c r="AT102" s="192"/>
      <c r="AU102" s="192"/>
      <c r="AV102" s="192"/>
      <c r="AW102" s="255" t="str">
        <f>IF(COUNTBLANK(AS102:AV102)=4,"",SUM(AS102:AU102)+IF(Setup!$I$15="No",0,AV102))</f>
        <v/>
      </c>
      <c r="AX102" s="192"/>
      <c r="AY102" s="192"/>
      <c r="AZ102" s="192"/>
      <c r="BA102" s="192"/>
      <c r="BB102" s="255" t="str">
        <f>IF(COUNTBLANK(AX102:BA102)=4,"",SUM(AX102:AZ102)+IF(Setup!$I$15="No",0,BA102))</f>
        <v/>
      </c>
      <c r="BC102" s="259" t="str">
        <f ca="1">IF('Demand background (hide)'!A93=Num_Modalities,"",SUM(Demand!I102))</f>
        <v/>
      </c>
      <c r="BD102" s="259" t="str">
        <f ca="1">IF(AND(A102&lt;=MaxRows,BE102&lt;&gt;"Yes"),'Demand background (hide)'!X93+IF(Setup!$I$15="Yes",'Demand background (hide)'!AJ93,0),"")</f>
        <v/>
      </c>
      <c r="BE102" s="209"/>
    </row>
    <row r="103" spans="1:57" x14ac:dyDescent="0.25">
      <c r="A103" t="str">
        <f t="shared" ca="1" si="4"/>
        <v/>
      </c>
      <c r="B103" s="264" t="str">
        <f t="shared" ca="1" si="5"/>
        <v xml:space="preserve"> </v>
      </c>
      <c r="C103" s="265" t="str">
        <f t="shared" ca="1" si="6"/>
        <v/>
      </c>
      <c r="D103" s="352" t="str">
        <f t="shared" ca="1" si="7"/>
        <v/>
      </c>
      <c r="E103" s="192"/>
      <c r="F103" s="192"/>
      <c r="G103" s="193"/>
      <c r="H103" s="192"/>
      <c r="I103" s="251" t="str">
        <f>IF(COUNTBLANK(E103:H103)=4,"",SUM(E103:G103)+IF(Setup!$I$15="No",0,H103))</f>
        <v/>
      </c>
      <c r="J103" s="192"/>
      <c r="K103" s="192"/>
      <c r="L103" s="192"/>
      <c r="M103" s="192"/>
      <c r="N103" s="255" t="str">
        <f>IF(COUNTBLANK(J103:M103)=4,"",SUM(J103:L103)+IF(Setup!$I$15="No",0,M103))</f>
        <v/>
      </c>
      <c r="O103" s="192"/>
      <c r="P103" s="192"/>
      <c r="Q103" s="192"/>
      <c r="R103" s="192"/>
      <c r="S103" s="255" t="str">
        <f>IF(COUNTBLANK(O103:R103)=4,"",SUM(O103:Q103)+IF(Setup!$I$15="No",0,R103))</f>
        <v/>
      </c>
      <c r="T103" s="192"/>
      <c r="U103" s="192"/>
      <c r="V103" s="192"/>
      <c r="W103" s="192"/>
      <c r="X103" s="255" t="str">
        <f>IF(COUNTBLANK(T103:W103)=4,"",SUM(T103:V103)+IF(Setup!$I$15="No",0,W103))</f>
        <v/>
      </c>
      <c r="Y103" s="192"/>
      <c r="Z103" s="192"/>
      <c r="AA103" s="192"/>
      <c r="AB103" s="192"/>
      <c r="AC103" s="255" t="str">
        <f>IF(COUNTBLANK(Y103:AB103)=4,"",SUM(Y103:AA103)+IF(Setup!$I$15="No",0,AB103))</f>
        <v/>
      </c>
      <c r="AD103" s="192"/>
      <c r="AE103" s="192"/>
      <c r="AF103" s="192"/>
      <c r="AG103" s="192"/>
      <c r="AH103" s="255" t="str">
        <f>IF(COUNTBLANK(AD103:AG103)=4,"",SUM(AD103:AF103)+IF(Setup!$I$15="No",0,AG103))</f>
        <v/>
      </c>
      <c r="AI103" s="192"/>
      <c r="AJ103" s="192"/>
      <c r="AK103" s="192"/>
      <c r="AL103" s="192"/>
      <c r="AM103" s="255" t="str">
        <f>IF(COUNTBLANK(AI103:AL103)=4,"",SUM(AI103:AK103)+IF(Setup!$I$15="No",0,AL103))</f>
        <v/>
      </c>
      <c r="AN103" s="192"/>
      <c r="AO103" s="192"/>
      <c r="AP103" s="192"/>
      <c r="AQ103" s="192"/>
      <c r="AR103" s="255" t="str">
        <f>IF(COUNTBLANK(AN103:AQ103)=4,"",SUM(AN103:AP103)+IF(Setup!$I$15="No",0,AQ103))</f>
        <v/>
      </c>
      <c r="AS103" s="192"/>
      <c r="AT103" s="192"/>
      <c r="AU103" s="192"/>
      <c r="AV103" s="192"/>
      <c r="AW103" s="255" t="str">
        <f>IF(COUNTBLANK(AS103:AV103)=4,"",SUM(AS103:AU103)+IF(Setup!$I$15="No",0,AV103))</f>
        <v/>
      </c>
      <c r="AX103" s="192"/>
      <c r="AY103" s="192"/>
      <c r="AZ103" s="192"/>
      <c r="BA103" s="192"/>
      <c r="BB103" s="255" t="str">
        <f>IF(COUNTBLANK(AX103:BA103)=4,"",SUM(AX103:AZ103)+IF(Setup!$I$15="No",0,BA103))</f>
        <v/>
      </c>
      <c r="BC103" s="259" t="str">
        <f ca="1">IF('Demand background (hide)'!A94=Num_Modalities,"",SUM(Demand!I103))</f>
        <v/>
      </c>
      <c r="BD103" s="259" t="str">
        <f ca="1">IF(AND(A103&lt;=MaxRows,BE103&lt;&gt;"Yes"),'Demand background (hide)'!X94+IF(Setup!$I$15="Yes",'Demand background (hide)'!AJ94,0),"")</f>
        <v/>
      </c>
      <c r="BE103" s="209"/>
    </row>
    <row r="104" spans="1:57" x14ac:dyDescent="0.25">
      <c r="A104" t="str">
        <f t="shared" ca="1" si="4"/>
        <v/>
      </c>
      <c r="B104" s="264" t="str">
        <f t="shared" ca="1" si="5"/>
        <v xml:space="preserve"> </v>
      </c>
      <c r="C104" s="265" t="str">
        <f t="shared" ca="1" si="6"/>
        <v/>
      </c>
      <c r="D104" s="352" t="str">
        <f t="shared" ca="1" si="7"/>
        <v/>
      </c>
      <c r="E104" s="192"/>
      <c r="F104" s="192"/>
      <c r="G104" s="193"/>
      <c r="H104" s="192"/>
      <c r="I104" s="251" t="str">
        <f>IF(COUNTBLANK(E104:H104)=4,"",SUM(E104:G104)+IF(Setup!$I$15="No",0,H104))</f>
        <v/>
      </c>
      <c r="J104" s="192"/>
      <c r="K104" s="192"/>
      <c r="L104" s="192"/>
      <c r="M104" s="192"/>
      <c r="N104" s="255" t="str">
        <f>IF(COUNTBLANK(J104:M104)=4,"",SUM(J104:L104)+IF(Setup!$I$15="No",0,M104))</f>
        <v/>
      </c>
      <c r="O104" s="192"/>
      <c r="P104" s="192"/>
      <c r="Q104" s="192"/>
      <c r="R104" s="192"/>
      <c r="S104" s="255" t="str">
        <f>IF(COUNTBLANK(O104:R104)=4,"",SUM(O104:Q104)+IF(Setup!$I$15="No",0,R104))</f>
        <v/>
      </c>
      <c r="T104" s="192"/>
      <c r="U104" s="192"/>
      <c r="V104" s="192"/>
      <c r="W104" s="192"/>
      <c r="X104" s="255" t="str">
        <f>IF(COUNTBLANK(T104:W104)=4,"",SUM(T104:V104)+IF(Setup!$I$15="No",0,W104))</f>
        <v/>
      </c>
      <c r="Y104" s="192"/>
      <c r="Z104" s="192"/>
      <c r="AA104" s="192"/>
      <c r="AB104" s="192"/>
      <c r="AC104" s="255" t="str">
        <f>IF(COUNTBLANK(Y104:AB104)=4,"",SUM(Y104:AA104)+IF(Setup!$I$15="No",0,AB104))</f>
        <v/>
      </c>
      <c r="AD104" s="192"/>
      <c r="AE104" s="192"/>
      <c r="AF104" s="192"/>
      <c r="AG104" s="192"/>
      <c r="AH104" s="255" t="str">
        <f>IF(COUNTBLANK(AD104:AG104)=4,"",SUM(AD104:AF104)+IF(Setup!$I$15="No",0,AG104))</f>
        <v/>
      </c>
      <c r="AI104" s="192"/>
      <c r="AJ104" s="192"/>
      <c r="AK104" s="192"/>
      <c r="AL104" s="192"/>
      <c r="AM104" s="255" t="str">
        <f>IF(COUNTBLANK(AI104:AL104)=4,"",SUM(AI104:AK104)+IF(Setup!$I$15="No",0,AL104))</f>
        <v/>
      </c>
      <c r="AN104" s="192"/>
      <c r="AO104" s="192"/>
      <c r="AP104" s="192"/>
      <c r="AQ104" s="192"/>
      <c r="AR104" s="255" t="str">
        <f>IF(COUNTBLANK(AN104:AQ104)=4,"",SUM(AN104:AP104)+IF(Setup!$I$15="No",0,AQ104))</f>
        <v/>
      </c>
      <c r="AS104" s="192"/>
      <c r="AT104" s="192"/>
      <c r="AU104" s="192"/>
      <c r="AV104" s="192"/>
      <c r="AW104" s="255" t="str">
        <f>IF(COUNTBLANK(AS104:AV104)=4,"",SUM(AS104:AU104)+IF(Setup!$I$15="No",0,AV104))</f>
        <v/>
      </c>
      <c r="AX104" s="192"/>
      <c r="AY104" s="192"/>
      <c r="AZ104" s="192"/>
      <c r="BA104" s="192"/>
      <c r="BB104" s="255" t="str">
        <f>IF(COUNTBLANK(AX104:BA104)=4,"",SUM(AX104:AZ104)+IF(Setup!$I$15="No",0,BA104))</f>
        <v/>
      </c>
      <c r="BC104" s="259" t="str">
        <f ca="1">IF('Demand background (hide)'!A95=Num_Modalities,"",SUM(Demand!I104))</f>
        <v/>
      </c>
      <c r="BD104" s="259" t="str">
        <f ca="1">IF(AND(A104&lt;=MaxRows,BE104&lt;&gt;"Yes"),'Demand background (hide)'!X95+IF(Setup!$I$15="Yes",'Demand background (hide)'!AJ95,0),"")</f>
        <v/>
      </c>
      <c r="BE104" s="209"/>
    </row>
    <row r="105" spans="1:57" x14ac:dyDescent="0.25">
      <c r="A105" t="str">
        <f t="shared" ca="1" si="4"/>
        <v/>
      </c>
      <c r="B105" s="264" t="str">
        <f t="shared" ca="1" si="5"/>
        <v xml:space="preserve"> </v>
      </c>
      <c r="C105" s="265" t="str">
        <f t="shared" ca="1" si="6"/>
        <v/>
      </c>
      <c r="D105" s="352" t="str">
        <f t="shared" ca="1" si="7"/>
        <v/>
      </c>
      <c r="E105" s="192"/>
      <c r="F105" s="192"/>
      <c r="G105" s="193"/>
      <c r="H105" s="192"/>
      <c r="I105" s="251" t="str">
        <f>IF(COUNTBLANK(E105:H105)=4,"",SUM(E105:G105)+IF(Setup!$I$15="No",0,H105))</f>
        <v/>
      </c>
      <c r="J105" s="192"/>
      <c r="K105" s="192"/>
      <c r="L105" s="192"/>
      <c r="M105" s="192"/>
      <c r="N105" s="255" t="str">
        <f>IF(COUNTBLANK(J105:M105)=4,"",SUM(J105:L105)+IF(Setup!$I$15="No",0,M105))</f>
        <v/>
      </c>
      <c r="O105" s="192"/>
      <c r="P105" s="192"/>
      <c r="Q105" s="192"/>
      <c r="R105" s="192"/>
      <c r="S105" s="255" t="str">
        <f>IF(COUNTBLANK(O105:R105)=4,"",SUM(O105:Q105)+IF(Setup!$I$15="No",0,R105))</f>
        <v/>
      </c>
      <c r="T105" s="192"/>
      <c r="U105" s="192"/>
      <c r="V105" s="192"/>
      <c r="W105" s="192"/>
      <c r="X105" s="255" t="str">
        <f>IF(COUNTBLANK(T105:W105)=4,"",SUM(T105:V105)+IF(Setup!$I$15="No",0,W105))</f>
        <v/>
      </c>
      <c r="Y105" s="192"/>
      <c r="Z105" s="192"/>
      <c r="AA105" s="192"/>
      <c r="AB105" s="192"/>
      <c r="AC105" s="255" t="str">
        <f>IF(COUNTBLANK(Y105:AB105)=4,"",SUM(Y105:AA105)+IF(Setup!$I$15="No",0,AB105))</f>
        <v/>
      </c>
      <c r="AD105" s="192"/>
      <c r="AE105" s="192"/>
      <c r="AF105" s="192"/>
      <c r="AG105" s="192"/>
      <c r="AH105" s="255" t="str">
        <f>IF(COUNTBLANK(AD105:AG105)=4,"",SUM(AD105:AF105)+IF(Setup!$I$15="No",0,AG105))</f>
        <v/>
      </c>
      <c r="AI105" s="192"/>
      <c r="AJ105" s="192"/>
      <c r="AK105" s="192"/>
      <c r="AL105" s="192"/>
      <c r="AM105" s="255" t="str">
        <f>IF(COUNTBLANK(AI105:AL105)=4,"",SUM(AI105:AK105)+IF(Setup!$I$15="No",0,AL105))</f>
        <v/>
      </c>
      <c r="AN105" s="192"/>
      <c r="AO105" s="192"/>
      <c r="AP105" s="192"/>
      <c r="AQ105" s="192"/>
      <c r="AR105" s="255" t="str">
        <f>IF(COUNTBLANK(AN105:AQ105)=4,"",SUM(AN105:AP105)+IF(Setup!$I$15="No",0,AQ105))</f>
        <v/>
      </c>
      <c r="AS105" s="192"/>
      <c r="AT105" s="192"/>
      <c r="AU105" s="192"/>
      <c r="AV105" s="192"/>
      <c r="AW105" s="255" t="str">
        <f>IF(COUNTBLANK(AS105:AV105)=4,"",SUM(AS105:AU105)+IF(Setup!$I$15="No",0,AV105))</f>
        <v/>
      </c>
      <c r="AX105" s="192"/>
      <c r="AY105" s="192"/>
      <c r="AZ105" s="192"/>
      <c r="BA105" s="192"/>
      <c r="BB105" s="255" t="str">
        <f>IF(COUNTBLANK(AX105:BA105)=4,"",SUM(AX105:AZ105)+IF(Setup!$I$15="No",0,BA105))</f>
        <v/>
      </c>
      <c r="BC105" s="259" t="str">
        <f ca="1">IF('Demand background (hide)'!A96=Num_Modalities,"",SUM(Demand!I105))</f>
        <v/>
      </c>
      <c r="BD105" s="259" t="str">
        <f ca="1">IF(AND(A105&lt;=MaxRows,BE105&lt;&gt;"Yes"),'Demand background (hide)'!X96+IF(Setup!$I$15="Yes",'Demand background (hide)'!AJ96,0),"")</f>
        <v/>
      </c>
      <c r="BE105" s="209"/>
    </row>
    <row r="106" spans="1:57" x14ac:dyDescent="0.25">
      <c r="A106" t="str">
        <f t="shared" ca="1" si="4"/>
        <v/>
      </c>
      <c r="B106" s="264" t="str">
        <f t="shared" ca="1" si="5"/>
        <v xml:space="preserve"> </v>
      </c>
      <c r="C106" s="265" t="str">
        <f t="shared" ca="1" si="6"/>
        <v/>
      </c>
      <c r="D106" s="352" t="str">
        <f t="shared" ca="1" si="7"/>
        <v/>
      </c>
      <c r="E106" s="192"/>
      <c r="F106" s="192"/>
      <c r="G106" s="193"/>
      <c r="H106" s="192"/>
      <c r="I106" s="251" t="str">
        <f>IF(COUNTBLANK(E106:H106)=4,"",SUM(E106:G106)+IF(Setup!$I$15="No",0,H106))</f>
        <v/>
      </c>
      <c r="J106" s="192"/>
      <c r="K106" s="192"/>
      <c r="L106" s="192"/>
      <c r="M106" s="192"/>
      <c r="N106" s="255" t="str">
        <f>IF(COUNTBLANK(J106:M106)=4,"",SUM(J106:L106)+IF(Setup!$I$15="No",0,M106))</f>
        <v/>
      </c>
      <c r="O106" s="192"/>
      <c r="P106" s="192"/>
      <c r="Q106" s="192"/>
      <c r="R106" s="192"/>
      <c r="S106" s="255" t="str">
        <f>IF(COUNTBLANK(O106:R106)=4,"",SUM(O106:Q106)+IF(Setup!$I$15="No",0,R106))</f>
        <v/>
      </c>
      <c r="T106" s="192"/>
      <c r="U106" s="192"/>
      <c r="V106" s="192"/>
      <c r="W106" s="192"/>
      <c r="X106" s="255" t="str">
        <f>IF(COUNTBLANK(T106:W106)=4,"",SUM(T106:V106)+IF(Setup!$I$15="No",0,W106))</f>
        <v/>
      </c>
      <c r="Y106" s="192"/>
      <c r="Z106" s="192"/>
      <c r="AA106" s="192"/>
      <c r="AB106" s="192"/>
      <c r="AC106" s="255" t="str">
        <f>IF(COUNTBLANK(Y106:AB106)=4,"",SUM(Y106:AA106)+IF(Setup!$I$15="No",0,AB106))</f>
        <v/>
      </c>
      <c r="AD106" s="192"/>
      <c r="AE106" s="192"/>
      <c r="AF106" s="192"/>
      <c r="AG106" s="192"/>
      <c r="AH106" s="255" t="str">
        <f>IF(COUNTBLANK(AD106:AG106)=4,"",SUM(AD106:AF106)+IF(Setup!$I$15="No",0,AG106))</f>
        <v/>
      </c>
      <c r="AI106" s="192"/>
      <c r="AJ106" s="192"/>
      <c r="AK106" s="192"/>
      <c r="AL106" s="192"/>
      <c r="AM106" s="255" t="str">
        <f>IF(COUNTBLANK(AI106:AL106)=4,"",SUM(AI106:AK106)+IF(Setup!$I$15="No",0,AL106))</f>
        <v/>
      </c>
      <c r="AN106" s="192"/>
      <c r="AO106" s="192"/>
      <c r="AP106" s="192"/>
      <c r="AQ106" s="192"/>
      <c r="AR106" s="255" t="str">
        <f>IF(COUNTBLANK(AN106:AQ106)=4,"",SUM(AN106:AP106)+IF(Setup!$I$15="No",0,AQ106))</f>
        <v/>
      </c>
      <c r="AS106" s="192"/>
      <c r="AT106" s="192"/>
      <c r="AU106" s="192"/>
      <c r="AV106" s="192"/>
      <c r="AW106" s="255" t="str">
        <f>IF(COUNTBLANK(AS106:AV106)=4,"",SUM(AS106:AU106)+IF(Setup!$I$15="No",0,AV106))</f>
        <v/>
      </c>
      <c r="AX106" s="192"/>
      <c r="AY106" s="192"/>
      <c r="AZ106" s="192"/>
      <c r="BA106" s="192"/>
      <c r="BB106" s="255" t="str">
        <f>IF(COUNTBLANK(AX106:BA106)=4,"",SUM(AX106:AZ106)+IF(Setup!$I$15="No",0,BA106))</f>
        <v/>
      </c>
      <c r="BC106" s="259" t="str">
        <f ca="1">IF('Demand background (hide)'!A97=Num_Modalities,"",SUM(Demand!I106))</f>
        <v/>
      </c>
      <c r="BD106" s="259" t="str">
        <f ca="1">IF(AND(A106&lt;=MaxRows,BE106&lt;&gt;"Yes"),'Demand background (hide)'!X97+IF(Setup!$I$15="Yes",'Demand background (hide)'!AJ97,0),"")</f>
        <v/>
      </c>
      <c r="BE106" s="209"/>
    </row>
    <row r="107" spans="1:57" x14ac:dyDescent="0.25">
      <c r="A107" t="str">
        <f t="shared" ca="1" si="4"/>
        <v/>
      </c>
      <c r="B107" s="264" t="str">
        <f t="shared" ca="1" si="5"/>
        <v xml:space="preserve"> </v>
      </c>
      <c r="C107" s="265" t="str">
        <f t="shared" ca="1" si="6"/>
        <v/>
      </c>
      <c r="D107" s="352" t="str">
        <f t="shared" ca="1" si="7"/>
        <v/>
      </c>
      <c r="E107" s="192"/>
      <c r="F107" s="192"/>
      <c r="G107" s="193"/>
      <c r="H107" s="192"/>
      <c r="I107" s="251" t="str">
        <f>IF(COUNTBLANK(E107:H107)=4,"",SUM(E107:G107)+IF(Setup!$I$15="No",0,H107))</f>
        <v/>
      </c>
      <c r="J107" s="192"/>
      <c r="K107" s="192"/>
      <c r="L107" s="192"/>
      <c r="M107" s="192"/>
      <c r="N107" s="255" t="str">
        <f>IF(COUNTBLANK(J107:M107)=4,"",SUM(J107:L107)+IF(Setup!$I$15="No",0,M107))</f>
        <v/>
      </c>
      <c r="O107" s="192"/>
      <c r="P107" s="192"/>
      <c r="Q107" s="192"/>
      <c r="R107" s="192"/>
      <c r="S107" s="255" t="str">
        <f>IF(COUNTBLANK(O107:R107)=4,"",SUM(O107:Q107)+IF(Setup!$I$15="No",0,R107))</f>
        <v/>
      </c>
      <c r="T107" s="192"/>
      <c r="U107" s="192"/>
      <c r="V107" s="192"/>
      <c r="W107" s="192"/>
      <c r="X107" s="255" t="str">
        <f>IF(COUNTBLANK(T107:W107)=4,"",SUM(T107:V107)+IF(Setup!$I$15="No",0,W107))</f>
        <v/>
      </c>
      <c r="Y107" s="192"/>
      <c r="Z107" s="192"/>
      <c r="AA107" s="192"/>
      <c r="AB107" s="192"/>
      <c r="AC107" s="255" t="str">
        <f>IF(COUNTBLANK(Y107:AB107)=4,"",SUM(Y107:AA107)+IF(Setup!$I$15="No",0,AB107))</f>
        <v/>
      </c>
      <c r="AD107" s="192"/>
      <c r="AE107" s="192"/>
      <c r="AF107" s="192"/>
      <c r="AG107" s="192"/>
      <c r="AH107" s="255" t="str">
        <f>IF(COUNTBLANK(AD107:AG107)=4,"",SUM(AD107:AF107)+IF(Setup!$I$15="No",0,AG107))</f>
        <v/>
      </c>
      <c r="AI107" s="192"/>
      <c r="AJ107" s="192"/>
      <c r="AK107" s="192"/>
      <c r="AL107" s="192"/>
      <c r="AM107" s="255" t="str">
        <f>IF(COUNTBLANK(AI107:AL107)=4,"",SUM(AI107:AK107)+IF(Setup!$I$15="No",0,AL107))</f>
        <v/>
      </c>
      <c r="AN107" s="192"/>
      <c r="AO107" s="192"/>
      <c r="AP107" s="192"/>
      <c r="AQ107" s="192"/>
      <c r="AR107" s="255" t="str">
        <f>IF(COUNTBLANK(AN107:AQ107)=4,"",SUM(AN107:AP107)+IF(Setup!$I$15="No",0,AQ107))</f>
        <v/>
      </c>
      <c r="AS107" s="192"/>
      <c r="AT107" s="192"/>
      <c r="AU107" s="192"/>
      <c r="AV107" s="192"/>
      <c r="AW107" s="255" t="str">
        <f>IF(COUNTBLANK(AS107:AV107)=4,"",SUM(AS107:AU107)+IF(Setup!$I$15="No",0,AV107))</f>
        <v/>
      </c>
      <c r="AX107" s="192"/>
      <c r="AY107" s="192"/>
      <c r="AZ107" s="192"/>
      <c r="BA107" s="192"/>
      <c r="BB107" s="255" t="str">
        <f>IF(COUNTBLANK(AX107:BA107)=4,"",SUM(AX107:AZ107)+IF(Setup!$I$15="No",0,BA107))</f>
        <v/>
      </c>
      <c r="BC107" s="259" t="str">
        <f ca="1">IF('Demand background (hide)'!A98=Num_Modalities,"",SUM(Demand!I107))</f>
        <v/>
      </c>
      <c r="BD107" s="259" t="str">
        <f ca="1">IF(AND(A107&lt;=MaxRows,BE107&lt;&gt;"Yes"),'Demand background (hide)'!X98+IF(Setup!$I$15="Yes",'Demand background (hide)'!AJ98,0),"")</f>
        <v/>
      </c>
      <c r="BE107" s="209"/>
    </row>
    <row r="108" spans="1:57" x14ac:dyDescent="0.25">
      <c r="A108" t="str">
        <f t="shared" ca="1" si="4"/>
        <v/>
      </c>
      <c r="B108" s="264" t="str">
        <f t="shared" ca="1" si="5"/>
        <v xml:space="preserve"> </v>
      </c>
      <c r="C108" s="265" t="str">
        <f t="shared" ca="1" si="6"/>
        <v/>
      </c>
      <c r="D108" s="352" t="str">
        <f t="shared" ca="1" si="7"/>
        <v/>
      </c>
      <c r="E108" s="192"/>
      <c r="F108" s="192"/>
      <c r="G108" s="193"/>
      <c r="H108" s="192"/>
      <c r="I108" s="251" t="str">
        <f>IF(COUNTBLANK(E108:H108)=4,"",SUM(E108:G108)+IF(Setup!$I$15="No",0,H108))</f>
        <v/>
      </c>
      <c r="J108" s="192"/>
      <c r="K108" s="192"/>
      <c r="L108" s="192"/>
      <c r="M108" s="192"/>
      <c r="N108" s="255" t="str">
        <f>IF(COUNTBLANK(J108:M108)=4,"",SUM(J108:L108)+IF(Setup!$I$15="No",0,M108))</f>
        <v/>
      </c>
      <c r="O108" s="192"/>
      <c r="P108" s="192"/>
      <c r="Q108" s="192"/>
      <c r="R108" s="192"/>
      <c r="S108" s="255" t="str">
        <f>IF(COUNTBLANK(O108:R108)=4,"",SUM(O108:Q108)+IF(Setup!$I$15="No",0,R108))</f>
        <v/>
      </c>
      <c r="T108" s="192"/>
      <c r="U108" s="192"/>
      <c r="V108" s="192"/>
      <c r="W108" s="192"/>
      <c r="X108" s="255" t="str">
        <f>IF(COUNTBLANK(T108:W108)=4,"",SUM(T108:V108)+IF(Setup!$I$15="No",0,W108))</f>
        <v/>
      </c>
      <c r="Y108" s="192"/>
      <c r="Z108" s="192"/>
      <c r="AA108" s="192"/>
      <c r="AB108" s="192"/>
      <c r="AC108" s="255" t="str">
        <f>IF(COUNTBLANK(Y108:AB108)=4,"",SUM(Y108:AA108)+IF(Setup!$I$15="No",0,AB108))</f>
        <v/>
      </c>
      <c r="AD108" s="192"/>
      <c r="AE108" s="192"/>
      <c r="AF108" s="192"/>
      <c r="AG108" s="192"/>
      <c r="AH108" s="255" t="str">
        <f>IF(COUNTBLANK(AD108:AG108)=4,"",SUM(AD108:AF108)+IF(Setup!$I$15="No",0,AG108))</f>
        <v/>
      </c>
      <c r="AI108" s="192"/>
      <c r="AJ108" s="192"/>
      <c r="AK108" s="192"/>
      <c r="AL108" s="192"/>
      <c r="AM108" s="255" t="str">
        <f>IF(COUNTBLANK(AI108:AL108)=4,"",SUM(AI108:AK108)+IF(Setup!$I$15="No",0,AL108))</f>
        <v/>
      </c>
      <c r="AN108" s="192"/>
      <c r="AO108" s="192"/>
      <c r="AP108" s="192"/>
      <c r="AQ108" s="192"/>
      <c r="AR108" s="255" t="str">
        <f>IF(COUNTBLANK(AN108:AQ108)=4,"",SUM(AN108:AP108)+IF(Setup!$I$15="No",0,AQ108))</f>
        <v/>
      </c>
      <c r="AS108" s="192"/>
      <c r="AT108" s="192"/>
      <c r="AU108" s="192"/>
      <c r="AV108" s="192"/>
      <c r="AW108" s="255" t="str">
        <f>IF(COUNTBLANK(AS108:AV108)=4,"",SUM(AS108:AU108)+IF(Setup!$I$15="No",0,AV108))</f>
        <v/>
      </c>
      <c r="AX108" s="192"/>
      <c r="AY108" s="192"/>
      <c r="AZ108" s="192"/>
      <c r="BA108" s="192"/>
      <c r="BB108" s="255" t="str">
        <f>IF(COUNTBLANK(AX108:BA108)=4,"",SUM(AX108:AZ108)+IF(Setup!$I$15="No",0,BA108))</f>
        <v/>
      </c>
      <c r="BC108" s="259" t="str">
        <f ca="1">IF('Demand background (hide)'!A99=Num_Modalities,"",SUM(Demand!I108))</f>
        <v/>
      </c>
      <c r="BD108" s="259" t="str">
        <f ca="1">IF(AND(A108&lt;=MaxRows,BE108&lt;&gt;"Yes"),'Demand background (hide)'!X99+IF(Setup!$I$15="Yes",'Demand background (hide)'!AJ99,0),"")</f>
        <v/>
      </c>
      <c r="BE108" s="209"/>
    </row>
    <row r="109" spans="1:57" x14ac:dyDescent="0.25">
      <c r="A109" t="str">
        <f t="shared" ca="1" si="4"/>
        <v/>
      </c>
      <c r="B109" s="264" t="str">
        <f t="shared" ca="1" si="5"/>
        <v xml:space="preserve"> </v>
      </c>
      <c r="C109" s="265" t="str">
        <f t="shared" ca="1" si="6"/>
        <v/>
      </c>
      <c r="D109" s="352" t="str">
        <f t="shared" ca="1" si="7"/>
        <v/>
      </c>
      <c r="E109" s="192"/>
      <c r="F109" s="192"/>
      <c r="G109" s="193"/>
      <c r="H109" s="192"/>
      <c r="I109" s="251" t="str">
        <f>IF(COUNTBLANK(E109:H109)=4,"",SUM(E109:G109)+IF(Setup!$I$15="No",0,H109))</f>
        <v/>
      </c>
      <c r="J109" s="192"/>
      <c r="K109" s="192"/>
      <c r="L109" s="192"/>
      <c r="M109" s="192"/>
      <c r="N109" s="255" t="str">
        <f>IF(COUNTBLANK(J109:M109)=4,"",SUM(J109:L109)+IF(Setup!$I$15="No",0,M109))</f>
        <v/>
      </c>
      <c r="O109" s="192"/>
      <c r="P109" s="192"/>
      <c r="Q109" s="192"/>
      <c r="R109" s="192"/>
      <c r="S109" s="255" t="str">
        <f>IF(COUNTBLANK(O109:R109)=4,"",SUM(O109:Q109)+IF(Setup!$I$15="No",0,R109))</f>
        <v/>
      </c>
      <c r="T109" s="192"/>
      <c r="U109" s="192"/>
      <c r="V109" s="192"/>
      <c r="W109" s="192"/>
      <c r="X109" s="255" t="str">
        <f>IF(COUNTBLANK(T109:W109)=4,"",SUM(T109:V109)+IF(Setup!$I$15="No",0,W109))</f>
        <v/>
      </c>
      <c r="Y109" s="192"/>
      <c r="Z109" s="192"/>
      <c r="AA109" s="192"/>
      <c r="AB109" s="192"/>
      <c r="AC109" s="255" t="str">
        <f>IF(COUNTBLANK(Y109:AB109)=4,"",SUM(Y109:AA109)+IF(Setup!$I$15="No",0,AB109))</f>
        <v/>
      </c>
      <c r="AD109" s="192"/>
      <c r="AE109" s="192"/>
      <c r="AF109" s="192"/>
      <c r="AG109" s="192"/>
      <c r="AH109" s="255" t="str">
        <f>IF(COUNTBLANK(AD109:AG109)=4,"",SUM(AD109:AF109)+IF(Setup!$I$15="No",0,AG109))</f>
        <v/>
      </c>
      <c r="AI109" s="192"/>
      <c r="AJ109" s="192"/>
      <c r="AK109" s="192"/>
      <c r="AL109" s="192"/>
      <c r="AM109" s="255" t="str">
        <f>IF(COUNTBLANK(AI109:AL109)=4,"",SUM(AI109:AK109)+IF(Setup!$I$15="No",0,AL109))</f>
        <v/>
      </c>
      <c r="AN109" s="192"/>
      <c r="AO109" s="192"/>
      <c r="AP109" s="192"/>
      <c r="AQ109" s="192"/>
      <c r="AR109" s="255" t="str">
        <f>IF(COUNTBLANK(AN109:AQ109)=4,"",SUM(AN109:AP109)+IF(Setup!$I$15="No",0,AQ109))</f>
        <v/>
      </c>
      <c r="AS109" s="192"/>
      <c r="AT109" s="192"/>
      <c r="AU109" s="192"/>
      <c r="AV109" s="192"/>
      <c r="AW109" s="255" t="str">
        <f>IF(COUNTBLANK(AS109:AV109)=4,"",SUM(AS109:AU109)+IF(Setup!$I$15="No",0,AV109))</f>
        <v/>
      </c>
      <c r="AX109" s="192"/>
      <c r="AY109" s="192"/>
      <c r="AZ109" s="192"/>
      <c r="BA109" s="192"/>
      <c r="BB109" s="255" t="str">
        <f>IF(COUNTBLANK(AX109:BA109)=4,"",SUM(AX109:AZ109)+IF(Setup!$I$15="No",0,BA109))</f>
        <v/>
      </c>
      <c r="BC109" s="259" t="str">
        <f ca="1">IF('Demand background (hide)'!A100=Num_Modalities,"",SUM(Demand!I109))</f>
        <v/>
      </c>
      <c r="BD109" s="259" t="str">
        <f ca="1">IF(AND(A109&lt;=MaxRows,BE109&lt;&gt;"Yes"),'Demand background (hide)'!X100+IF(Setup!$I$15="Yes",'Demand background (hide)'!AJ100,0),"")</f>
        <v/>
      </c>
      <c r="BE109" s="209"/>
    </row>
    <row r="110" spans="1:57" x14ac:dyDescent="0.25">
      <c r="A110" t="str">
        <f t="shared" ca="1" si="4"/>
        <v/>
      </c>
      <c r="B110" s="264" t="str">
        <f t="shared" ca="1" si="5"/>
        <v xml:space="preserve"> </v>
      </c>
      <c r="C110" s="265" t="str">
        <f t="shared" ca="1" si="6"/>
        <v/>
      </c>
      <c r="D110" s="352" t="str">
        <f t="shared" ca="1" si="7"/>
        <v/>
      </c>
      <c r="E110" s="192"/>
      <c r="F110" s="192"/>
      <c r="G110" s="193"/>
      <c r="H110" s="192"/>
      <c r="I110" s="251" t="str">
        <f>IF(COUNTBLANK(E110:H110)=4,"",SUM(E110:G110)+IF(Setup!$I$15="No",0,H110))</f>
        <v/>
      </c>
      <c r="J110" s="192"/>
      <c r="K110" s="192"/>
      <c r="L110" s="192"/>
      <c r="M110" s="192"/>
      <c r="N110" s="255" t="str">
        <f>IF(COUNTBLANK(J110:M110)=4,"",SUM(J110:L110)+IF(Setup!$I$15="No",0,M110))</f>
        <v/>
      </c>
      <c r="O110" s="192"/>
      <c r="P110" s="192"/>
      <c r="Q110" s="192"/>
      <c r="R110" s="192"/>
      <c r="S110" s="255" t="str">
        <f>IF(COUNTBLANK(O110:R110)=4,"",SUM(O110:Q110)+IF(Setup!$I$15="No",0,R110))</f>
        <v/>
      </c>
      <c r="T110" s="192"/>
      <c r="U110" s="192"/>
      <c r="V110" s="192"/>
      <c r="W110" s="192"/>
      <c r="X110" s="255" t="str">
        <f>IF(COUNTBLANK(T110:W110)=4,"",SUM(T110:V110)+IF(Setup!$I$15="No",0,W110))</f>
        <v/>
      </c>
      <c r="Y110" s="192"/>
      <c r="Z110" s="192"/>
      <c r="AA110" s="192"/>
      <c r="AB110" s="192"/>
      <c r="AC110" s="255" t="str">
        <f>IF(COUNTBLANK(Y110:AB110)=4,"",SUM(Y110:AA110)+IF(Setup!$I$15="No",0,AB110))</f>
        <v/>
      </c>
      <c r="AD110" s="192"/>
      <c r="AE110" s="192"/>
      <c r="AF110" s="192"/>
      <c r="AG110" s="192"/>
      <c r="AH110" s="255" t="str">
        <f>IF(COUNTBLANK(AD110:AG110)=4,"",SUM(AD110:AF110)+IF(Setup!$I$15="No",0,AG110))</f>
        <v/>
      </c>
      <c r="AI110" s="192"/>
      <c r="AJ110" s="192"/>
      <c r="AK110" s="192"/>
      <c r="AL110" s="192"/>
      <c r="AM110" s="255" t="str">
        <f>IF(COUNTBLANK(AI110:AL110)=4,"",SUM(AI110:AK110)+IF(Setup!$I$15="No",0,AL110))</f>
        <v/>
      </c>
      <c r="AN110" s="192"/>
      <c r="AO110" s="192"/>
      <c r="AP110" s="192"/>
      <c r="AQ110" s="192"/>
      <c r="AR110" s="255" t="str">
        <f>IF(COUNTBLANK(AN110:AQ110)=4,"",SUM(AN110:AP110)+IF(Setup!$I$15="No",0,AQ110))</f>
        <v/>
      </c>
      <c r="AS110" s="192"/>
      <c r="AT110" s="192"/>
      <c r="AU110" s="192"/>
      <c r="AV110" s="192"/>
      <c r="AW110" s="255" t="str">
        <f>IF(COUNTBLANK(AS110:AV110)=4,"",SUM(AS110:AU110)+IF(Setup!$I$15="No",0,AV110))</f>
        <v/>
      </c>
      <c r="AX110" s="192"/>
      <c r="AY110" s="192"/>
      <c r="AZ110" s="192"/>
      <c r="BA110" s="192"/>
      <c r="BB110" s="255" t="str">
        <f>IF(COUNTBLANK(AX110:BA110)=4,"",SUM(AX110:AZ110)+IF(Setup!$I$15="No",0,BA110))</f>
        <v/>
      </c>
      <c r="BC110" s="259" t="str">
        <f ca="1">IF('Demand background (hide)'!A101=Num_Modalities,"",SUM(Demand!I110))</f>
        <v/>
      </c>
      <c r="BD110" s="259" t="str">
        <f ca="1">IF(AND(A110&lt;=MaxRows,BE110&lt;&gt;"Yes"),'Demand background (hide)'!X101+IF(Setup!$I$15="Yes",'Demand background (hide)'!AJ101,0),"")</f>
        <v/>
      </c>
      <c r="BE110" s="209"/>
    </row>
    <row r="111" spans="1:57" x14ac:dyDescent="0.25">
      <c r="A111" t="str">
        <f t="shared" ca="1" si="4"/>
        <v/>
      </c>
      <c r="B111" s="264" t="str">
        <f t="shared" ca="1" si="5"/>
        <v xml:space="preserve"> </v>
      </c>
      <c r="C111" s="265" t="str">
        <f t="shared" ca="1" si="6"/>
        <v/>
      </c>
      <c r="D111" s="352" t="str">
        <f t="shared" ca="1" si="7"/>
        <v/>
      </c>
      <c r="E111" s="192"/>
      <c r="F111" s="192"/>
      <c r="G111" s="193"/>
      <c r="H111" s="192"/>
      <c r="I111" s="251" t="str">
        <f>IF(COUNTBLANK(E111:H111)=4,"",SUM(E111:G111)+IF(Setup!$I$15="No",0,H111))</f>
        <v/>
      </c>
      <c r="J111" s="192"/>
      <c r="K111" s="192"/>
      <c r="L111" s="192"/>
      <c r="M111" s="192"/>
      <c r="N111" s="255" t="str">
        <f>IF(COUNTBLANK(J111:M111)=4,"",SUM(J111:L111)+IF(Setup!$I$15="No",0,M111))</f>
        <v/>
      </c>
      <c r="O111" s="192"/>
      <c r="P111" s="192"/>
      <c r="Q111" s="192"/>
      <c r="R111" s="192"/>
      <c r="S111" s="255" t="str">
        <f>IF(COUNTBLANK(O111:R111)=4,"",SUM(O111:Q111)+IF(Setup!$I$15="No",0,R111))</f>
        <v/>
      </c>
      <c r="T111" s="192"/>
      <c r="U111" s="192"/>
      <c r="V111" s="192"/>
      <c r="W111" s="192"/>
      <c r="X111" s="255" t="str">
        <f>IF(COUNTBLANK(T111:W111)=4,"",SUM(T111:V111)+IF(Setup!$I$15="No",0,W111))</f>
        <v/>
      </c>
      <c r="Y111" s="192"/>
      <c r="Z111" s="192"/>
      <c r="AA111" s="192"/>
      <c r="AB111" s="192"/>
      <c r="AC111" s="255" t="str">
        <f>IF(COUNTBLANK(Y111:AB111)=4,"",SUM(Y111:AA111)+IF(Setup!$I$15="No",0,AB111))</f>
        <v/>
      </c>
      <c r="AD111" s="192"/>
      <c r="AE111" s="192"/>
      <c r="AF111" s="192"/>
      <c r="AG111" s="192"/>
      <c r="AH111" s="255" t="str">
        <f>IF(COUNTBLANK(AD111:AG111)=4,"",SUM(AD111:AF111)+IF(Setup!$I$15="No",0,AG111))</f>
        <v/>
      </c>
      <c r="AI111" s="192"/>
      <c r="AJ111" s="192"/>
      <c r="AK111" s="192"/>
      <c r="AL111" s="192"/>
      <c r="AM111" s="255" t="str">
        <f>IF(COUNTBLANK(AI111:AL111)=4,"",SUM(AI111:AK111)+IF(Setup!$I$15="No",0,AL111))</f>
        <v/>
      </c>
      <c r="AN111" s="192"/>
      <c r="AO111" s="192"/>
      <c r="AP111" s="192"/>
      <c r="AQ111" s="192"/>
      <c r="AR111" s="255" t="str">
        <f>IF(COUNTBLANK(AN111:AQ111)=4,"",SUM(AN111:AP111)+IF(Setup!$I$15="No",0,AQ111))</f>
        <v/>
      </c>
      <c r="AS111" s="192"/>
      <c r="AT111" s="192"/>
      <c r="AU111" s="192"/>
      <c r="AV111" s="192"/>
      <c r="AW111" s="255" t="str">
        <f>IF(COUNTBLANK(AS111:AV111)=4,"",SUM(AS111:AU111)+IF(Setup!$I$15="No",0,AV111))</f>
        <v/>
      </c>
      <c r="AX111" s="192"/>
      <c r="AY111" s="192"/>
      <c r="AZ111" s="192"/>
      <c r="BA111" s="192"/>
      <c r="BB111" s="255" t="str">
        <f>IF(COUNTBLANK(AX111:BA111)=4,"",SUM(AX111:AZ111)+IF(Setup!$I$15="No",0,BA111))</f>
        <v/>
      </c>
      <c r="BC111" s="259" t="str">
        <f ca="1">IF('Demand background (hide)'!A102=Num_Modalities,"",SUM(Demand!I111))</f>
        <v/>
      </c>
      <c r="BD111" s="259" t="str">
        <f ca="1">IF(AND(A111&lt;=MaxRows,BE111&lt;&gt;"Yes"),'Demand background (hide)'!X102+IF(Setup!$I$15="Yes",'Demand background (hide)'!AJ102,0),"")</f>
        <v/>
      </c>
      <c r="BE111" s="209"/>
    </row>
    <row r="112" spans="1:57" x14ac:dyDescent="0.25">
      <c r="A112" t="str">
        <f t="shared" ca="1" si="4"/>
        <v/>
      </c>
      <c r="B112" s="264" t="str">
        <f t="shared" ca="1" si="5"/>
        <v xml:space="preserve"> </v>
      </c>
      <c r="C112" s="265" t="str">
        <f t="shared" ca="1" si="6"/>
        <v/>
      </c>
      <c r="D112" s="352" t="str">
        <f t="shared" ca="1" si="7"/>
        <v/>
      </c>
      <c r="E112" s="192"/>
      <c r="F112" s="192"/>
      <c r="G112" s="193"/>
      <c r="H112" s="192"/>
      <c r="I112" s="251" t="str">
        <f>IF(COUNTBLANK(E112:H112)=4,"",SUM(E112:G112)+IF(Setup!$I$15="No",0,H112))</f>
        <v/>
      </c>
      <c r="J112" s="192"/>
      <c r="K112" s="192"/>
      <c r="L112" s="192"/>
      <c r="M112" s="192"/>
      <c r="N112" s="255" t="str">
        <f>IF(COUNTBLANK(J112:M112)=4,"",SUM(J112:L112)+IF(Setup!$I$15="No",0,M112))</f>
        <v/>
      </c>
      <c r="O112" s="192"/>
      <c r="P112" s="192"/>
      <c r="Q112" s="192"/>
      <c r="R112" s="192"/>
      <c r="S112" s="255" t="str">
        <f>IF(COUNTBLANK(O112:R112)=4,"",SUM(O112:Q112)+IF(Setup!$I$15="No",0,R112))</f>
        <v/>
      </c>
      <c r="T112" s="192"/>
      <c r="U112" s="192"/>
      <c r="V112" s="192"/>
      <c r="W112" s="192"/>
      <c r="X112" s="255" t="str">
        <f>IF(COUNTBLANK(T112:W112)=4,"",SUM(T112:V112)+IF(Setup!$I$15="No",0,W112))</f>
        <v/>
      </c>
      <c r="Y112" s="192"/>
      <c r="Z112" s="192"/>
      <c r="AA112" s="192"/>
      <c r="AB112" s="192"/>
      <c r="AC112" s="255" t="str">
        <f>IF(COUNTBLANK(Y112:AB112)=4,"",SUM(Y112:AA112)+IF(Setup!$I$15="No",0,AB112))</f>
        <v/>
      </c>
      <c r="AD112" s="192"/>
      <c r="AE112" s="192"/>
      <c r="AF112" s="192"/>
      <c r="AG112" s="192"/>
      <c r="AH112" s="255" t="str">
        <f>IF(COUNTBLANK(AD112:AG112)=4,"",SUM(AD112:AF112)+IF(Setup!$I$15="No",0,AG112))</f>
        <v/>
      </c>
      <c r="AI112" s="192"/>
      <c r="AJ112" s="192"/>
      <c r="AK112" s="192"/>
      <c r="AL112" s="192"/>
      <c r="AM112" s="255" t="str">
        <f>IF(COUNTBLANK(AI112:AL112)=4,"",SUM(AI112:AK112)+IF(Setup!$I$15="No",0,AL112))</f>
        <v/>
      </c>
      <c r="AN112" s="192"/>
      <c r="AO112" s="192"/>
      <c r="AP112" s="192"/>
      <c r="AQ112" s="192"/>
      <c r="AR112" s="255" t="str">
        <f>IF(COUNTBLANK(AN112:AQ112)=4,"",SUM(AN112:AP112)+IF(Setup!$I$15="No",0,AQ112))</f>
        <v/>
      </c>
      <c r="AS112" s="192"/>
      <c r="AT112" s="192"/>
      <c r="AU112" s="192"/>
      <c r="AV112" s="192"/>
      <c r="AW112" s="255" t="str">
        <f>IF(COUNTBLANK(AS112:AV112)=4,"",SUM(AS112:AU112)+IF(Setup!$I$15="No",0,AV112))</f>
        <v/>
      </c>
      <c r="AX112" s="192"/>
      <c r="AY112" s="192"/>
      <c r="AZ112" s="192"/>
      <c r="BA112" s="192"/>
      <c r="BB112" s="255" t="str">
        <f>IF(COUNTBLANK(AX112:BA112)=4,"",SUM(AX112:AZ112)+IF(Setup!$I$15="No",0,BA112))</f>
        <v/>
      </c>
      <c r="BC112" s="259" t="str">
        <f ca="1">IF('Demand background (hide)'!A103=Num_Modalities,"",SUM(Demand!I112))</f>
        <v/>
      </c>
      <c r="BD112" s="259" t="str">
        <f ca="1">IF(AND(A112&lt;=MaxRows,BE112&lt;&gt;"Yes"),'Demand background (hide)'!X103+IF(Setup!$I$15="Yes",'Demand background (hide)'!AJ103,0),"")</f>
        <v/>
      </c>
      <c r="BE112" s="209"/>
    </row>
    <row r="113" spans="1:59" x14ac:dyDescent="0.25">
      <c r="A113" t="str">
        <f t="shared" ca="1" si="4"/>
        <v/>
      </c>
      <c r="B113" s="264" t="str">
        <f t="shared" ca="1" si="5"/>
        <v xml:space="preserve"> </v>
      </c>
      <c r="C113" s="265" t="str">
        <f t="shared" ca="1" si="6"/>
        <v/>
      </c>
      <c r="D113" s="352" t="str">
        <f t="shared" ca="1" si="7"/>
        <v/>
      </c>
      <c r="E113" s="192"/>
      <c r="F113" s="192"/>
      <c r="G113" s="193"/>
      <c r="H113" s="192"/>
      <c r="I113" s="251" t="str">
        <f>IF(COUNTBLANK(E113:H113)=4,"",SUM(E113:G113)+IF(Setup!$I$15="No",0,H113))</f>
        <v/>
      </c>
      <c r="J113" s="192"/>
      <c r="K113" s="192"/>
      <c r="L113" s="192"/>
      <c r="M113" s="192"/>
      <c r="N113" s="255" t="str">
        <f>IF(COUNTBLANK(J113:M113)=4,"",SUM(J113:L113)+IF(Setup!$I$15="No",0,M113))</f>
        <v/>
      </c>
      <c r="O113" s="192"/>
      <c r="P113" s="192"/>
      <c r="Q113" s="192"/>
      <c r="R113" s="192"/>
      <c r="S113" s="255" t="str">
        <f>IF(COUNTBLANK(O113:R113)=4,"",SUM(O113:Q113)+IF(Setup!$I$15="No",0,R113))</f>
        <v/>
      </c>
      <c r="T113" s="192"/>
      <c r="U113" s="192"/>
      <c r="V113" s="192"/>
      <c r="W113" s="192"/>
      <c r="X113" s="255" t="str">
        <f>IF(COUNTBLANK(T113:W113)=4,"",SUM(T113:V113)+IF(Setup!$I$15="No",0,W113))</f>
        <v/>
      </c>
      <c r="Y113" s="192"/>
      <c r="Z113" s="192"/>
      <c r="AA113" s="192"/>
      <c r="AB113" s="192"/>
      <c r="AC113" s="255" t="str">
        <f>IF(COUNTBLANK(Y113:AB113)=4,"",SUM(Y113:AA113)+IF(Setup!$I$15="No",0,AB113))</f>
        <v/>
      </c>
      <c r="AD113" s="192"/>
      <c r="AE113" s="192"/>
      <c r="AF113" s="192"/>
      <c r="AG113" s="192"/>
      <c r="AH113" s="255" t="str">
        <f>IF(COUNTBLANK(AD113:AG113)=4,"",SUM(AD113:AF113)+IF(Setup!$I$15="No",0,AG113))</f>
        <v/>
      </c>
      <c r="AI113" s="192"/>
      <c r="AJ113" s="192"/>
      <c r="AK113" s="192"/>
      <c r="AL113" s="192"/>
      <c r="AM113" s="255" t="str">
        <f>IF(COUNTBLANK(AI113:AL113)=4,"",SUM(AI113:AK113)+IF(Setup!$I$15="No",0,AL113))</f>
        <v/>
      </c>
      <c r="AN113" s="192"/>
      <c r="AO113" s="192"/>
      <c r="AP113" s="192"/>
      <c r="AQ113" s="192"/>
      <c r="AR113" s="255" t="str">
        <f>IF(COUNTBLANK(AN113:AQ113)=4,"",SUM(AN113:AP113)+IF(Setup!$I$15="No",0,AQ113))</f>
        <v/>
      </c>
      <c r="AS113" s="192"/>
      <c r="AT113" s="192"/>
      <c r="AU113" s="192"/>
      <c r="AV113" s="192"/>
      <c r="AW113" s="255" t="str">
        <f>IF(COUNTBLANK(AS113:AV113)=4,"",SUM(AS113:AU113)+IF(Setup!$I$15="No",0,AV113))</f>
        <v/>
      </c>
      <c r="AX113" s="192"/>
      <c r="AY113" s="192"/>
      <c r="AZ113" s="192"/>
      <c r="BA113" s="192"/>
      <c r="BB113" s="255" t="str">
        <f>IF(COUNTBLANK(AX113:BA113)=4,"",SUM(AX113:AZ113)+IF(Setup!$I$15="No",0,BA113))</f>
        <v/>
      </c>
      <c r="BC113" s="259" t="str">
        <f ca="1">IF('Demand background (hide)'!A104=Num_Modalities,"",SUM(Demand!I113))</f>
        <v/>
      </c>
      <c r="BD113" s="259" t="str">
        <f ca="1">IF(AND(A113&lt;=MaxRows,BE113&lt;&gt;"Yes"),'Demand background (hide)'!X104+IF(Setup!$I$15="Yes",'Demand background (hide)'!AJ104,0),"")</f>
        <v/>
      </c>
      <c r="BE113" s="209"/>
    </row>
    <row r="114" spans="1:59" x14ac:dyDescent="0.25">
      <c r="A114" t="str">
        <f t="shared" ca="1" si="4"/>
        <v/>
      </c>
      <c r="B114" s="264" t="str">
        <f t="shared" ca="1" si="5"/>
        <v xml:space="preserve"> </v>
      </c>
      <c r="C114" s="265" t="str">
        <f t="shared" ca="1" si="6"/>
        <v/>
      </c>
      <c r="D114" s="352" t="str">
        <f t="shared" ca="1" si="7"/>
        <v/>
      </c>
      <c r="E114" s="192"/>
      <c r="F114" s="192"/>
      <c r="G114" s="193"/>
      <c r="H114" s="192"/>
      <c r="I114" s="251" t="str">
        <f>IF(COUNTBLANK(E114:H114)=4,"",SUM(E114:G114)+IF(Setup!$I$15="No",0,H114))</f>
        <v/>
      </c>
      <c r="J114" s="192"/>
      <c r="K114" s="192"/>
      <c r="L114" s="192"/>
      <c r="M114" s="192"/>
      <c r="N114" s="255" t="str">
        <f>IF(COUNTBLANK(J114:M114)=4,"",SUM(J114:L114)+IF(Setup!$I$15="No",0,M114))</f>
        <v/>
      </c>
      <c r="O114" s="192"/>
      <c r="P114" s="192"/>
      <c r="Q114" s="192"/>
      <c r="R114" s="192"/>
      <c r="S114" s="255" t="str">
        <f>IF(COUNTBLANK(O114:R114)=4,"",SUM(O114:Q114)+IF(Setup!$I$15="No",0,R114))</f>
        <v/>
      </c>
      <c r="T114" s="192"/>
      <c r="U114" s="192"/>
      <c r="V114" s="192"/>
      <c r="W114" s="192"/>
      <c r="X114" s="255" t="str">
        <f>IF(COUNTBLANK(T114:W114)=4,"",SUM(T114:V114)+IF(Setup!$I$15="No",0,W114))</f>
        <v/>
      </c>
      <c r="Y114" s="192"/>
      <c r="Z114" s="192"/>
      <c r="AA114" s="192"/>
      <c r="AB114" s="192"/>
      <c r="AC114" s="255" t="str">
        <f>IF(COUNTBLANK(Y114:AB114)=4,"",SUM(Y114:AA114)+IF(Setup!$I$15="No",0,AB114))</f>
        <v/>
      </c>
      <c r="AD114" s="192"/>
      <c r="AE114" s="192"/>
      <c r="AF114" s="192"/>
      <c r="AG114" s="192"/>
      <c r="AH114" s="255" t="str">
        <f>IF(COUNTBLANK(AD114:AG114)=4,"",SUM(AD114:AF114)+IF(Setup!$I$15="No",0,AG114))</f>
        <v/>
      </c>
      <c r="AI114" s="192"/>
      <c r="AJ114" s="192"/>
      <c r="AK114" s="192"/>
      <c r="AL114" s="192"/>
      <c r="AM114" s="255" t="str">
        <f>IF(COUNTBLANK(AI114:AL114)=4,"",SUM(AI114:AK114)+IF(Setup!$I$15="No",0,AL114))</f>
        <v/>
      </c>
      <c r="AN114" s="192"/>
      <c r="AO114" s="192"/>
      <c r="AP114" s="192"/>
      <c r="AQ114" s="192"/>
      <c r="AR114" s="255" t="str">
        <f>IF(COUNTBLANK(AN114:AQ114)=4,"",SUM(AN114:AP114)+IF(Setup!$I$15="No",0,AQ114))</f>
        <v/>
      </c>
      <c r="AS114" s="192"/>
      <c r="AT114" s="192"/>
      <c r="AU114" s="192"/>
      <c r="AV114" s="192"/>
      <c r="AW114" s="255" t="str">
        <f>IF(COUNTBLANK(AS114:AV114)=4,"",SUM(AS114:AU114)+IF(Setup!$I$15="No",0,AV114))</f>
        <v/>
      </c>
      <c r="AX114" s="192"/>
      <c r="AY114" s="192"/>
      <c r="AZ114" s="192"/>
      <c r="BA114" s="192"/>
      <c r="BB114" s="255" t="str">
        <f>IF(COUNTBLANK(AX114:BA114)=4,"",SUM(AX114:AZ114)+IF(Setup!$I$15="No",0,BA114))</f>
        <v/>
      </c>
      <c r="BC114" s="259" t="str">
        <f ca="1">IF('Demand background (hide)'!A105=Num_Modalities,"",SUM(Demand!I114))</f>
        <v/>
      </c>
      <c r="BD114" s="259" t="str">
        <f ca="1">IF(AND(A114&lt;=MaxRows,BE114&lt;&gt;"Yes"),'Demand background (hide)'!X105+IF(Setup!$I$15="Yes",'Demand background (hide)'!AJ105,0),"")</f>
        <v/>
      </c>
      <c r="BE114" s="209"/>
    </row>
    <row r="115" spans="1:59" x14ac:dyDescent="0.25">
      <c r="A115" t="str">
        <f t="shared" ca="1" si="4"/>
        <v/>
      </c>
      <c r="B115" s="264" t="str">
        <f t="shared" ca="1" si="5"/>
        <v xml:space="preserve"> </v>
      </c>
      <c r="C115" s="265" t="str">
        <f t="shared" ca="1" si="6"/>
        <v/>
      </c>
      <c r="D115" s="352" t="str">
        <f t="shared" ca="1" si="7"/>
        <v/>
      </c>
      <c r="E115" s="192"/>
      <c r="F115" s="192"/>
      <c r="G115" s="193"/>
      <c r="H115" s="192"/>
      <c r="I115" s="251" t="str">
        <f>IF(COUNTBLANK(E115:H115)=4,"",SUM(E115:G115)+IF(Setup!$I$15="No",0,H115))</f>
        <v/>
      </c>
      <c r="J115" s="192"/>
      <c r="K115" s="192"/>
      <c r="L115" s="192"/>
      <c r="M115" s="192"/>
      <c r="N115" s="255" t="str">
        <f>IF(COUNTBLANK(J115:M115)=4,"",SUM(J115:L115)+IF(Setup!$I$15="No",0,M115))</f>
        <v/>
      </c>
      <c r="O115" s="192"/>
      <c r="P115" s="192"/>
      <c r="Q115" s="192"/>
      <c r="R115" s="192"/>
      <c r="S115" s="255" t="str">
        <f>IF(COUNTBLANK(O115:R115)=4,"",SUM(O115:Q115)+IF(Setup!$I$15="No",0,R115))</f>
        <v/>
      </c>
      <c r="T115" s="192"/>
      <c r="U115" s="192"/>
      <c r="V115" s="192"/>
      <c r="W115" s="192"/>
      <c r="X115" s="255" t="str">
        <f>IF(COUNTBLANK(T115:W115)=4,"",SUM(T115:V115)+IF(Setup!$I$15="No",0,W115))</f>
        <v/>
      </c>
      <c r="Y115" s="192"/>
      <c r="Z115" s="192"/>
      <c r="AA115" s="192"/>
      <c r="AB115" s="192"/>
      <c r="AC115" s="255" t="str">
        <f>IF(COUNTBLANK(Y115:AB115)=4,"",SUM(Y115:AA115)+IF(Setup!$I$15="No",0,AB115))</f>
        <v/>
      </c>
      <c r="AD115" s="192"/>
      <c r="AE115" s="192"/>
      <c r="AF115" s="192"/>
      <c r="AG115" s="192"/>
      <c r="AH115" s="255" t="str">
        <f>IF(COUNTBLANK(AD115:AG115)=4,"",SUM(AD115:AF115)+IF(Setup!$I$15="No",0,AG115))</f>
        <v/>
      </c>
      <c r="AI115" s="192"/>
      <c r="AJ115" s="192"/>
      <c r="AK115" s="192"/>
      <c r="AL115" s="192"/>
      <c r="AM115" s="255" t="str">
        <f>IF(COUNTBLANK(AI115:AL115)=4,"",SUM(AI115:AK115)+IF(Setup!$I$15="No",0,AL115))</f>
        <v/>
      </c>
      <c r="AN115" s="192"/>
      <c r="AO115" s="192"/>
      <c r="AP115" s="192"/>
      <c r="AQ115" s="192"/>
      <c r="AR115" s="255" t="str">
        <f>IF(COUNTBLANK(AN115:AQ115)=4,"",SUM(AN115:AP115)+IF(Setup!$I$15="No",0,AQ115))</f>
        <v/>
      </c>
      <c r="AS115" s="192"/>
      <c r="AT115" s="192"/>
      <c r="AU115" s="192"/>
      <c r="AV115" s="192"/>
      <c r="AW115" s="255" t="str">
        <f>IF(COUNTBLANK(AS115:AV115)=4,"",SUM(AS115:AU115)+IF(Setup!$I$15="No",0,AV115))</f>
        <v/>
      </c>
      <c r="AX115" s="192"/>
      <c r="AY115" s="192"/>
      <c r="AZ115" s="192"/>
      <c r="BA115" s="192"/>
      <c r="BB115" s="255" t="str">
        <f>IF(COUNTBLANK(AX115:BA115)=4,"",SUM(AX115:AZ115)+IF(Setup!$I$15="No",0,BA115))</f>
        <v/>
      </c>
      <c r="BC115" s="259" t="str">
        <f ca="1">IF('Demand background (hide)'!A106=Num_Modalities,"",SUM(Demand!I115))</f>
        <v/>
      </c>
      <c r="BD115" s="259" t="str">
        <f ca="1">IF(AND(A115&lt;=MaxRows,BE115&lt;&gt;"Yes"),'Demand background (hide)'!X106+IF(Setup!$I$15="Yes",'Demand background (hide)'!AJ106,0),"")</f>
        <v/>
      </c>
      <c r="BE115" s="209"/>
    </row>
    <row r="116" spans="1:59" x14ac:dyDescent="0.25">
      <c r="A116" t="str">
        <f t="shared" ca="1" si="4"/>
        <v/>
      </c>
      <c r="B116" s="264" t="str">
        <f t="shared" ca="1" si="5"/>
        <v xml:space="preserve"> </v>
      </c>
      <c r="C116" s="265" t="str">
        <f t="shared" ca="1" si="6"/>
        <v/>
      </c>
      <c r="D116" s="352" t="str">
        <f t="shared" ca="1" si="7"/>
        <v/>
      </c>
      <c r="E116" s="192"/>
      <c r="F116" s="192"/>
      <c r="G116" s="193"/>
      <c r="H116" s="192"/>
      <c r="I116" s="251" t="str">
        <f>IF(COUNTBLANK(E116:H116)=4,"",SUM(E116:G116)+IF(Setup!$I$15="No",0,H116))</f>
        <v/>
      </c>
      <c r="J116" s="192"/>
      <c r="K116" s="192"/>
      <c r="L116" s="192"/>
      <c r="M116" s="192"/>
      <c r="N116" s="255" t="str">
        <f>IF(COUNTBLANK(J116:M116)=4,"",SUM(J116:L116)+IF(Setup!$I$15="No",0,M116))</f>
        <v/>
      </c>
      <c r="O116" s="192"/>
      <c r="P116" s="192"/>
      <c r="Q116" s="192"/>
      <c r="R116" s="192"/>
      <c r="S116" s="255" t="str">
        <f>IF(COUNTBLANK(O116:R116)=4,"",SUM(O116:Q116)+IF(Setup!$I$15="No",0,R116))</f>
        <v/>
      </c>
      <c r="T116" s="192"/>
      <c r="U116" s="192"/>
      <c r="V116" s="192"/>
      <c r="W116" s="192"/>
      <c r="X116" s="255" t="str">
        <f>IF(COUNTBLANK(T116:W116)=4,"",SUM(T116:V116)+IF(Setup!$I$15="No",0,W116))</f>
        <v/>
      </c>
      <c r="Y116" s="192"/>
      <c r="Z116" s="192"/>
      <c r="AA116" s="192"/>
      <c r="AB116" s="192"/>
      <c r="AC116" s="255" t="str">
        <f>IF(COUNTBLANK(Y116:AB116)=4,"",SUM(Y116:AA116)+IF(Setup!$I$15="No",0,AB116))</f>
        <v/>
      </c>
      <c r="AD116" s="192"/>
      <c r="AE116" s="192"/>
      <c r="AF116" s="192"/>
      <c r="AG116" s="192"/>
      <c r="AH116" s="255" t="str">
        <f>IF(COUNTBLANK(AD116:AG116)=4,"",SUM(AD116:AF116)+IF(Setup!$I$15="No",0,AG116))</f>
        <v/>
      </c>
      <c r="AI116" s="192"/>
      <c r="AJ116" s="192"/>
      <c r="AK116" s="192"/>
      <c r="AL116" s="192"/>
      <c r="AM116" s="255" t="str">
        <f>IF(COUNTBLANK(AI116:AL116)=4,"",SUM(AI116:AK116)+IF(Setup!$I$15="No",0,AL116))</f>
        <v/>
      </c>
      <c r="AN116" s="192"/>
      <c r="AO116" s="192"/>
      <c r="AP116" s="192"/>
      <c r="AQ116" s="192"/>
      <c r="AR116" s="255" t="str">
        <f>IF(COUNTBLANK(AN116:AQ116)=4,"",SUM(AN116:AP116)+IF(Setup!$I$15="No",0,AQ116))</f>
        <v/>
      </c>
      <c r="AS116" s="192"/>
      <c r="AT116" s="192"/>
      <c r="AU116" s="192"/>
      <c r="AV116" s="192"/>
      <c r="AW116" s="255" t="str">
        <f>IF(COUNTBLANK(AS116:AV116)=4,"",SUM(AS116:AU116)+IF(Setup!$I$15="No",0,AV116))</f>
        <v/>
      </c>
      <c r="AX116" s="192"/>
      <c r="AY116" s="192"/>
      <c r="AZ116" s="192"/>
      <c r="BA116" s="192"/>
      <c r="BB116" s="255" t="str">
        <f>IF(COUNTBLANK(AX116:BA116)=4,"",SUM(AX116:AZ116)+IF(Setup!$I$15="No",0,BA116))</f>
        <v/>
      </c>
      <c r="BC116" s="259" t="str">
        <f ca="1">IF('Demand background (hide)'!A107=Num_Modalities,"",SUM(Demand!I116))</f>
        <v/>
      </c>
      <c r="BD116" s="259" t="str">
        <f ca="1">IF(AND(A116&lt;=MaxRows,BE116&lt;&gt;"Yes"),'Demand background (hide)'!X107+IF(Setup!$I$15="Yes",'Demand background (hide)'!AJ107,0),"")</f>
        <v/>
      </c>
      <c r="BE116" s="209"/>
    </row>
    <row r="117" spans="1:59" x14ac:dyDescent="0.25">
      <c r="A117" t="str">
        <f t="shared" ca="1" si="4"/>
        <v/>
      </c>
      <c r="B117" s="264" t="str">
        <f t="shared" ca="1" si="5"/>
        <v xml:space="preserve"> </v>
      </c>
      <c r="C117" s="265" t="str">
        <f t="shared" ca="1" si="6"/>
        <v/>
      </c>
      <c r="D117" s="352" t="str">
        <f t="shared" ca="1" si="7"/>
        <v/>
      </c>
      <c r="E117" s="192"/>
      <c r="F117" s="192"/>
      <c r="G117" s="192"/>
      <c r="H117" s="192"/>
      <c r="I117" s="251" t="str">
        <f>IF(COUNTBLANK(E117:H117)=4,"",SUM(E117:G117)+IF(Setup!$I$15="No",0,H117))</f>
        <v/>
      </c>
      <c r="J117" s="192"/>
      <c r="K117" s="192"/>
      <c r="L117" s="192"/>
      <c r="M117" s="192"/>
      <c r="N117" s="255" t="str">
        <f>IF(COUNTBLANK(J117:M117)=4,"",SUM(J117:L117)+IF(Setup!$I$15="No",0,M117))</f>
        <v/>
      </c>
      <c r="O117" s="192"/>
      <c r="P117" s="192"/>
      <c r="Q117" s="192"/>
      <c r="R117" s="192"/>
      <c r="S117" s="255" t="str">
        <f>IF(COUNTBLANK(O117:R117)=4,"",SUM(O117:Q117)+IF(Setup!$I$15="No",0,R117))</f>
        <v/>
      </c>
      <c r="T117" s="192"/>
      <c r="U117" s="192"/>
      <c r="V117" s="192"/>
      <c r="W117" s="192"/>
      <c r="X117" s="255" t="str">
        <f>IF(COUNTBLANK(T117:W117)=4,"",SUM(T117:V117)+IF(Setup!$I$15="No",0,W117))</f>
        <v/>
      </c>
      <c r="Y117" s="192"/>
      <c r="Z117" s="192"/>
      <c r="AA117" s="192"/>
      <c r="AB117" s="192"/>
      <c r="AC117" s="255" t="str">
        <f>IF(COUNTBLANK(Y117:AB117)=4,"",SUM(Y117:AA117)+IF(Setup!$I$15="No",0,AB117))</f>
        <v/>
      </c>
      <c r="AD117" s="192"/>
      <c r="AE117" s="192"/>
      <c r="AF117" s="192"/>
      <c r="AG117" s="192"/>
      <c r="AH117" s="255" t="str">
        <f>IF(COUNTBLANK(AD117:AG117)=4,"",SUM(AD117:AF117)+IF(Setup!$I$15="No",0,AG117))</f>
        <v/>
      </c>
      <c r="AI117" s="192"/>
      <c r="AJ117" s="192"/>
      <c r="AK117" s="192"/>
      <c r="AL117" s="192"/>
      <c r="AM117" s="255" t="str">
        <f>IF(COUNTBLANK(AI117:AL117)=4,"",SUM(AI117:AK117)+IF(Setup!$I$15="No",0,AL117))</f>
        <v/>
      </c>
      <c r="AN117" s="192"/>
      <c r="AO117" s="192"/>
      <c r="AP117" s="192"/>
      <c r="AQ117" s="192"/>
      <c r="AR117" s="255" t="str">
        <f>IF(COUNTBLANK(AN117:AQ117)=4,"",SUM(AN117:AP117)+IF(Setup!$I$15="No",0,AQ117))</f>
        <v/>
      </c>
      <c r="AS117" s="192"/>
      <c r="AT117" s="192"/>
      <c r="AU117" s="192"/>
      <c r="AV117" s="192"/>
      <c r="AW117" s="255" t="str">
        <f>IF(COUNTBLANK(AS117:AV117)=4,"",SUM(AS117:AU117)+IF(Setup!$I$15="No",0,AV117))</f>
        <v/>
      </c>
      <c r="AX117" s="192"/>
      <c r="AY117" s="192"/>
      <c r="AZ117" s="192"/>
      <c r="BA117" s="192"/>
      <c r="BB117" s="255" t="str">
        <f>IF(COUNTBLANK(AX117:BA117)=4,"",SUM(AX117:AZ117)+IF(Setup!$I$15="No",0,BA117))</f>
        <v/>
      </c>
      <c r="BC117" s="259" t="str">
        <f ca="1">IF('Demand background (hide)'!A108=Num_Modalities,"",SUM(Demand!I117))</f>
        <v/>
      </c>
      <c r="BD117" s="259" t="str">
        <f ca="1">IF(AND(A117&lt;=MaxRows,BE117&lt;&gt;"Yes"),'Demand background (hide)'!X108+IF(Setup!$I$15="Yes",'Demand background (hide)'!AJ108,0),"")</f>
        <v/>
      </c>
      <c r="BE117" s="209"/>
      <c r="BG117" s="50"/>
    </row>
    <row r="118" spans="1:59" x14ac:dyDescent="0.25">
      <c r="A118" t="str">
        <f t="shared" ca="1" si="4"/>
        <v/>
      </c>
      <c r="B118" s="264" t="str">
        <f t="shared" ca="1" si="5"/>
        <v xml:space="preserve"> </v>
      </c>
      <c r="C118" s="265" t="str">
        <f t="shared" ca="1" si="6"/>
        <v/>
      </c>
      <c r="D118" s="352" t="str">
        <f t="shared" ca="1" si="7"/>
        <v/>
      </c>
      <c r="E118" s="192"/>
      <c r="F118" s="192"/>
      <c r="G118" s="192"/>
      <c r="H118" s="192"/>
      <c r="I118" s="251" t="str">
        <f>IF(COUNTBLANK(E118:H118)=4,"",SUM(E118:G118)+IF(Setup!$I$15="No",0,H118))</f>
        <v/>
      </c>
      <c r="J118" s="192"/>
      <c r="K118" s="192"/>
      <c r="L118" s="192"/>
      <c r="M118" s="192"/>
      <c r="N118" s="255" t="str">
        <f>IF(COUNTBLANK(J118:M118)=4,"",SUM(J118:L118)+IF(Setup!$I$15="No",0,M118))</f>
        <v/>
      </c>
      <c r="O118" s="192"/>
      <c r="P118" s="192"/>
      <c r="Q118" s="192"/>
      <c r="R118" s="192"/>
      <c r="S118" s="255" t="str">
        <f>IF(COUNTBLANK(O118:R118)=4,"",SUM(O118:Q118)+IF(Setup!$I$15="No",0,R118))</f>
        <v/>
      </c>
      <c r="T118" s="192"/>
      <c r="U118" s="192"/>
      <c r="V118" s="192"/>
      <c r="W118" s="192"/>
      <c r="X118" s="255" t="str">
        <f>IF(COUNTBLANK(T118:W118)=4,"",SUM(T118:V118)+IF(Setup!$I$15="No",0,W118))</f>
        <v/>
      </c>
      <c r="Y118" s="192"/>
      <c r="Z118" s="192"/>
      <c r="AA118" s="192"/>
      <c r="AB118" s="192"/>
      <c r="AC118" s="255" t="str">
        <f>IF(COUNTBLANK(Y118:AB118)=4,"",SUM(Y118:AA118)+IF(Setup!$I$15="No",0,AB118))</f>
        <v/>
      </c>
      <c r="AD118" s="192"/>
      <c r="AE118" s="192"/>
      <c r="AF118" s="192"/>
      <c r="AG118" s="192"/>
      <c r="AH118" s="255" t="str">
        <f>IF(COUNTBLANK(AD118:AG118)=4,"",SUM(AD118:AF118)+IF(Setup!$I$15="No",0,AG118))</f>
        <v/>
      </c>
      <c r="AI118" s="192"/>
      <c r="AJ118" s="192"/>
      <c r="AK118" s="192"/>
      <c r="AL118" s="192"/>
      <c r="AM118" s="255" t="str">
        <f>IF(COUNTBLANK(AI118:AL118)=4,"",SUM(AI118:AK118)+IF(Setup!$I$15="No",0,AL118))</f>
        <v/>
      </c>
      <c r="AN118" s="192"/>
      <c r="AO118" s="192"/>
      <c r="AP118" s="192"/>
      <c r="AQ118" s="192"/>
      <c r="AR118" s="255" t="str">
        <f>IF(COUNTBLANK(AN118:AQ118)=4,"",SUM(AN118:AP118)+IF(Setup!$I$15="No",0,AQ118))</f>
        <v/>
      </c>
      <c r="AS118" s="192"/>
      <c r="AT118" s="192"/>
      <c r="AU118" s="192"/>
      <c r="AV118" s="192"/>
      <c r="AW118" s="255" t="str">
        <f>IF(COUNTBLANK(AS118:AV118)=4,"",SUM(AS118:AU118)+IF(Setup!$I$15="No",0,AV118))</f>
        <v/>
      </c>
      <c r="AX118" s="192"/>
      <c r="AY118" s="192"/>
      <c r="AZ118" s="192"/>
      <c r="BA118" s="192"/>
      <c r="BB118" s="255" t="str">
        <f>IF(COUNTBLANK(AX118:BA118)=4,"",SUM(AX118:AZ118)+IF(Setup!$I$15="No",0,BA118))</f>
        <v/>
      </c>
      <c r="BC118" s="259" t="str">
        <f ca="1">IF('Demand background (hide)'!A109=Num_Modalities,"",SUM(Demand!I118))</f>
        <v/>
      </c>
      <c r="BD118" s="259" t="str">
        <f ca="1">IF(AND(A118&lt;=MaxRows,BE118&lt;&gt;"Yes"),'Demand background (hide)'!X109+IF(Setup!$I$15="Yes",'Demand background (hide)'!AJ109,0),"")</f>
        <v/>
      </c>
      <c r="BE118" s="209"/>
    </row>
    <row r="119" spans="1:59" x14ac:dyDescent="0.25">
      <c r="A119" t="str">
        <f t="shared" ca="1" si="4"/>
        <v/>
      </c>
      <c r="B119" s="264" t="str">
        <f t="shared" ca="1" si="5"/>
        <v xml:space="preserve"> </v>
      </c>
      <c r="C119" s="265" t="str">
        <f t="shared" ca="1" si="6"/>
        <v/>
      </c>
      <c r="D119" s="352" t="str">
        <f t="shared" ca="1" si="7"/>
        <v/>
      </c>
      <c r="E119" s="192"/>
      <c r="F119" s="192"/>
      <c r="G119" s="192"/>
      <c r="H119" s="192"/>
      <c r="I119" s="251" t="str">
        <f>IF(COUNTBLANK(E119:H119)=4,"",SUM(E119:G119)+IF(Setup!$I$15="No",0,H119))</f>
        <v/>
      </c>
      <c r="J119" s="192"/>
      <c r="K119" s="192"/>
      <c r="L119" s="192"/>
      <c r="M119" s="192"/>
      <c r="N119" s="255" t="str">
        <f>IF(COUNTBLANK(J119:M119)=4,"",SUM(J119:L119)+IF(Setup!$I$15="No",0,M119))</f>
        <v/>
      </c>
      <c r="O119" s="192"/>
      <c r="P119" s="192"/>
      <c r="Q119" s="192"/>
      <c r="R119" s="192"/>
      <c r="S119" s="255" t="str">
        <f>IF(COUNTBLANK(O119:R119)=4,"",SUM(O119:Q119)+IF(Setup!$I$15="No",0,R119))</f>
        <v/>
      </c>
      <c r="T119" s="192"/>
      <c r="U119" s="192"/>
      <c r="V119" s="192"/>
      <c r="W119" s="192"/>
      <c r="X119" s="255" t="str">
        <f>IF(COUNTBLANK(T119:W119)=4,"",SUM(T119:V119)+IF(Setup!$I$15="No",0,W119))</f>
        <v/>
      </c>
      <c r="Y119" s="192"/>
      <c r="Z119" s="192"/>
      <c r="AA119" s="192"/>
      <c r="AB119" s="192"/>
      <c r="AC119" s="255" t="str">
        <f>IF(COUNTBLANK(Y119:AB119)=4,"",SUM(Y119:AA119)+IF(Setup!$I$15="No",0,AB119))</f>
        <v/>
      </c>
      <c r="AD119" s="192"/>
      <c r="AE119" s="192"/>
      <c r="AF119" s="192"/>
      <c r="AG119" s="192"/>
      <c r="AH119" s="255" t="str">
        <f>IF(COUNTBLANK(AD119:AG119)=4,"",SUM(AD119:AF119)+IF(Setup!$I$15="No",0,AG119))</f>
        <v/>
      </c>
      <c r="AI119" s="192"/>
      <c r="AJ119" s="192"/>
      <c r="AK119" s="192"/>
      <c r="AL119" s="192"/>
      <c r="AM119" s="255" t="str">
        <f>IF(COUNTBLANK(AI119:AL119)=4,"",SUM(AI119:AK119)+IF(Setup!$I$15="No",0,AL119))</f>
        <v/>
      </c>
      <c r="AN119" s="192"/>
      <c r="AO119" s="192"/>
      <c r="AP119" s="192"/>
      <c r="AQ119" s="192"/>
      <c r="AR119" s="255" t="str">
        <f>IF(COUNTBLANK(AN119:AQ119)=4,"",SUM(AN119:AP119)+IF(Setup!$I$15="No",0,AQ119))</f>
        <v/>
      </c>
      <c r="AS119" s="192"/>
      <c r="AT119" s="192"/>
      <c r="AU119" s="192"/>
      <c r="AV119" s="192"/>
      <c r="AW119" s="255" t="str">
        <f>IF(COUNTBLANK(AS119:AV119)=4,"",SUM(AS119:AU119)+IF(Setup!$I$15="No",0,AV119))</f>
        <v/>
      </c>
      <c r="AX119" s="192"/>
      <c r="AY119" s="192"/>
      <c r="AZ119" s="192"/>
      <c r="BA119" s="192"/>
      <c r="BB119" s="255" t="str">
        <f>IF(COUNTBLANK(AX119:BA119)=4,"",SUM(AX119:AZ119)+IF(Setup!$I$15="No",0,BA119))</f>
        <v/>
      </c>
      <c r="BC119" s="259" t="str">
        <f ca="1">IF('Demand background (hide)'!A110=Num_Modalities,"",SUM(Demand!I119))</f>
        <v/>
      </c>
      <c r="BD119" s="259" t="str">
        <f ca="1">IF(AND(A119&lt;=MaxRows,BE119&lt;&gt;"Yes"),'Demand background (hide)'!X110+IF(Setup!$I$15="Yes",'Demand background (hide)'!AJ110,0),"")</f>
        <v/>
      </c>
      <c r="BE119" s="209"/>
    </row>
    <row r="120" spans="1:59" x14ac:dyDescent="0.25">
      <c r="A120" t="str">
        <f t="shared" ca="1" si="4"/>
        <v/>
      </c>
      <c r="B120" s="264" t="str">
        <f t="shared" ca="1" si="5"/>
        <v xml:space="preserve"> </v>
      </c>
      <c r="C120" s="265" t="str">
        <f t="shared" ca="1" si="6"/>
        <v/>
      </c>
      <c r="D120" s="352" t="str">
        <f t="shared" ca="1" si="7"/>
        <v/>
      </c>
      <c r="E120" s="192"/>
      <c r="F120" s="192"/>
      <c r="G120" s="192"/>
      <c r="H120" s="192"/>
      <c r="I120" s="251" t="str">
        <f>IF(COUNTBLANK(E120:H120)=4,"",SUM(E120:G120)+IF(Setup!$I$15="No",0,H120))</f>
        <v/>
      </c>
      <c r="J120" s="192"/>
      <c r="K120" s="192"/>
      <c r="L120" s="192"/>
      <c r="M120" s="192"/>
      <c r="N120" s="255" t="str">
        <f>IF(COUNTBLANK(J120:M120)=4,"",SUM(J120:L120)+IF(Setup!$I$15="No",0,M120))</f>
        <v/>
      </c>
      <c r="O120" s="192"/>
      <c r="P120" s="192"/>
      <c r="Q120" s="192"/>
      <c r="R120" s="192"/>
      <c r="S120" s="255" t="str">
        <f>IF(COUNTBLANK(O120:R120)=4,"",SUM(O120:Q120)+IF(Setup!$I$15="No",0,R120))</f>
        <v/>
      </c>
      <c r="T120" s="192"/>
      <c r="U120" s="192"/>
      <c r="V120" s="192"/>
      <c r="W120" s="192"/>
      <c r="X120" s="255" t="str">
        <f>IF(COUNTBLANK(T120:W120)=4,"",SUM(T120:V120)+IF(Setup!$I$15="No",0,W120))</f>
        <v/>
      </c>
      <c r="Y120" s="192"/>
      <c r="Z120" s="192"/>
      <c r="AA120" s="192"/>
      <c r="AB120" s="192"/>
      <c r="AC120" s="255" t="str">
        <f>IF(COUNTBLANK(Y120:AB120)=4,"",SUM(Y120:AA120)+IF(Setup!$I$15="No",0,AB120))</f>
        <v/>
      </c>
      <c r="AD120" s="192"/>
      <c r="AE120" s="192"/>
      <c r="AF120" s="192"/>
      <c r="AG120" s="192"/>
      <c r="AH120" s="255" t="str">
        <f>IF(COUNTBLANK(AD120:AG120)=4,"",SUM(AD120:AF120)+IF(Setup!$I$15="No",0,AG120))</f>
        <v/>
      </c>
      <c r="AI120" s="192"/>
      <c r="AJ120" s="192"/>
      <c r="AK120" s="192"/>
      <c r="AL120" s="192"/>
      <c r="AM120" s="255" t="str">
        <f>IF(COUNTBLANK(AI120:AL120)=4,"",SUM(AI120:AK120)+IF(Setup!$I$15="No",0,AL120))</f>
        <v/>
      </c>
      <c r="AN120" s="192"/>
      <c r="AO120" s="192"/>
      <c r="AP120" s="192"/>
      <c r="AQ120" s="192"/>
      <c r="AR120" s="255" t="str">
        <f>IF(COUNTBLANK(AN120:AQ120)=4,"",SUM(AN120:AP120)+IF(Setup!$I$15="No",0,AQ120))</f>
        <v/>
      </c>
      <c r="AS120" s="192"/>
      <c r="AT120" s="192"/>
      <c r="AU120" s="192"/>
      <c r="AV120" s="192"/>
      <c r="AW120" s="255" t="str">
        <f>IF(COUNTBLANK(AS120:AV120)=4,"",SUM(AS120:AU120)+IF(Setup!$I$15="No",0,AV120))</f>
        <v/>
      </c>
      <c r="AX120" s="192"/>
      <c r="AY120" s="192"/>
      <c r="AZ120" s="192"/>
      <c r="BA120" s="192"/>
      <c r="BB120" s="255" t="str">
        <f>IF(COUNTBLANK(AX120:BA120)=4,"",SUM(AX120:AZ120)+IF(Setup!$I$15="No",0,BA120))</f>
        <v/>
      </c>
      <c r="BC120" s="259" t="str">
        <f ca="1">IF('Demand background (hide)'!A111=Num_Modalities,"",SUM(Demand!I120))</f>
        <v/>
      </c>
      <c r="BD120" s="259" t="str">
        <f ca="1">IF(AND(A120&lt;=MaxRows,BE120&lt;&gt;"Yes"),'Demand background (hide)'!X111+IF(Setup!$I$15="Yes",'Demand background (hide)'!AJ111,0),"")</f>
        <v/>
      </c>
      <c r="BE120" s="209"/>
    </row>
    <row r="121" spans="1:59" x14ac:dyDescent="0.25">
      <c r="A121" t="str">
        <f t="shared" ca="1" si="4"/>
        <v/>
      </c>
      <c r="B121" s="264" t="str">
        <f t="shared" ca="1" si="5"/>
        <v xml:space="preserve"> </v>
      </c>
      <c r="C121" s="265" t="str">
        <f t="shared" ca="1" si="6"/>
        <v/>
      </c>
      <c r="D121" s="352" t="str">
        <f t="shared" ca="1" si="7"/>
        <v/>
      </c>
      <c r="E121" s="192"/>
      <c r="F121" s="192"/>
      <c r="G121" s="192"/>
      <c r="H121" s="192"/>
      <c r="I121" s="251" t="str">
        <f>IF(COUNTBLANK(E121:H121)=4,"",SUM(E121:G121)+IF(Setup!$I$15="No",0,H121))</f>
        <v/>
      </c>
      <c r="J121" s="192"/>
      <c r="K121" s="192"/>
      <c r="L121" s="192"/>
      <c r="M121" s="192"/>
      <c r="N121" s="255" t="str">
        <f>IF(COUNTBLANK(J121:M121)=4,"",SUM(J121:L121)+IF(Setup!$I$15="No",0,M121))</f>
        <v/>
      </c>
      <c r="O121" s="192"/>
      <c r="P121" s="192"/>
      <c r="Q121" s="192"/>
      <c r="R121" s="192"/>
      <c r="S121" s="255" t="str">
        <f>IF(COUNTBLANK(O121:R121)=4,"",SUM(O121:Q121)+IF(Setup!$I$15="No",0,R121))</f>
        <v/>
      </c>
      <c r="T121" s="192"/>
      <c r="U121" s="192"/>
      <c r="V121" s="192"/>
      <c r="W121" s="192"/>
      <c r="X121" s="255" t="str">
        <f>IF(COUNTBLANK(T121:W121)=4,"",SUM(T121:V121)+IF(Setup!$I$15="No",0,W121))</f>
        <v/>
      </c>
      <c r="Y121" s="192"/>
      <c r="Z121" s="192"/>
      <c r="AA121" s="192"/>
      <c r="AB121" s="192"/>
      <c r="AC121" s="255" t="str">
        <f>IF(COUNTBLANK(Y121:AB121)=4,"",SUM(Y121:AA121)+IF(Setup!$I$15="No",0,AB121))</f>
        <v/>
      </c>
      <c r="AD121" s="192"/>
      <c r="AE121" s="192"/>
      <c r="AF121" s="192"/>
      <c r="AG121" s="192"/>
      <c r="AH121" s="255" t="str">
        <f>IF(COUNTBLANK(AD121:AG121)=4,"",SUM(AD121:AF121)+IF(Setup!$I$15="No",0,AG121))</f>
        <v/>
      </c>
      <c r="AI121" s="192"/>
      <c r="AJ121" s="192"/>
      <c r="AK121" s="192"/>
      <c r="AL121" s="192"/>
      <c r="AM121" s="255" t="str">
        <f>IF(COUNTBLANK(AI121:AL121)=4,"",SUM(AI121:AK121)+IF(Setup!$I$15="No",0,AL121))</f>
        <v/>
      </c>
      <c r="AN121" s="192"/>
      <c r="AO121" s="192"/>
      <c r="AP121" s="192"/>
      <c r="AQ121" s="192"/>
      <c r="AR121" s="255" t="str">
        <f>IF(COUNTBLANK(AN121:AQ121)=4,"",SUM(AN121:AP121)+IF(Setup!$I$15="No",0,AQ121))</f>
        <v/>
      </c>
      <c r="AS121" s="192"/>
      <c r="AT121" s="192"/>
      <c r="AU121" s="192"/>
      <c r="AV121" s="192"/>
      <c r="AW121" s="255" t="str">
        <f>IF(COUNTBLANK(AS121:AV121)=4,"",SUM(AS121:AU121)+IF(Setup!$I$15="No",0,AV121))</f>
        <v/>
      </c>
      <c r="AX121" s="192"/>
      <c r="AY121" s="192"/>
      <c r="AZ121" s="192"/>
      <c r="BA121" s="192"/>
      <c r="BB121" s="255" t="str">
        <f>IF(COUNTBLANK(AX121:BA121)=4,"",SUM(AX121:AZ121)+IF(Setup!$I$15="No",0,BA121))</f>
        <v/>
      </c>
      <c r="BC121" s="259" t="str">
        <f ca="1">IF('Demand background (hide)'!A112=Num_Modalities,"",SUM(Demand!I121))</f>
        <v/>
      </c>
      <c r="BD121" s="259" t="str">
        <f ca="1">IF(AND(A121&lt;=MaxRows,BE121&lt;&gt;"Yes"),'Demand background (hide)'!X112+IF(Setup!$I$15="Yes",'Demand background (hide)'!AJ112,0),"")</f>
        <v/>
      </c>
      <c r="BE121" s="209"/>
    </row>
    <row r="122" spans="1:59" x14ac:dyDescent="0.25">
      <c r="A122" t="str">
        <f t="shared" ca="1" si="4"/>
        <v/>
      </c>
      <c r="B122" s="264" t="str">
        <f t="shared" ca="1" si="5"/>
        <v xml:space="preserve"> </v>
      </c>
      <c r="C122" s="265" t="str">
        <f t="shared" ca="1" si="6"/>
        <v/>
      </c>
      <c r="D122" s="352" t="str">
        <f t="shared" ca="1" si="7"/>
        <v/>
      </c>
      <c r="E122" s="192"/>
      <c r="F122" s="192"/>
      <c r="G122" s="192"/>
      <c r="H122" s="192"/>
      <c r="I122" s="251" t="str">
        <f>IF(COUNTBLANK(E122:H122)=4,"",SUM(E122:G122)+IF(Setup!$I$15="No",0,H122))</f>
        <v/>
      </c>
      <c r="J122" s="192"/>
      <c r="K122" s="192"/>
      <c r="L122" s="192"/>
      <c r="M122" s="192"/>
      <c r="N122" s="255" t="str">
        <f>IF(COUNTBLANK(J122:M122)=4,"",SUM(J122:L122)+IF(Setup!$I$15="No",0,M122))</f>
        <v/>
      </c>
      <c r="O122" s="192"/>
      <c r="P122" s="192"/>
      <c r="Q122" s="192"/>
      <c r="R122" s="192"/>
      <c r="S122" s="255" t="str">
        <f>IF(COUNTBLANK(O122:R122)=4,"",SUM(O122:Q122)+IF(Setup!$I$15="No",0,R122))</f>
        <v/>
      </c>
      <c r="T122" s="192"/>
      <c r="U122" s="192"/>
      <c r="V122" s="192"/>
      <c r="W122" s="192"/>
      <c r="X122" s="255" t="str">
        <f>IF(COUNTBLANK(T122:W122)=4,"",SUM(T122:V122)+IF(Setup!$I$15="No",0,W122))</f>
        <v/>
      </c>
      <c r="Y122" s="192"/>
      <c r="Z122" s="192"/>
      <c r="AA122" s="192"/>
      <c r="AB122" s="192"/>
      <c r="AC122" s="255" t="str">
        <f>IF(COUNTBLANK(Y122:AB122)=4,"",SUM(Y122:AA122)+IF(Setup!$I$15="No",0,AB122))</f>
        <v/>
      </c>
      <c r="AD122" s="192"/>
      <c r="AE122" s="192"/>
      <c r="AF122" s="192"/>
      <c r="AG122" s="192"/>
      <c r="AH122" s="255" t="str">
        <f>IF(COUNTBLANK(AD122:AG122)=4,"",SUM(AD122:AF122)+IF(Setup!$I$15="No",0,AG122))</f>
        <v/>
      </c>
      <c r="AI122" s="192"/>
      <c r="AJ122" s="192"/>
      <c r="AK122" s="192"/>
      <c r="AL122" s="192"/>
      <c r="AM122" s="255" t="str">
        <f>IF(COUNTBLANK(AI122:AL122)=4,"",SUM(AI122:AK122)+IF(Setup!$I$15="No",0,AL122))</f>
        <v/>
      </c>
      <c r="AN122" s="192"/>
      <c r="AO122" s="192"/>
      <c r="AP122" s="192"/>
      <c r="AQ122" s="192"/>
      <c r="AR122" s="255" t="str">
        <f>IF(COUNTBLANK(AN122:AQ122)=4,"",SUM(AN122:AP122)+IF(Setup!$I$15="No",0,AQ122))</f>
        <v/>
      </c>
      <c r="AS122" s="192"/>
      <c r="AT122" s="192"/>
      <c r="AU122" s="192"/>
      <c r="AV122" s="192"/>
      <c r="AW122" s="255" t="str">
        <f>IF(COUNTBLANK(AS122:AV122)=4,"",SUM(AS122:AU122)+IF(Setup!$I$15="No",0,AV122))</f>
        <v/>
      </c>
      <c r="AX122" s="192"/>
      <c r="AY122" s="192"/>
      <c r="AZ122" s="192"/>
      <c r="BA122" s="192"/>
      <c r="BB122" s="255" t="str">
        <f>IF(COUNTBLANK(AX122:BA122)=4,"",SUM(AX122:AZ122)+IF(Setup!$I$15="No",0,BA122))</f>
        <v/>
      </c>
      <c r="BC122" s="259" t="str">
        <f ca="1">IF('Demand background (hide)'!A113=Num_Modalities,"",SUM(Demand!I122))</f>
        <v/>
      </c>
      <c r="BD122" s="259" t="str">
        <f ca="1">IF(AND(A122&lt;=MaxRows,BE122&lt;&gt;"Yes"),'Demand background (hide)'!X113+IF(Setup!$I$15="Yes",'Demand background (hide)'!AJ113,0),"")</f>
        <v/>
      </c>
      <c r="BE122" s="209"/>
    </row>
    <row r="123" spans="1:59" x14ac:dyDescent="0.25">
      <c r="A123" t="str">
        <f t="shared" ca="1" si="4"/>
        <v/>
      </c>
      <c r="B123" s="264" t="str">
        <f t="shared" ca="1" si="5"/>
        <v xml:space="preserve"> </v>
      </c>
      <c r="C123" s="265" t="str">
        <f t="shared" ca="1" si="6"/>
        <v/>
      </c>
      <c r="D123" s="352" t="str">
        <f t="shared" ca="1" si="7"/>
        <v/>
      </c>
      <c r="E123" s="192"/>
      <c r="F123" s="192"/>
      <c r="G123" s="192"/>
      <c r="H123" s="192"/>
      <c r="I123" s="251" t="str">
        <f>IF(COUNTBLANK(E123:H123)=4,"",SUM(E123:G123)+IF(Setup!$I$15="No",0,H123))</f>
        <v/>
      </c>
      <c r="J123" s="192"/>
      <c r="K123" s="192"/>
      <c r="L123" s="192"/>
      <c r="M123" s="192"/>
      <c r="N123" s="255" t="str">
        <f>IF(COUNTBLANK(J123:M123)=4,"",SUM(J123:L123)+IF(Setup!$I$15="No",0,M123))</f>
        <v/>
      </c>
      <c r="O123" s="192"/>
      <c r="P123" s="192"/>
      <c r="Q123" s="192"/>
      <c r="R123" s="192"/>
      <c r="S123" s="255" t="str">
        <f>IF(COUNTBLANK(O123:R123)=4,"",SUM(O123:Q123)+IF(Setup!$I$15="No",0,R123))</f>
        <v/>
      </c>
      <c r="T123" s="192"/>
      <c r="U123" s="192"/>
      <c r="V123" s="192"/>
      <c r="W123" s="192"/>
      <c r="X123" s="255" t="str">
        <f>IF(COUNTBLANK(T123:W123)=4,"",SUM(T123:V123)+IF(Setup!$I$15="No",0,W123))</f>
        <v/>
      </c>
      <c r="Y123" s="192"/>
      <c r="Z123" s="192"/>
      <c r="AA123" s="192"/>
      <c r="AB123" s="192"/>
      <c r="AC123" s="255" t="str">
        <f>IF(COUNTBLANK(Y123:AB123)=4,"",SUM(Y123:AA123)+IF(Setup!$I$15="No",0,AB123))</f>
        <v/>
      </c>
      <c r="AD123" s="192"/>
      <c r="AE123" s="192"/>
      <c r="AF123" s="192"/>
      <c r="AG123" s="192"/>
      <c r="AH123" s="255" t="str">
        <f>IF(COUNTBLANK(AD123:AG123)=4,"",SUM(AD123:AF123)+IF(Setup!$I$15="No",0,AG123))</f>
        <v/>
      </c>
      <c r="AI123" s="192"/>
      <c r="AJ123" s="192"/>
      <c r="AK123" s="192"/>
      <c r="AL123" s="192"/>
      <c r="AM123" s="255" t="str">
        <f>IF(COUNTBLANK(AI123:AL123)=4,"",SUM(AI123:AK123)+IF(Setup!$I$15="No",0,AL123))</f>
        <v/>
      </c>
      <c r="AN123" s="192"/>
      <c r="AO123" s="192"/>
      <c r="AP123" s="192"/>
      <c r="AQ123" s="192"/>
      <c r="AR123" s="255" t="str">
        <f>IF(COUNTBLANK(AN123:AQ123)=4,"",SUM(AN123:AP123)+IF(Setup!$I$15="No",0,AQ123))</f>
        <v/>
      </c>
      <c r="AS123" s="192"/>
      <c r="AT123" s="192"/>
      <c r="AU123" s="192"/>
      <c r="AV123" s="192"/>
      <c r="AW123" s="255" t="str">
        <f>IF(COUNTBLANK(AS123:AV123)=4,"",SUM(AS123:AU123)+IF(Setup!$I$15="No",0,AV123))</f>
        <v/>
      </c>
      <c r="AX123" s="192"/>
      <c r="AY123" s="192"/>
      <c r="AZ123" s="192"/>
      <c r="BA123" s="192"/>
      <c r="BB123" s="255" t="str">
        <f>IF(COUNTBLANK(AX123:BA123)=4,"",SUM(AX123:AZ123)+IF(Setup!$I$15="No",0,BA123))</f>
        <v/>
      </c>
      <c r="BC123" s="259" t="str">
        <f ca="1">IF('Demand background (hide)'!A114=Num_Modalities,"",SUM(Demand!I123))</f>
        <v/>
      </c>
      <c r="BD123" s="259" t="str">
        <f ca="1">IF(AND(A123&lt;=MaxRows,BE123&lt;&gt;"Yes"),'Demand background (hide)'!X114+IF(Setup!$I$15="Yes",'Demand background (hide)'!AJ114,0),"")</f>
        <v/>
      </c>
      <c r="BE123" s="209"/>
    </row>
    <row r="124" spans="1:59" x14ac:dyDescent="0.25">
      <c r="A124" t="str">
        <f t="shared" ca="1" si="4"/>
        <v/>
      </c>
      <c r="B124" s="264" t="str">
        <f t="shared" ca="1" si="5"/>
        <v xml:space="preserve"> </v>
      </c>
      <c r="C124" s="265" t="str">
        <f t="shared" ca="1" si="6"/>
        <v/>
      </c>
      <c r="D124" s="352" t="str">
        <f t="shared" ca="1" si="7"/>
        <v/>
      </c>
      <c r="E124" s="192"/>
      <c r="F124" s="192"/>
      <c r="G124" s="192"/>
      <c r="H124" s="192"/>
      <c r="I124" s="251" t="str">
        <f>IF(COUNTBLANK(E124:H124)=4,"",SUM(E124:G124)+IF(Setup!$I$15="No",0,H124))</f>
        <v/>
      </c>
      <c r="J124" s="192"/>
      <c r="K124" s="192"/>
      <c r="L124" s="192"/>
      <c r="M124" s="192"/>
      <c r="N124" s="255" t="str">
        <f>IF(COUNTBLANK(J124:M124)=4,"",SUM(J124:L124)+IF(Setup!$I$15="No",0,M124))</f>
        <v/>
      </c>
      <c r="O124" s="192"/>
      <c r="P124" s="192"/>
      <c r="Q124" s="192"/>
      <c r="R124" s="192"/>
      <c r="S124" s="255" t="str">
        <f>IF(COUNTBLANK(O124:R124)=4,"",SUM(O124:Q124)+IF(Setup!$I$15="No",0,R124))</f>
        <v/>
      </c>
      <c r="T124" s="192"/>
      <c r="U124" s="192"/>
      <c r="V124" s="192"/>
      <c r="W124" s="192"/>
      <c r="X124" s="255" t="str">
        <f>IF(COUNTBLANK(T124:W124)=4,"",SUM(T124:V124)+IF(Setup!$I$15="No",0,W124))</f>
        <v/>
      </c>
      <c r="Y124" s="192"/>
      <c r="Z124" s="192"/>
      <c r="AA124" s="192"/>
      <c r="AB124" s="192"/>
      <c r="AC124" s="255" t="str">
        <f>IF(COUNTBLANK(Y124:AB124)=4,"",SUM(Y124:AA124)+IF(Setup!$I$15="No",0,AB124))</f>
        <v/>
      </c>
      <c r="AD124" s="192"/>
      <c r="AE124" s="192"/>
      <c r="AF124" s="192"/>
      <c r="AG124" s="192"/>
      <c r="AH124" s="255" t="str">
        <f>IF(COUNTBLANK(AD124:AG124)=4,"",SUM(AD124:AF124)+IF(Setup!$I$15="No",0,AG124))</f>
        <v/>
      </c>
      <c r="AI124" s="192"/>
      <c r="AJ124" s="192"/>
      <c r="AK124" s="192"/>
      <c r="AL124" s="192"/>
      <c r="AM124" s="255" t="str">
        <f>IF(COUNTBLANK(AI124:AL124)=4,"",SUM(AI124:AK124)+IF(Setup!$I$15="No",0,AL124))</f>
        <v/>
      </c>
      <c r="AN124" s="192"/>
      <c r="AO124" s="192"/>
      <c r="AP124" s="192"/>
      <c r="AQ124" s="192"/>
      <c r="AR124" s="255" t="str">
        <f>IF(COUNTBLANK(AN124:AQ124)=4,"",SUM(AN124:AP124)+IF(Setup!$I$15="No",0,AQ124))</f>
        <v/>
      </c>
      <c r="AS124" s="192"/>
      <c r="AT124" s="192"/>
      <c r="AU124" s="192"/>
      <c r="AV124" s="192"/>
      <c r="AW124" s="255" t="str">
        <f>IF(COUNTBLANK(AS124:AV124)=4,"",SUM(AS124:AU124)+IF(Setup!$I$15="No",0,AV124))</f>
        <v/>
      </c>
      <c r="AX124" s="192"/>
      <c r="AY124" s="192"/>
      <c r="AZ124" s="192"/>
      <c r="BA124" s="192"/>
      <c r="BB124" s="255" t="str">
        <f>IF(COUNTBLANK(AX124:BA124)=4,"",SUM(AX124:AZ124)+IF(Setup!$I$15="No",0,BA124))</f>
        <v/>
      </c>
      <c r="BC124" s="259" t="str">
        <f ca="1">IF('Demand background (hide)'!A115=Num_Modalities,"",SUM(Demand!I124))</f>
        <v/>
      </c>
      <c r="BD124" s="259" t="str">
        <f ca="1">IF(AND(A124&lt;=MaxRows,BE124&lt;&gt;"Yes"),'Demand background (hide)'!X115+IF(Setup!$I$15="Yes",'Demand background (hide)'!AJ115,0),"")</f>
        <v/>
      </c>
      <c r="BE124" s="209"/>
    </row>
    <row r="125" spans="1:59" x14ac:dyDescent="0.25">
      <c r="A125" t="str">
        <f t="shared" ca="1" si="4"/>
        <v/>
      </c>
      <c r="B125" s="264" t="str">
        <f t="shared" ca="1" si="5"/>
        <v xml:space="preserve"> </v>
      </c>
      <c r="C125" s="265" t="str">
        <f t="shared" ca="1" si="6"/>
        <v/>
      </c>
      <c r="D125" s="352" t="str">
        <f t="shared" ca="1" si="7"/>
        <v/>
      </c>
      <c r="E125" s="192"/>
      <c r="F125" s="192"/>
      <c r="G125" s="192"/>
      <c r="H125" s="192"/>
      <c r="I125" s="251" t="str">
        <f>IF(COUNTBLANK(E125:H125)=4,"",SUM(E125:G125)+IF(Setup!$I$15="No",0,H125))</f>
        <v/>
      </c>
      <c r="J125" s="192"/>
      <c r="K125" s="192"/>
      <c r="L125" s="192"/>
      <c r="M125" s="192"/>
      <c r="N125" s="255" t="str">
        <f>IF(COUNTBLANK(J125:M125)=4,"",SUM(J125:L125)+IF(Setup!$I$15="No",0,M125))</f>
        <v/>
      </c>
      <c r="O125" s="192"/>
      <c r="P125" s="192"/>
      <c r="Q125" s="192"/>
      <c r="R125" s="192"/>
      <c r="S125" s="255" t="str">
        <f>IF(COUNTBLANK(O125:R125)=4,"",SUM(O125:Q125)+IF(Setup!$I$15="No",0,R125))</f>
        <v/>
      </c>
      <c r="T125" s="192"/>
      <c r="U125" s="192"/>
      <c r="V125" s="192"/>
      <c r="W125" s="192"/>
      <c r="X125" s="255" t="str">
        <f>IF(COUNTBLANK(T125:W125)=4,"",SUM(T125:V125)+IF(Setup!$I$15="No",0,W125))</f>
        <v/>
      </c>
      <c r="Y125" s="192"/>
      <c r="Z125" s="192"/>
      <c r="AA125" s="192"/>
      <c r="AB125" s="192"/>
      <c r="AC125" s="255" t="str">
        <f>IF(COUNTBLANK(Y125:AB125)=4,"",SUM(Y125:AA125)+IF(Setup!$I$15="No",0,AB125))</f>
        <v/>
      </c>
      <c r="AD125" s="192"/>
      <c r="AE125" s="192"/>
      <c r="AF125" s="192"/>
      <c r="AG125" s="192"/>
      <c r="AH125" s="255" t="str">
        <f>IF(COUNTBLANK(AD125:AG125)=4,"",SUM(AD125:AF125)+IF(Setup!$I$15="No",0,AG125))</f>
        <v/>
      </c>
      <c r="AI125" s="192"/>
      <c r="AJ125" s="192"/>
      <c r="AK125" s="192"/>
      <c r="AL125" s="192"/>
      <c r="AM125" s="255" t="str">
        <f>IF(COUNTBLANK(AI125:AL125)=4,"",SUM(AI125:AK125)+IF(Setup!$I$15="No",0,AL125))</f>
        <v/>
      </c>
      <c r="AN125" s="192"/>
      <c r="AO125" s="192"/>
      <c r="AP125" s="192"/>
      <c r="AQ125" s="192"/>
      <c r="AR125" s="255" t="str">
        <f>IF(COUNTBLANK(AN125:AQ125)=4,"",SUM(AN125:AP125)+IF(Setup!$I$15="No",0,AQ125))</f>
        <v/>
      </c>
      <c r="AS125" s="192"/>
      <c r="AT125" s="192"/>
      <c r="AU125" s="192"/>
      <c r="AV125" s="192"/>
      <c r="AW125" s="255" t="str">
        <f>IF(COUNTBLANK(AS125:AV125)=4,"",SUM(AS125:AU125)+IF(Setup!$I$15="No",0,AV125))</f>
        <v/>
      </c>
      <c r="AX125" s="192"/>
      <c r="AY125" s="192"/>
      <c r="AZ125" s="192"/>
      <c r="BA125" s="192"/>
      <c r="BB125" s="255" t="str">
        <f>IF(COUNTBLANK(AX125:BA125)=4,"",SUM(AX125:AZ125)+IF(Setup!$I$15="No",0,BA125))</f>
        <v/>
      </c>
      <c r="BC125" s="259" t="str">
        <f ca="1">IF('Demand background (hide)'!A116=Num_Modalities,"",SUM(Demand!I125))</f>
        <v/>
      </c>
      <c r="BD125" s="259" t="str">
        <f ca="1">IF(AND(A125&lt;=MaxRows,BE125&lt;&gt;"Yes"),'Demand background (hide)'!X116+IF(Setup!$I$15="Yes",'Demand background (hide)'!AJ116,0),"")</f>
        <v/>
      </c>
      <c r="BE125" s="209"/>
    </row>
    <row r="126" spans="1:59" x14ac:dyDescent="0.25">
      <c r="A126" t="str">
        <f t="shared" ca="1" si="4"/>
        <v/>
      </c>
      <c r="B126" s="264" t="str">
        <f t="shared" ca="1" si="5"/>
        <v xml:space="preserve"> </v>
      </c>
      <c r="C126" s="265" t="str">
        <f t="shared" ca="1" si="6"/>
        <v/>
      </c>
      <c r="D126" s="352" t="str">
        <f t="shared" ca="1" si="7"/>
        <v/>
      </c>
      <c r="E126" s="192"/>
      <c r="F126" s="192"/>
      <c r="G126" s="192"/>
      <c r="H126" s="192"/>
      <c r="I126" s="251" t="str">
        <f>IF(COUNTBLANK(E126:H126)=4,"",SUM(E126:G126)+IF(Setup!$I$15="No",0,H126))</f>
        <v/>
      </c>
      <c r="J126" s="192"/>
      <c r="K126" s="192"/>
      <c r="L126" s="192"/>
      <c r="M126" s="192"/>
      <c r="N126" s="255" t="str">
        <f>IF(COUNTBLANK(J126:M126)=4,"",SUM(J126:L126)+IF(Setup!$I$15="No",0,M126))</f>
        <v/>
      </c>
      <c r="O126" s="192"/>
      <c r="P126" s="192"/>
      <c r="Q126" s="192"/>
      <c r="R126" s="192"/>
      <c r="S126" s="255" t="str">
        <f>IF(COUNTBLANK(O126:R126)=4,"",SUM(O126:Q126)+IF(Setup!$I$15="No",0,R126))</f>
        <v/>
      </c>
      <c r="T126" s="192"/>
      <c r="U126" s="192"/>
      <c r="V126" s="192"/>
      <c r="W126" s="192"/>
      <c r="X126" s="255" t="str">
        <f>IF(COUNTBLANK(T126:W126)=4,"",SUM(T126:V126)+IF(Setup!$I$15="No",0,W126))</f>
        <v/>
      </c>
      <c r="Y126" s="192"/>
      <c r="Z126" s="192"/>
      <c r="AA126" s="192"/>
      <c r="AB126" s="192"/>
      <c r="AC126" s="255" t="str">
        <f>IF(COUNTBLANK(Y126:AB126)=4,"",SUM(Y126:AA126)+IF(Setup!$I$15="No",0,AB126))</f>
        <v/>
      </c>
      <c r="AD126" s="192"/>
      <c r="AE126" s="192"/>
      <c r="AF126" s="192"/>
      <c r="AG126" s="192"/>
      <c r="AH126" s="255" t="str">
        <f>IF(COUNTBLANK(AD126:AG126)=4,"",SUM(AD126:AF126)+IF(Setup!$I$15="No",0,AG126))</f>
        <v/>
      </c>
      <c r="AI126" s="192"/>
      <c r="AJ126" s="192"/>
      <c r="AK126" s="192"/>
      <c r="AL126" s="192"/>
      <c r="AM126" s="255" t="str">
        <f>IF(COUNTBLANK(AI126:AL126)=4,"",SUM(AI126:AK126)+IF(Setup!$I$15="No",0,AL126))</f>
        <v/>
      </c>
      <c r="AN126" s="192"/>
      <c r="AO126" s="192"/>
      <c r="AP126" s="192"/>
      <c r="AQ126" s="192"/>
      <c r="AR126" s="255" t="str">
        <f>IF(COUNTBLANK(AN126:AQ126)=4,"",SUM(AN126:AP126)+IF(Setup!$I$15="No",0,AQ126))</f>
        <v/>
      </c>
      <c r="AS126" s="192"/>
      <c r="AT126" s="192"/>
      <c r="AU126" s="192"/>
      <c r="AV126" s="192"/>
      <c r="AW126" s="255" t="str">
        <f>IF(COUNTBLANK(AS126:AV126)=4,"",SUM(AS126:AU126)+IF(Setup!$I$15="No",0,AV126))</f>
        <v/>
      </c>
      <c r="AX126" s="192"/>
      <c r="AY126" s="192"/>
      <c r="AZ126" s="192"/>
      <c r="BA126" s="192"/>
      <c r="BB126" s="255" t="str">
        <f>IF(COUNTBLANK(AX126:BA126)=4,"",SUM(AX126:AZ126)+IF(Setup!$I$15="No",0,BA126))</f>
        <v/>
      </c>
      <c r="BC126" s="259" t="str">
        <f ca="1">IF('Demand background (hide)'!A117=Num_Modalities,"",SUM(Demand!I126))</f>
        <v/>
      </c>
      <c r="BD126" s="259" t="str">
        <f ca="1">IF(AND(A126&lt;=MaxRows,BE126&lt;&gt;"Yes"),'Demand background (hide)'!X117+IF(Setup!$I$15="Yes",'Demand background (hide)'!AJ117,0),"")</f>
        <v/>
      </c>
      <c r="BE126" s="209"/>
    </row>
    <row r="127" spans="1:59" x14ac:dyDescent="0.25">
      <c r="A127" t="str">
        <f t="shared" ca="1" si="4"/>
        <v/>
      </c>
      <c r="B127" s="264" t="str">
        <f t="shared" ca="1" si="5"/>
        <v xml:space="preserve"> </v>
      </c>
      <c r="C127" s="265" t="str">
        <f t="shared" ca="1" si="6"/>
        <v/>
      </c>
      <c r="D127" s="352" t="str">
        <f t="shared" ca="1" si="7"/>
        <v/>
      </c>
      <c r="E127" s="192"/>
      <c r="F127" s="192"/>
      <c r="G127" s="192"/>
      <c r="H127" s="192"/>
      <c r="I127" s="251" t="str">
        <f>IF(COUNTBLANK(E127:H127)=4,"",SUM(E127:G127)+IF(Setup!$I$15="No",0,H127))</f>
        <v/>
      </c>
      <c r="J127" s="192"/>
      <c r="K127" s="192"/>
      <c r="L127" s="192"/>
      <c r="M127" s="192"/>
      <c r="N127" s="255" t="str">
        <f>IF(COUNTBLANK(J127:M127)=4,"",SUM(J127:L127)+IF(Setup!$I$15="No",0,M127))</f>
        <v/>
      </c>
      <c r="O127" s="192"/>
      <c r="P127" s="192"/>
      <c r="Q127" s="192"/>
      <c r="R127" s="192"/>
      <c r="S127" s="255" t="str">
        <f>IF(COUNTBLANK(O127:R127)=4,"",SUM(O127:Q127)+IF(Setup!$I$15="No",0,R127))</f>
        <v/>
      </c>
      <c r="T127" s="192"/>
      <c r="U127" s="192"/>
      <c r="V127" s="192"/>
      <c r="W127" s="192"/>
      <c r="X127" s="255" t="str">
        <f>IF(COUNTBLANK(T127:W127)=4,"",SUM(T127:V127)+IF(Setup!$I$15="No",0,W127))</f>
        <v/>
      </c>
      <c r="Y127" s="192"/>
      <c r="Z127" s="192"/>
      <c r="AA127" s="192"/>
      <c r="AB127" s="192"/>
      <c r="AC127" s="255" t="str">
        <f>IF(COUNTBLANK(Y127:AB127)=4,"",SUM(Y127:AA127)+IF(Setup!$I$15="No",0,AB127))</f>
        <v/>
      </c>
      <c r="AD127" s="192"/>
      <c r="AE127" s="192"/>
      <c r="AF127" s="192"/>
      <c r="AG127" s="192"/>
      <c r="AH127" s="255" t="str">
        <f>IF(COUNTBLANK(AD127:AG127)=4,"",SUM(AD127:AF127)+IF(Setup!$I$15="No",0,AG127))</f>
        <v/>
      </c>
      <c r="AI127" s="192"/>
      <c r="AJ127" s="192"/>
      <c r="AK127" s="192"/>
      <c r="AL127" s="192"/>
      <c r="AM127" s="255" t="str">
        <f>IF(COUNTBLANK(AI127:AL127)=4,"",SUM(AI127:AK127)+IF(Setup!$I$15="No",0,AL127))</f>
        <v/>
      </c>
      <c r="AN127" s="192"/>
      <c r="AO127" s="192"/>
      <c r="AP127" s="192"/>
      <c r="AQ127" s="192"/>
      <c r="AR127" s="255" t="str">
        <f>IF(COUNTBLANK(AN127:AQ127)=4,"",SUM(AN127:AP127)+IF(Setup!$I$15="No",0,AQ127))</f>
        <v/>
      </c>
      <c r="AS127" s="192"/>
      <c r="AT127" s="192"/>
      <c r="AU127" s="192"/>
      <c r="AV127" s="192"/>
      <c r="AW127" s="255" t="str">
        <f>IF(COUNTBLANK(AS127:AV127)=4,"",SUM(AS127:AU127)+IF(Setup!$I$15="No",0,AV127))</f>
        <v/>
      </c>
      <c r="AX127" s="192"/>
      <c r="AY127" s="192"/>
      <c r="AZ127" s="192"/>
      <c r="BA127" s="192"/>
      <c r="BB127" s="255" t="str">
        <f>IF(COUNTBLANK(AX127:BA127)=4,"",SUM(AX127:AZ127)+IF(Setup!$I$15="No",0,BA127))</f>
        <v/>
      </c>
      <c r="BC127" s="259" t="str">
        <f ca="1">IF('Demand background (hide)'!A118=Num_Modalities,"",SUM(Demand!I127))</f>
        <v/>
      </c>
      <c r="BD127" s="259" t="str">
        <f ca="1">IF(AND(A127&lt;=MaxRows,BE127&lt;&gt;"Yes"),'Demand background (hide)'!X118+IF(Setup!$I$15="Yes",'Demand background (hide)'!AJ118,0),"")</f>
        <v/>
      </c>
      <c r="BE127" s="209"/>
    </row>
    <row r="128" spans="1:59" x14ac:dyDescent="0.25">
      <c r="A128" t="str">
        <f t="shared" ca="1" si="4"/>
        <v/>
      </c>
      <c r="B128" s="264" t="str">
        <f t="shared" ca="1" si="5"/>
        <v xml:space="preserve"> </v>
      </c>
      <c r="C128" s="265" t="str">
        <f t="shared" ca="1" si="6"/>
        <v/>
      </c>
      <c r="D128" s="352" t="str">
        <f t="shared" ca="1" si="7"/>
        <v/>
      </c>
      <c r="E128" s="192"/>
      <c r="F128" s="192"/>
      <c r="G128" s="192"/>
      <c r="H128" s="192"/>
      <c r="I128" s="251" t="str">
        <f>IF(COUNTBLANK(E128:H128)=4,"",SUM(E128:G128)+IF(Setup!$I$15="No",0,H128))</f>
        <v/>
      </c>
      <c r="J128" s="192"/>
      <c r="K128" s="192"/>
      <c r="L128" s="192"/>
      <c r="M128" s="192"/>
      <c r="N128" s="255" t="str">
        <f>IF(COUNTBLANK(J128:M128)=4,"",SUM(J128:L128)+IF(Setup!$I$15="No",0,M128))</f>
        <v/>
      </c>
      <c r="O128" s="192"/>
      <c r="P128" s="192"/>
      <c r="Q128" s="192"/>
      <c r="R128" s="192"/>
      <c r="S128" s="255" t="str">
        <f>IF(COUNTBLANK(O128:R128)=4,"",SUM(O128:Q128)+IF(Setup!$I$15="No",0,R128))</f>
        <v/>
      </c>
      <c r="T128" s="192"/>
      <c r="U128" s="192"/>
      <c r="V128" s="192"/>
      <c r="W128" s="192"/>
      <c r="X128" s="255" t="str">
        <f>IF(COUNTBLANK(T128:W128)=4,"",SUM(T128:V128)+IF(Setup!$I$15="No",0,W128))</f>
        <v/>
      </c>
      <c r="Y128" s="192"/>
      <c r="Z128" s="192"/>
      <c r="AA128" s="192"/>
      <c r="AB128" s="192"/>
      <c r="AC128" s="255" t="str">
        <f>IF(COUNTBLANK(Y128:AB128)=4,"",SUM(Y128:AA128)+IF(Setup!$I$15="No",0,AB128))</f>
        <v/>
      </c>
      <c r="AD128" s="192"/>
      <c r="AE128" s="192"/>
      <c r="AF128" s="192"/>
      <c r="AG128" s="192"/>
      <c r="AH128" s="255" t="str">
        <f>IF(COUNTBLANK(AD128:AG128)=4,"",SUM(AD128:AF128)+IF(Setup!$I$15="No",0,AG128))</f>
        <v/>
      </c>
      <c r="AI128" s="192"/>
      <c r="AJ128" s="192"/>
      <c r="AK128" s="192"/>
      <c r="AL128" s="192"/>
      <c r="AM128" s="255" t="str">
        <f>IF(COUNTBLANK(AI128:AL128)=4,"",SUM(AI128:AK128)+IF(Setup!$I$15="No",0,AL128))</f>
        <v/>
      </c>
      <c r="AN128" s="192"/>
      <c r="AO128" s="192"/>
      <c r="AP128" s="192"/>
      <c r="AQ128" s="192"/>
      <c r="AR128" s="255" t="str">
        <f>IF(COUNTBLANK(AN128:AQ128)=4,"",SUM(AN128:AP128)+IF(Setup!$I$15="No",0,AQ128))</f>
        <v/>
      </c>
      <c r="AS128" s="192"/>
      <c r="AT128" s="192"/>
      <c r="AU128" s="192"/>
      <c r="AV128" s="192"/>
      <c r="AW128" s="255" t="str">
        <f>IF(COUNTBLANK(AS128:AV128)=4,"",SUM(AS128:AU128)+IF(Setup!$I$15="No",0,AV128))</f>
        <v/>
      </c>
      <c r="AX128" s="192"/>
      <c r="AY128" s="192"/>
      <c r="AZ128" s="192"/>
      <c r="BA128" s="192"/>
      <c r="BB128" s="255" t="str">
        <f>IF(COUNTBLANK(AX128:BA128)=4,"",SUM(AX128:AZ128)+IF(Setup!$I$15="No",0,BA128))</f>
        <v/>
      </c>
      <c r="BC128" s="259" t="str">
        <f ca="1">IF('Demand background (hide)'!A119=Num_Modalities,"",SUM(Demand!I128))</f>
        <v/>
      </c>
      <c r="BD128" s="259" t="str">
        <f ca="1">IF(AND(A128&lt;=MaxRows,BE128&lt;&gt;"Yes"),'Demand background (hide)'!X119+IF(Setup!$I$15="Yes",'Demand background (hide)'!AJ119,0),"")</f>
        <v/>
      </c>
      <c r="BE128" s="209"/>
    </row>
    <row r="129" spans="1:57" x14ac:dyDescent="0.25">
      <c r="A129" t="str">
        <f t="shared" ca="1" si="4"/>
        <v/>
      </c>
      <c r="B129" s="264" t="str">
        <f t="shared" ca="1" si="5"/>
        <v xml:space="preserve"> </v>
      </c>
      <c r="C129" s="265" t="str">
        <f t="shared" ca="1" si="6"/>
        <v/>
      </c>
      <c r="D129" s="352" t="str">
        <f t="shared" ca="1" si="7"/>
        <v/>
      </c>
      <c r="E129" s="192"/>
      <c r="F129" s="192"/>
      <c r="G129" s="192"/>
      <c r="H129" s="192"/>
      <c r="I129" s="251" t="str">
        <f>IF(COUNTBLANK(E129:H129)=4,"",SUM(E129:G129)+IF(Setup!$I$15="No",0,H129))</f>
        <v/>
      </c>
      <c r="J129" s="192"/>
      <c r="K129" s="192"/>
      <c r="L129" s="192"/>
      <c r="M129" s="192"/>
      <c r="N129" s="255" t="str">
        <f>IF(COUNTBLANK(J129:M129)=4,"",SUM(J129:L129)+IF(Setup!$I$15="No",0,M129))</f>
        <v/>
      </c>
      <c r="O129" s="192"/>
      <c r="P129" s="192"/>
      <c r="Q129" s="192"/>
      <c r="R129" s="192"/>
      <c r="S129" s="255" t="str">
        <f>IF(COUNTBLANK(O129:R129)=4,"",SUM(O129:Q129)+IF(Setup!$I$15="No",0,R129))</f>
        <v/>
      </c>
      <c r="T129" s="192"/>
      <c r="U129" s="192"/>
      <c r="V129" s="192"/>
      <c r="W129" s="192"/>
      <c r="X129" s="255" t="str">
        <f>IF(COUNTBLANK(T129:W129)=4,"",SUM(T129:V129)+IF(Setup!$I$15="No",0,W129))</f>
        <v/>
      </c>
      <c r="Y129" s="192"/>
      <c r="Z129" s="192"/>
      <c r="AA129" s="192"/>
      <c r="AB129" s="192"/>
      <c r="AC129" s="255" t="str">
        <f>IF(COUNTBLANK(Y129:AB129)=4,"",SUM(Y129:AA129)+IF(Setup!$I$15="No",0,AB129))</f>
        <v/>
      </c>
      <c r="AD129" s="192"/>
      <c r="AE129" s="192"/>
      <c r="AF129" s="192"/>
      <c r="AG129" s="192"/>
      <c r="AH129" s="255" t="str">
        <f>IF(COUNTBLANK(AD129:AG129)=4,"",SUM(AD129:AF129)+IF(Setup!$I$15="No",0,AG129))</f>
        <v/>
      </c>
      <c r="AI129" s="192"/>
      <c r="AJ129" s="192"/>
      <c r="AK129" s="192"/>
      <c r="AL129" s="192"/>
      <c r="AM129" s="255" t="str">
        <f>IF(COUNTBLANK(AI129:AL129)=4,"",SUM(AI129:AK129)+IF(Setup!$I$15="No",0,AL129))</f>
        <v/>
      </c>
      <c r="AN129" s="192"/>
      <c r="AO129" s="192"/>
      <c r="AP129" s="192"/>
      <c r="AQ129" s="192"/>
      <c r="AR129" s="255" t="str">
        <f>IF(COUNTBLANK(AN129:AQ129)=4,"",SUM(AN129:AP129)+IF(Setup!$I$15="No",0,AQ129))</f>
        <v/>
      </c>
      <c r="AS129" s="192"/>
      <c r="AT129" s="192"/>
      <c r="AU129" s="192"/>
      <c r="AV129" s="192"/>
      <c r="AW129" s="255" t="str">
        <f>IF(COUNTBLANK(AS129:AV129)=4,"",SUM(AS129:AU129)+IF(Setup!$I$15="No",0,AV129))</f>
        <v/>
      </c>
      <c r="AX129" s="192"/>
      <c r="AY129" s="192"/>
      <c r="AZ129" s="192"/>
      <c r="BA129" s="192"/>
      <c r="BB129" s="255" t="str">
        <f>IF(COUNTBLANK(AX129:BA129)=4,"",SUM(AX129:AZ129)+IF(Setup!$I$15="No",0,BA129))</f>
        <v/>
      </c>
      <c r="BC129" s="259" t="str">
        <f ca="1">IF('Demand background (hide)'!A120=Num_Modalities,"",SUM(Demand!I129))</f>
        <v/>
      </c>
      <c r="BD129" s="259" t="str">
        <f ca="1">IF(AND(A129&lt;=MaxRows,BE129&lt;&gt;"Yes"),'Demand background (hide)'!X120+IF(Setup!$I$15="Yes",'Demand background (hide)'!AJ120,0),"")</f>
        <v/>
      </c>
      <c r="BE129" s="209"/>
    </row>
    <row r="130" spans="1:57" x14ac:dyDescent="0.25">
      <c r="A130" t="str">
        <f t="shared" ca="1" si="4"/>
        <v/>
      </c>
      <c r="B130" s="264" t="str">
        <f t="shared" ca="1" si="5"/>
        <v xml:space="preserve"> </v>
      </c>
      <c r="C130" s="265" t="str">
        <f t="shared" ca="1" si="6"/>
        <v/>
      </c>
      <c r="D130" s="352" t="str">
        <f t="shared" ca="1" si="7"/>
        <v/>
      </c>
      <c r="E130" s="192"/>
      <c r="F130" s="192"/>
      <c r="G130" s="192"/>
      <c r="H130" s="192"/>
      <c r="I130" s="251" t="str">
        <f>IF(COUNTBLANK(E130:H130)=4,"",SUM(E130:G130)+IF(Setup!$I$15="No",0,H130))</f>
        <v/>
      </c>
      <c r="J130" s="192"/>
      <c r="K130" s="192"/>
      <c r="L130" s="192"/>
      <c r="M130" s="192"/>
      <c r="N130" s="255" t="str">
        <f>IF(COUNTBLANK(J130:M130)=4,"",SUM(J130:L130)+IF(Setup!$I$15="No",0,M130))</f>
        <v/>
      </c>
      <c r="O130" s="192"/>
      <c r="P130" s="192"/>
      <c r="Q130" s="192"/>
      <c r="R130" s="192"/>
      <c r="S130" s="255" t="str">
        <f>IF(COUNTBLANK(O130:R130)=4,"",SUM(O130:Q130)+IF(Setup!$I$15="No",0,R130))</f>
        <v/>
      </c>
      <c r="T130" s="192"/>
      <c r="U130" s="192"/>
      <c r="V130" s="192"/>
      <c r="W130" s="192"/>
      <c r="X130" s="255" t="str">
        <f>IF(COUNTBLANK(T130:W130)=4,"",SUM(T130:V130)+IF(Setup!$I$15="No",0,W130))</f>
        <v/>
      </c>
      <c r="Y130" s="192"/>
      <c r="Z130" s="192"/>
      <c r="AA130" s="192"/>
      <c r="AB130" s="192"/>
      <c r="AC130" s="255" t="str">
        <f>IF(COUNTBLANK(Y130:AB130)=4,"",SUM(Y130:AA130)+IF(Setup!$I$15="No",0,AB130))</f>
        <v/>
      </c>
      <c r="AD130" s="192"/>
      <c r="AE130" s="192"/>
      <c r="AF130" s="192"/>
      <c r="AG130" s="192"/>
      <c r="AH130" s="255" t="str">
        <f>IF(COUNTBLANK(AD130:AG130)=4,"",SUM(AD130:AF130)+IF(Setup!$I$15="No",0,AG130))</f>
        <v/>
      </c>
      <c r="AI130" s="192"/>
      <c r="AJ130" s="192"/>
      <c r="AK130" s="192"/>
      <c r="AL130" s="192"/>
      <c r="AM130" s="255" t="str">
        <f>IF(COUNTBLANK(AI130:AL130)=4,"",SUM(AI130:AK130)+IF(Setup!$I$15="No",0,AL130))</f>
        <v/>
      </c>
      <c r="AN130" s="192"/>
      <c r="AO130" s="192"/>
      <c r="AP130" s="192"/>
      <c r="AQ130" s="192"/>
      <c r="AR130" s="255" t="str">
        <f>IF(COUNTBLANK(AN130:AQ130)=4,"",SUM(AN130:AP130)+IF(Setup!$I$15="No",0,AQ130))</f>
        <v/>
      </c>
      <c r="AS130" s="192"/>
      <c r="AT130" s="192"/>
      <c r="AU130" s="192"/>
      <c r="AV130" s="192"/>
      <c r="AW130" s="255" t="str">
        <f>IF(COUNTBLANK(AS130:AV130)=4,"",SUM(AS130:AU130)+IF(Setup!$I$15="No",0,AV130))</f>
        <v/>
      </c>
      <c r="AX130" s="192"/>
      <c r="AY130" s="192"/>
      <c r="AZ130" s="192"/>
      <c r="BA130" s="192"/>
      <c r="BB130" s="255" t="str">
        <f>IF(COUNTBLANK(AX130:BA130)=4,"",SUM(AX130:AZ130)+IF(Setup!$I$15="No",0,BA130))</f>
        <v/>
      </c>
      <c r="BC130" s="259" t="str">
        <f ca="1">IF('Demand background (hide)'!A121=Num_Modalities,"",SUM(Demand!I130))</f>
        <v/>
      </c>
      <c r="BD130" s="259" t="str">
        <f ca="1">IF(AND(A130&lt;=MaxRows,BE130&lt;&gt;"Yes"),'Demand background (hide)'!X121+IF(Setup!$I$15="Yes",'Demand background (hide)'!AJ121,0),"")</f>
        <v/>
      </c>
      <c r="BE130" s="209"/>
    </row>
    <row r="131" spans="1:57" x14ac:dyDescent="0.25">
      <c r="A131" t="str">
        <f t="shared" ca="1" si="4"/>
        <v/>
      </c>
      <c r="B131" s="264" t="str">
        <f t="shared" ca="1" si="5"/>
        <v xml:space="preserve"> </v>
      </c>
      <c r="C131" s="265" t="str">
        <f t="shared" ca="1" si="6"/>
        <v/>
      </c>
      <c r="D131" s="352" t="str">
        <f t="shared" ca="1" si="7"/>
        <v/>
      </c>
      <c r="E131" s="192"/>
      <c r="F131" s="192"/>
      <c r="G131" s="192"/>
      <c r="H131" s="192"/>
      <c r="I131" s="251" t="str">
        <f>IF(COUNTBLANK(E131:H131)=4,"",SUM(E131:G131)+IF(Setup!$I$15="No",0,H131))</f>
        <v/>
      </c>
      <c r="J131" s="192"/>
      <c r="K131" s="192"/>
      <c r="L131" s="192"/>
      <c r="M131" s="192"/>
      <c r="N131" s="255" t="str">
        <f>IF(COUNTBLANK(J131:M131)=4,"",SUM(J131:L131)+IF(Setup!$I$15="No",0,M131))</f>
        <v/>
      </c>
      <c r="O131" s="192"/>
      <c r="P131" s="192"/>
      <c r="Q131" s="192"/>
      <c r="R131" s="192"/>
      <c r="S131" s="255" t="str">
        <f>IF(COUNTBLANK(O131:R131)=4,"",SUM(O131:Q131)+IF(Setup!$I$15="No",0,R131))</f>
        <v/>
      </c>
      <c r="T131" s="192"/>
      <c r="U131" s="192"/>
      <c r="V131" s="192"/>
      <c r="W131" s="192"/>
      <c r="X131" s="255" t="str">
        <f>IF(COUNTBLANK(T131:W131)=4,"",SUM(T131:V131)+IF(Setup!$I$15="No",0,W131))</f>
        <v/>
      </c>
      <c r="Y131" s="192"/>
      <c r="Z131" s="192"/>
      <c r="AA131" s="192"/>
      <c r="AB131" s="192"/>
      <c r="AC131" s="255" t="str">
        <f>IF(COUNTBLANK(Y131:AB131)=4,"",SUM(Y131:AA131)+IF(Setup!$I$15="No",0,AB131))</f>
        <v/>
      </c>
      <c r="AD131" s="192"/>
      <c r="AE131" s="192"/>
      <c r="AF131" s="192"/>
      <c r="AG131" s="192"/>
      <c r="AH131" s="255" t="str">
        <f>IF(COUNTBLANK(AD131:AG131)=4,"",SUM(AD131:AF131)+IF(Setup!$I$15="No",0,AG131))</f>
        <v/>
      </c>
      <c r="AI131" s="192"/>
      <c r="AJ131" s="192"/>
      <c r="AK131" s="192"/>
      <c r="AL131" s="192"/>
      <c r="AM131" s="255" t="str">
        <f>IF(COUNTBLANK(AI131:AL131)=4,"",SUM(AI131:AK131)+IF(Setup!$I$15="No",0,AL131))</f>
        <v/>
      </c>
      <c r="AN131" s="192"/>
      <c r="AO131" s="192"/>
      <c r="AP131" s="192"/>
      <c r="AQ131" s="192"/>
      <c r="AR131" s="255" t="str">
        <f>IF(COUNTBLANK(AN131:AQ131)=4,"",SUM(AN131:AP131)+IF(Setup!$I$15="No",0,AQ131))</f>
        <v/>
      </c>
      <c r="AS131" s="192"/>
      <c r="AT131" s="192"/>
      <c r="AU131" s="192"/>
      <c r="AV131" s="192"/>
      <c r="AW131" s="255" t="str">
        <f>IF(COUNTBLANK(AS131:AV131)=4,"",SUM(AS131:AU131)+IF(Setup!$I$15="No",0,AV131))</f>
        <v/>
      </c>
      <c r="AX131" s="192"/>
      <c r="AY131" s="192"/>
      <c r="AZ131" s="192"/>
      <c r="BA131" s="192"/>
      <c r="BB131" s="255" t="str">
        <f>IF(COUNTBLANK(AX131:BA131)=4,"",SUM(AX131:AZ131)+IF(Setup!$I$15="No",0,BA131))</f>
        <v/>
      </c>
      <c r="BC131" s="259" t="str">
        <f ca="1">IF('Demand background (hide)'!A122=Num_Modalities,"",SUM(Demand!I131))</f>
        <v/>
      </c>
      <c r="BD131" s="259" t="str">
        <f ca="1">IF(AND(A131&lt;=MaxRows,BE131&lt;&gt;"Yes"),'Demand background (hide)'!X122+IF(Setup!$I$15="Yes",'Demand background (hide)'!AJ122,0),"")</f>
        <v/>
      </c>
      <c r="BE131" s="209"/>
    </row>
    <row r="132" spans="1:57" x14ac:dyDescent="0.25">
      <c r="A132" t="str">
        <f t="shared" ca="1" si="4"/>
        <v/>
      </c>
      <c r="B132" s="264" t="str">
        <f t="shared" ca="1" si="5"/>
        <v xml:space="preserve"> </v>
      </c>
      <c r="C132" s="265" t="str">
        <f t="shared" ca="1" si="6"/>
        <v/>
      </c>
      <c r="D132" s="352" t="str">
        <f t="shared" ca="1" si="7"/>
        <v/>
      </c>
      <c r="E132" s="192"/>
      <c r="F132" s="192"/>
      <c r="G132" s="192"/>
      <c r="H132" s="192"/>
      <c r="I132" s="251" t="str">
        <f>IF(COUNTBLANK(E132:H132)=4,"",SUM(E132:G132)+IF(Setup!$I$15="No",0,H132))</f>
        <v/>
      </c>
      <c r="J132" s="192"/>
      <c r="K132" s="192"/>
      <c r="L132" s="192"/>
      <c r="M132" s="192"/>
      <c r="N132" s="255" t="str">
        <f>IF(COUNTBLANK(J132:M132)=4,"",SUM(J132:L132)+IF(Setup!$I$15="No",0,M132))</f>
        <v/>
      </c>
      <c r="O132" s="192"/>
      <c r="P132" s="192"/>
      <c r="Q132" s="192"/>
      <c r="R132" s="192"/>
      <c r="S132" s="255" t="str">
        <f>IF(COUNTBLANK(O132:R132)=4,"",SUM(O132:Q132)+IF(Setup!$I$15="No",0,R132))</f>
        <v/>
      </c>
      <c r="T132" s="192"/>
      <c r="U132" s="192"/>
      <c r="V132" s="192"/>
      <c r="W132" s="192"/>
      <c r="X132" s="255" t="str">
        <f>IF(COUNTBLANK(T132:W132)=4,"",SUM(T132:V132)+IF(Setup!$I$15="No",0,W132))</f>
        <v/>
      </c>
      <c r="Y132" s="192"/>
      <c r="Z132" s="192"/>
      <c r="AA132" s="192"/>
      <c r="AB132" s="192"/>
      <c r="AC132" s="255" t="str">
        <f>IF(COUNTBLANK(Y132:AB132)=4,"",SUM(Y132:AA132)+IF(Setup!$I$15="No",0,AB132))</f>
        <v/>
      </c>
      <c r="AD132" s="192"/>
      <c r="AE132" s="192"/>
      <c r="AF132" s="192"/>
      <c r="AG132" s="192"/>
      <c r="AH132" s="255" t="str">
        <f>IF(COUNTBLANK(AD132:AG132)=4,"",SUM(AD132:AF132)+IF(Setup!$I$15="No",0,AG132))</f>
        <v/>
      </c>
      <c r="AI132" s="192"/>
      <c r="AJ132" s="192"/>
      <c r="AK132" s="192"/>
      <c r="AL132" s="192"/>
      <c r="AM132" s="255" t="str">
        <f>IF(COUNTBLANK(AI132:AL132)=4,"",SUM(AI132:AK132)+IF(Setup!$I$15="No",0,AL132))</f>
        <v/>
      </c>
      <c r="AN132" s="192"/>
      <c r="AO132" s="192"/>
      <c r="AP132" s="192"/>
      <c r="AQ132" s="192"/>
      <c r="AR132" s="255" t="str">
        <f>IF(COUNTBLANK(AN132:AQ132)=4,"",SUM(AN132:AP132)+IF(Setup!$I$15="No",0,AQ132))</f>
        <v/>
      </c>
      <c r="AS132" s="192"/>
      <c r="AT132" s="192"/>
      <c r="AU132" s="192"/>
      <c r="AV132" s="192"/>
      <c r="AW132" s="255" t="str">
        <f>IF(COUNTBLANK(AS132:AV132)=4,"",SUM(AS132:AU132)+IF(Setup!$I$15="No",0,AV132))</f>
        <v/>
      </c>
      <c r="AX132" s="192"/>
      <c r="AY132" s="192"/>
      <c r="AZ132" s="192"/>
      <c r="BA132" s="192"/>
      <c r="BB132" s="255" t="str">
        <f>IF(COUNTBLANK(AX132:BA132)=4,"",SUM(AX132:AZ132)+IF(Setup!$I$15="No",0,BA132))</f>
        <v/>
      </c>
      <c r="BC132" s="259" t="str">
        <f ca="1">IF('Demand background (hide)'!A123=Num_Modalities,"",SUM(Demand!I132))</f>
        <v/>
      </c>
      <c r="BD132" s="259" t="str">
        <f ca="1">IF(AND(A132&lt;=MaxRows,BE132&lt;&gt;"Yes"),'Demand background (hide)'!X123+IF(Setup!$I$15="Yes",'Demand background (hide)'!AJ123,0),"")</f>
        <v/>
      </c>
      <c r="BE132" s="209"/>
    </row>
    <row r="133" spans="1:57" x14ac:dyDescent="0.25">
      <c r="A133" t="str">
        <f t="shared" ca="1" si="4"/>
        <v/>
      </c>
      <c r="B133" s="264" t="str">
        <f t="shared" ca="1" si="5"/>
        <v xml:space="preserve"> </v>
      </c>
      <c r="C133" s="265" t="str">
        <f t="shared" ca="1" si="6"/>
        <v/>
      </c>
      <c r="D133" s="352" t="str">
        <f t="shared" ca="1" si="7"/>
        <v/>
      </c>
      <c r="E133" s="192"/>
      <c r="F133" s="192"/>
      <c r="G133" s="192"/>
      <c r="H133" s="192"/>
      <c r="I133" s="251" t="str">
        <f>IF(COUNTBLANK(E133:H133)=4,"",SUM(E133:G133)+IF(Setup!$I$15="No",0,H133))</f>
        <v/>
      </c>
      <c r="J133" s="192"/>
      <c r="K133" s="192"/>
      <c r="L133" s="192"/>
      <c r="M133" s="192"/>
      <c r="N133" s="255" t="str">
        <f>IF(COUNTBLANK(J133:M133)=4,"",SUM(J133:L133)+IF(Setup!$I$15="No",0,M133))</f>
        <v/>
      </c>
      <c r="O133" s="192"/>
      <c r="P133" s="192"/>
      <c r="Q133" s="192"/>
      <c r="R133" s="192"/>
      <c r="S133" s="255" t="str">
        <f>IF(COUNTBLANK(O133:R133)=4,"",SUM(O133:Q133)+IF(Setup!$I$15="No",0,R133))</f>
        <v/>
      </c>
      <c r="T133" s="192"/>
      <c r="U133" s="192"/>
      <c r="V133" s="192"/>
      <c r="W133" s="192"/>
      <c r="X133" s="255" t="str">
        <f>IF(COUNTBLANK(T133:W133)=4,"",SUM(T133:V133)+IF(Setup!$I$15="No",0,W133))</f>
        <v/>
      </c>
      <c r="Y133" s="192"/>
      <c r="Z133" s="192"/>
      <c r="AA133" s="192"/>
      <c r="AB133" s="192"/>
      <c r="AC133" s="255" t="str">
        <f>IF(COUNTBLANK(Y133:AB133)=4,"",SUM(Y133:AA133)+IF(Setup!$I$15="No",0,AB133))</f>
        <v/>
      </c>
      <c r="AD133" s="192"/>
      <c r="AE133" s="192"/>
      <c r="AF133" s="192"/>
      <c r="AG133" s="192"/>
      <c r="AH133" s="255" t="str">
        <f>IF(COUNTBLANK(AD133:AG133)=4,"",SUM(AD133:AF133)+IF(Setup!$I$15="No",0,AG133))</f>
        <v/>
      </c>
      <c r="AI133" s="192"/>
      <c r="AJ133" s="192"/>
      <c r="AK133" s="192"/>
      <c r="AL133" s="192"/>
      <c r="AM133" s="255" t="str">
        <f>IF(COUNTBLANK(AI133:AL133)=4,"",SUM(AI133:AK133)+IF(Setup!$I$15="No",0,AL133))</f>
        <v/>
      </c>
      <c r="AN133" s="192"/>
      <c r="AO133" s="192"/>
      <c r="AP133" s="192"/>
      <c r="AQ133" s="192"/>
      <c r="AR133" s="255" t="str">
        <f>IF(COUNTBLANK(AN133:AQ133)=4,"",SUM(AN133:AP133)+IF(Setup!$I$15="No",0,AQ133))</f>
        <v/>
      </c>
      <c r="AS133" s="192"/>
      <c r="AT133" s="192"/>
      <c r="AU133" s="192"/>
      <c r="AV133" s="192"/>
      <c r="AW133" s="255" t="str">
        <f>IF(COUNTBLANK(AS133:AV133)=4,"",SUM(AS133:AU133)+IF(Setup!$I$15="No",0,AV133))</f>
        <v/>
      </c>
      <c r="AX133" s="192"/>
      <c r="AY133" s="192"/>
      <c r="AZ133" s="192"/>
      <c r="BA133" s="192"/>
      <c r="BB133" s="255" t="str">
        <f>IF(COUNTBLANK(AX133:BA133)=4,"",SUM(AX133:AZ133)+IF(Setup!$I$15="No",0,BA133))</f>
        <v/>
      </c>
      <c r="BC133" s="259" t="str">
        <f ca="1">IF('Demand background (hide)'!A124=Num_Modalities,"",SUM(Demand!I133))</f>
        <v/>
      </c>
      <c r="BD133" s="259" t="str">
        <f ca="1">IF(AND(A133&lt;=MaxRows,BE133&lt;&gt;"Yes"),'Demand background (hide)'!X124+IF(Setup!$I$15="Yes",'Demand background (hide)'!AJ124,0),"")</f>
        <v/>
      </c>
      <c r="BE133" s="209"/>
    </row>
    <row r="134" spans="1:57" x14ac:dyDescent="0.25">
      <c r="A134" t="str">
        <f t="shared" ca="1" si="4"/>
        <v/>
      </c>
      <c r="B134" s="264" t="str">
        <f t="shared" ca="1" si="5"/>
        <v xml:space="preserve"> </v>
      </c>
      <c r="C134" s="265" t="str">
        <f t="shared" ca="1" si="6"/>
        <v/>
      </c>
      <c r="D134" s="352" t="str">
        <f t="shared" ca="1" si="7"/>
        <v/>
      </c>
      <c r="E134" s="192"/>
      <c r="F134" s="192"/>
      <c r="G134" s="192"/>
      <c r="H134" s="192"/>
      <c r="I134" s="251" t="str">
        <f>IF(COUNTBLANK(E134:H134)=4,"",SUM(E134:G134)+IF(Setup!$I$15="No",0,H134))</f>
        <v/>
      </c>
      <c r="J134" s="192"/>
      <c r="K134" s="192"/>
      <c r="L134" s="192"/>
      <c r="M134" s="192"/>
      <c r="N134" s="255" t="str">
        <f>IF(COUNTBLANK(J134:M134)=4,"",SUM(J134:L134)+IF(Setup!$I$15="No",0,M134))</f>
        <v/>
      </c>
      <c r="O134" s="192"/>
      <c r="P134" s="192"/>
      <c r="Q134" s="192"/>
      <c r="R134" s="192"/>
      <c r="S134" s="255" t="str">
        <f>IF(COUNTBLANK(O134:R134)=4,"",SUM(O134:Q134)+IF(Setup!$I$15="No",0,R134))</f>
        <v/>
      </c>
      <c r="T134" s="192"/>
      <c r="U134" s="192"/>
      <c r="V134" s="192"/>
      <c r="W134" s="192"/>
      <c r="X134" s="255" t="str">
        <f>IF(COUNTBLANK(T134:W134)=4,"",SUM(T134:V134)+IF(Setup!$I$15="No",0,W134))</f>
        <v/>
      </c>
      <c r="Y134" s="192"/>
      <c r="Z134" s="192"/>
      <c r="AA134" s="192"/>
      <c r="AB134" s="192"/>
      <c r="AC134" s="255" t="str">
        <f>IF(COUNTBLANK(Y134:AB134)=4,"",SUM(Y134:AA134)+IF(Setup!$I$15="No",0,AB134))</f>
        <v/>
      </c>
      <c r="AD134" s="192"/>
      <c r="AE134" s="192"/>
      <c r="AF134" s="192"/>
      <c r="AG134" s="192"/>
      <c r="AH134" s="255" t="str">
        <f>IF(COUNTBLANK(AD134:AG134)=4,"",SUM(AD134:AF134)+IF(Setup!$I$15="No",0,AG134))</f>
        <v/>
      </c>
      <c r="AI134" s="192"/>
      <c r="AJ134" s="192"/>
      <c r="AK134" s="192"/>
      <c r="AL134" s="192"/>
      <c r="AM134" s="255" t="str">
        <f>IF(COUNTBLANK(AI134:AL134)=4,"",SUM(AI134:AK134)+IF(Setup!$I$15="No",0,AL134))</f>
        <v/>
      </c>
      <c r="AN134" s="192"/>
      <c r="AO134" s="192"/>
      <c r="AP134" s="192"/>
      <c r="AQ134" s="192"/>
      <c r="AR134" s="255" t="str">
        <f>IF(COUNTBLANK(AN134:AQ134)=4,"",SUM(AN134:AP134)+IF(Setup!$I$15="No",0,AQ134))</f>
        <v/>
      </c>
      <c r="AS134" s="192"/>
      <c r="AT134" s="192"/>
      <c r="AU134" s="192"/>
      <c r="AV134" s="192"/>
      <c r="AW134" s="255" t="str">
        <f>IF(COUNTBLANK(AS134:AV134)=4,"",SUM(AS134:AU134)+IF(Setup!$I$15="No",0,AV134))</f>
        <v/>
      </c>
      <c r="AX134" s="192"/>
      <c r="AY134" s="192"/>
      <c r="AZ134" s="192"/>
      <c r="BA134" s="192"/>
      <c r="BB134" s="255" t="str">
        <f>IF(COUNTBLANK(AX134:BA134)=4,"",SUM(AX134:AZ134)+IF(Setup!$I$15="No",0,BA134))</f>
        <v/>
      </c>
      <c r="BC134" s="259" t="str">
        <f ca="1">IF('Demand background (hide)'!A125=Num_Modalities,"",SUM(Demand!I134))</f>
        <v/>
      </c>
      <c r="BD134" s="259" t="str">
        <f ca="1">IF(AND(A134&lt;=MaxRows,BE134&lt;&gt;"Yes"),'Demand background (hide)'!X125+IF(Setup!$I$15="Yes",'Demand background (hide)'!AJ125,0),"")</f>
        <v/>
      </c>
      <c r="BE134" s="209"/>
    </row>
    <row r="135" spans="1:57" x14ac:dyDescent="0.25">
      <c r="A135" t="str">
        <f t="shared" ca="1" si="4"/>
        <v/>
      </c>
      <c r="B135" s="264" t="str">
        <f t="shared" ca="1" si="5"/>
        <v xml:space="preserve"> </v>
      </c>
      <c r="C135" s="265" t="str">
        <f t="shared" ca="1" si="6"/>
        <v/>
      </c>
      <c r="D135" s="352" t="str">
        <f t="shared" ca="1" si="7"/>
        <v/>
      </c>
      <c r="E135" s="192"/>
      <c r="F135" s="192"/>
      <c r="G135" s="192"/>
      <c r="H135" s="192"/>
      <c r="I135" s="251" t="str">
        <f>IF(COUNTBLANK(E135:H135)=4,"",SUM(E135:G135)+IF(Setup!$I$15="No",0,H135))</f>
        <v/>
      </c>
      <c r="J135" s="192"/>
      <c r="K135" s="192"/>
      <c r="L135" s="192"/>
      <c r="M135" s="192"/>
      <c r="N135" s="255" t="str">
        <f>IF(COUNTBLANK(J135:M135)=4,"",SUM(J135:L135)+IF(Setup!$I$15="No",0,M135))</f>
        <v/>
      </c>
      <c r="O135" s="192"/>
      <c r="P135" s="192"/>
      <c r="Q135" s="192"/>
      <c r="R135" s="192"/>
      <c r="S135" s="255" t="str">
        <f>IF(COUNTBLANK(O135:R135)=4,"",SUM(O135:Q135)+IF(Setup!$I$15="No",0,R135))</f>
        <v/>
      </c>
      <c r="T135" s="192"/>
      <c r="U135" s="192"/>
      <c r="V135" s="192"/>
      <c r="W135" s="192"/>
      <c r="X135" s="255" t="str">
        <f>IF(COUNTBLANK(T135:W135)=4,"",SUM(T135:V135)+IF(Setup!$I$15="No",0,W135))</f>
        <v/>
      </c>
      <c r="Y135" s="192"/>
      <c r="Z135" s="192"/>
      <c r="AA135" s="192"/>
      <c r="AB135" s="192"/>
      <c r="AC135" s="255" t="str">
        <f>IF(COUNTBLANK(Y135:AB135)=4,"",SUM(Y135:AA135)+IF(Setup!$I$15="No",0,AB135))</f>
        <v/>
      </c>
      <c r="AD135" s="192"/>
      <c r="AE135" s="192"/>
      <c r="AF135" s="192"/>
      <c r="AG135" s="192"/>
      <c r="AH135" s="255" t="str">
        <f>IF(COUNTBLANK(AD135:AG135)=4,"",SUM(AD135:AF135)+IF(Setup!$I$15="No",0,AG135))</f>
        <v/>
      </c>
      <c r="AI135" s="192"/>
      <c r="AJ135" s="192"/>
      <c r="AK135" s="192"/>
      <c r="AL135" s="192"/>
      <c r="AM135" s="255" t="str">
        <f>IF(COUNTBLANK(AI135:AL135)=4,"",SUM(AI135:AK135)+IF(Setup!$I$15="No",0,AL135))</f>
        <v/>
      </c>
      <c r="AN135" s="192"/>
      <c r="AO135" s="192"/>
      <c r="AP135" s="192"/>
      <c r="AQ135" s="192"/>
      <c r="AR135" s="255" t="str">
        <f>IF(COUNTBLANK(AN135:AQ135)=4,"",SUM(AN135:AP135)+IF(Setup!$I$15="No",0,AQ135))</f>
        <v/>
      </c>
      <c r="AS135" s="192"/>
      <c r="AT135" s="192"/>
      <c r="AU135" s="192"/>
      <c r="AV135" s="192"/>
      <c r="AW135" s="255" t="str">
        <f>IF(COUNTBLANK(AS135:AV135)=4,"",SUM(AS135:AU135)+IF(Setup!$I$15="No",0,AV135))</f>
        <v/>
      </c>
      <c r="AX135" s="192"/>
      <c r="AY135" s="192"/>
      <c r="AZ135" s="192"/>
      <c r="BA135" s="192"/>
      <c r="BB135" s="255" t="str">
        <f>IF(COUNTBLANK(AX135:BA135)=4,"",SUM(AX135:AZ135)+IF(Setup!$I$15="No",0,BA135))</f>
        <v/>
      </c>
      <c r="BC135" s="259" t="str">
        <f ca="1">IF('Demand background (hide)'!A126=Num_Modalities,"",SUM(Demand!I135))</f>
        <v/>
      </c>
      <c r="BD135" s="259" t="str">
        <f ca="1">IF(AND(A135&lt;=MaxRows,BE135&lt;&gt;"Yes"),'Demand background (hide)'!X126+IF(Setup!$I$15="Yes",'Demand background (hide)'!AJ126,0),"")</f>
        <v/>
      </c>
      <c r="BE135" s="209"/>
    </row>
    <row r="136" spans="1:57" x14ac:dyDescent="0.25">
      <c r="A136" t="str">
        <f t="shared" ca="1" si="4"/>
        <v/>
      </c>
      <c r="B136" s="264" t="str">
        <f t="shared" ca="1" si="5"/>
        <v xml:space="preserve"> </v>
      </c>
      <c r="C136" s="265" t="str">
        <f t="shared" ca="1" si="6"/>
        <v/>
      </c>
      <c r="D136" s="352" t="str">
        <f t="shared" ca="1" si="7"/>
        <v/>
      </c>
      <c r="E136" s="192"/>
      <c r="F136" s="192"/>
      <c r="G136" s="192"/>
      <c r="H136" s="192"/>
      <c r="I136" s="251" t="str">
        <f>IF(COUNTBLANK(E136:H136)=4,"",SUM(E136:G136)+IF(Setup!$I$15="No",0,H136))</f>
        <v/>
      </c>
      <c r="J136" s="192"/>
      <c r="K136" s="192"/>
      <c r="L136" s="192"/>
      <c r="M136" s="192"/>
      <c r="N136" s="255" t="str">
        <f>IF(COUNTBLANK(J136:M136)=4,"",SUM(J136:L136)+IF(Setup!$I$15="No",0,M136))</f>
        <v/>
      </c>
      <c r="O136" s="192"/>
      <c r="P136" s="192"/>
      <c r="Q136" s="192"/>
      <c r="R136" s="192"/>
      <c r="S136" s="255" t="str">
        <f>IF(COUNTBLANK(O136:R136)=4,"",SUM(O136:Q136)+IF(Setup!$I$15="No",0,R136))</f>
        <v/>
      </c>
      <c r="T136" s="192"/>
      <c r="U136" s="192"/>
      <c r="V136" s="192"/>
      <c r="W136" s="192"/>
      <c r="X136" s="255" t="str">
        <f>IF(COUNTBLANK(T136:W136)=4,"",SUM(T136:V136)+IF(Setup!$I$15="No",0,W136))</f>
        <v/>
      </c>
      <c r="Y136" s="192"/>
      <c r="Z136" s="192"/>
      <c r="AA136" s="192"/>
      <c r="AB136" s="192"/>
      <c r="AC136" s="255" t="str">
        <f>IF(COUNTBLANK(Y136:AB136)=4,"",SUM(Y136:AA136)+IF(Setup!$I$15="No",0,AB136))</f>
        <v/>
      </c>
      <c r="AD136" s="192"/>
      <c r="AE136" s="192"/>
      <c r="AF136" s="192"/>
      <c r="AG136" s="192"/>
      <c r="AH136" s="255" t="str">
        <f>IF(COUNTBLANK(AD136:AG136)=4,"",SUM(AD136:AF136)+IF(Setup!$I$15="No",0,AG136))</f>
        <v/>
      </c>
      <c r="AI136" s="192"/>
      <c r="AJ136" s="192"/>
      <c r="AK136" s="192"/>
      <c r="AL136" s="192"/>
      <c r="AM136" s="255" t="str">
        <f>IF(COUNTBLANK(AI136:AL136)=4,"",SUM(AI136:AK136)+IF(Setup!$I$15="No",0,AL136))</f>
        <v/>
      </c>
      <c r="AN136" s="192"/>
      <c r="AO136" s="192"/>
      <c r="AP136" s="192"/>
      <c r="AQ136" s="192"/>
      <c r="AR136" s="255" t="str">
        <f>IF(COUNTBLANK(AN136:AQ136)=4,"",SUM(AN136:AP136)+IF(Setup!$I$15="No",0,AQ136))</f>
        <v/>
      </c>
      <c r="AS136" s="192"/>
      <c r="AT136" s="192"/>
      <c r="AU136" s="192"/>
      <c r="AV136" s="192"/>
      <c r="AW136" s="255" t="str">
        <f>IF(COUNTBLANK(AS136:AV136)=4,"",SUM(AS136:AU136)+IF(Setup!$I$15="No",0,AV136))</f>
        <v/>
      </c>
      <c r="AX136" s="192"/>
      <c r="AY136" s="192"/>
      <c r="AZ136" s="192"/>
      <c r="BA136" s="192"/>
      <c r="BB136" s="255" t="str">
        <f>IF(COUNTBLANK(AX136:BA136)=4,"",SUM(AX136:AZ136)+IF(Setup!$I$15="No",0,BA136))</f>
        <v/>
      </c>
      <c r="BC136" s="259" t="str">
        <f ca="1">IF('Demand background (hide)'!A127=Num_Modalities,"",SUM(Demand!I136))</f>
        <v/>
      </c>
      <c r="BD136" s="259" t="str">
        <f ca="1">IF(AND(A136&lt;=MaxRows,BE136&lt;&gt;"Yes"),'Demand background (hide)'!X127+IF(Setup!$I$15="Yes",'Demand background (hide)'!AJ127,0),"")</f>
        <v/>
      </c>
      <c r="BE136" s="209"/>
    </row>
    <row r="137" spans="1:57" x14ac:dyDescent="0.25">
      <c r="A137" t="str">
        <f t="shared" ca="1" si="4"/>
        <v/>
      </c>
      <c r="B137" s="264" t="str">
        <f t="shared" ca="1" si="5"/>
        <v xml:space="preserve"> </v>
      </c>
      <c r="C137" s="265" t="str">
        <f t="shared" ca="1" si="6"/>
        <v/>
      </c>
      <c r="D137" s="352" t="str">
        <f t="shared" ca="1" si="7"/>
        <v/>
      </c>
      <c r="E137" s="192"/>
      <c r="F137" s="192"/>
      <c r="G137" s="192"/>
      <c r="H137" s="192"/>
      <c r="I137" s="251" t="str">
        <f>IF(COUNTBLANK(E137:H137)=4,"",SUM(E137:G137)+IF(Setup!$I$15="No",0,H137))</f>
        <v/>
      </c>
      <c r="J137" s="192"/>
      <c r="K137" s="192"/>
      <c r="L137" s="192"/>
      <c r="M137" s="192"/>
      <c r="N137" s="255" t="str">
        <f>IF(COUNTBLANK(J137:M137)=4,"",SUM(J137:L137)+IF(Setup!$I$15="No",0,M137))</f>
        <v/>
      </c>
      <c r="O137" s="192"/>
      <c r="P137" s="192"/>
      <c r="Q137" s="192"/>
      <c r="R137" s="192"/>
      <c r="S137" s="255" t="str">
        <f>IF(COUNTBLANK(O137:R137)=4,"",SUM(O137:Q137)+IF(Setup!$I$15="No",0,R137))</f>
        <v/>
      </c>
      <c r="T137" s="192"/>
      <c r="U137" s="192"/>
      <c r="V137" s="192"/>
      <c r="W137" s="192"/>
      <c r="X137" s="255" t="str">
        <f>IF(COUNTBLANK(T137:W137)=4,"",SUM(T137:V137)+IF(Setup!$I$15="No",0,W137))</f>
        <v/>
      </c>
      <c r="Y137" s="192"/>
      <c r="Z137" s="192"/>
      <c r="AA137" s="192"/>
      <c r="AB137" s="192"/>
      <c r="AC137" s="255" t="str">
        <f>IF(COUNTBLANK(Y137:AB137)=4,"",SUM(Y137:AA137)+IF(Setup!$I$15="No",0,AB137))</f>
        <v/>
      </c>
      <c r="AD137" s="192"/>
      <c r="AE137" s="192"/>
      <c r="AF137" s="192"/>
      <c r="AG137" s="192"/>
      <c r="AH137" s="255" t="str">
        <f>IF(COUNTBLANK(AD137:AG137)=4,"",SUM(AD137:AF137)+IF(Setup!$I$15="No",0,AG137))</f>
        <v/>
      </c>
      <c r="AI137" s="192"/>
      <c r="AJ137" s="192"/>
      <c r="AK137" s="192"/>
      <c r="AL137" s="192"/>
      <c r="AM137" s="255" t="str">
        <f>IF(COUNTBLANK(AI137:AL137)=4,"",SUM(AI137:AK137)+IF(Setup!$I$15="No",0,AL137))</f>
        <v/>
      </c>
      <c r="AN137" s="192"/>
      <c r="AO137" s="192"/>
      <c r="AP137" s="192"/>
      <c r="AQ137" s="192"/>
      <c r="AR137" s="255" t="str">
        <f>IF(COUNTBLANK(AN137:AQ137)=4,"",SUM(AN137:AP137)+IF(Setup!$I$15="No",0,AQ137))</f>
        <v/>
      </c>
      <c r="AS137" s="192"/>
      <c r="AT137" s="192"/>
      <c r="AU137" s="192"/>
      <c r="AV137" s="192"/>
      <c r="AW137" s="255" t="str">
        <f>IF(COUNTBLANK(AS137:AV137)=4,"",SUM(AS137:AU137)+IF(Setup!$I$15="No",0,AV137))</f>
        <v/>
      </c>
      <c r="AX137" s="192"/>
      <c r="AY137" s="192"/>
      <c r="AZ137" s="192"/>
      <c r="BA137" s="192"/>
      <c r="BB137" s="255" t="str">
        <f>IF(COUNTBLANK(AX137:BA137)=4,"",SUM(AX137:AZ137)+IF(Setup!$I$15="No",0,BA137))</f>
        <v/>
      </c>
      <c r="BC137" s="259" t="str">
        <f ca="1">IF('Demand background (hide)'!A128=Num_Modalities,"",SUM(Demand!I137))</f>
        <v/>
      </c>
      <c r="BD137" s="259" t="str">
        <f ca="1">IF(AND(A137&lt;=MaxRows,BE137&lt;&gt;"Yes"),'Demand background (hide)'!X128+IF(Setup!$I$15="Yes",'Demand background (hide)'!AJ128,0),"")</f>
        <v/>
      </c>
      <c r="BE137" s="209"/>
    </row>
    <row r="138" spans="1:57" x14ac:dyDescent="0.25">
      <c r="A138" t="str">
        <f t="shared" ca="1" si="4"/>
        <v/>
      </c>
      <c r="B138" s="264" t="str">
        <f t="shared" ca="1" si="5"/>
        <v xml:space="preserve"> </v>
      </c>
      <c r="C138" s="265" t="str">
        <f t="shared" ca="1" si="6"/>
        <v/>
      </c>
      <c r="D138" s="352" t="str">
        <f t="shared" ca="1" si="7"/>
        <v/>
      </c>
      <c r="E138" s="192"/>
      <c r="F138" s="192"/>
      <c r="G138" s="192"/>
      <c r="H138" s="192"/>
      <c r="I138" s="251" t="str">
        <f>IF(COUNTBLANK(E138:H138)=4,"",SUM(E138:G138)+IF(Setup!$I$15="No",0,H138))</f>
        <v/>
      </c>
      <c r="J138" s="192"/>
      <c r="K138" s="192"/>
      <c r="L138" s="192"/>
      <c r="M138" s="192"/>
      <c r="N138" s="255" t="str">
        <f>IF(COUNTBLANK(J138:M138)=4,"",SUM(J138:L138)+IF(Setup!$I$15="No",0,M138))</f>
        <v/>
      </c>
      <c r="O138" s="192"/>
      <c r="P138" s="192"/>
      <c r="Q138" s="192"/>
      <c r="R138" s="192"/>
      <c r="S138" s="255" t="str">
        <f>IF(COUNTBLANK(O138:R138)=4,"",SUM(O138:Q138)+IF(Setup!$I$15="No",0,R138))</f>
        <v/>
      </c>
      <c r="T138" s="192"/>
      <c r="U138" s="192"/>
      <c r="V138" s="192"/>
      <c r="W138" s="192"/>
      <c r="X138" s="255" t="str">
        <f>IF(COUNTBLANK(T138:W138)=4,"",SUM(T138:V138)+IF(Setup!$I$15="No",0,W138))</f>
        <v/>
      </c>
      <c r="Y138" s="192"/>
      <c r="Z138" s="192"/>
      <c r="AA138" s="192"/>
      <c r="AB138" s="192"/>
      <c r="AC138" s="255" t="str">
        <f>IF(COUNTBLANK(Y138:AB138)=4,"",SUM(Y138:AA138)+IF(Setup!$I$15="No",0,AB138))</f>
        <v/>
      </c>
      <c r="AD138" s="192"/>
      <c r="AE138" s="192"/>
      <c r="AF138" s="192"/>
      <c r="AG138" s="192"/>
      <c r="AH138" s="255" t="str">
        <f>IF(COUNTBLANK(AD138:AG138)=4,"",SUM(AD138:AF138)+IF(Setup!$I$15="No",0,AG138))</f>
        <v/>
      </c>
      <c r="AI138" s="192"/>
      <c r="AJ138" s="192"/>
      <c r="AK138" s="192"/>
      <c r="AL138" s="192"/>
      <c r="AM138" s="255" t="str">
        <f>IF(COUNTBLANK(AI138:AL138)=4,"",SUM(AI138:AK138)+IF(Setup!$I$15="No",0,AL138))</f>
        <v/>
      </c>
      <c r="AN138" s="192"/>
      <c r="AO138" s="192"/>
      <c r="AP138" s="192"/>
      <c r="AQ138" s="192"/>
      <c r="AR138" s="255" t="str">
        <f>IF(COUNTBLANK(AN138:AQ138)=4,"",SUM(AN138:AP138)+IF(Setup!$I$15="No",0,AQ138))</f>
        <v/>
      </c>
      <c r="AS138" s="192"/>
      <c r="AT138" s="192"/>
      <c r="AU138" s="192"/>
      <c r="AV138" s="192"/>
      <c r="AW138" s="255" t="str">
        <f>IF(COUNTBLANK(AS138:AV138)=4,"",SUM(AS138:AU138)+IF(Setup!$I$15="No",0,AV138))</f>
        <v/>
      </c>
      <c r="AX138" s="192"/>
      <c r="AY138" s="192"/>
      <c r="AZ138" s="192"/>
      <c r="BA138" s="192"/>
      <c r="BB138" s="255" t="str">
        <f>IF(COUNTBLANK(AX138:BA138)=4,"",SUM(AX138:AZ138)+IF(Setup!$I$15="No",0,BA138))</f>
        <v/>
      </c>
      <c r="BC138" s="259" t="str">
        <f ca="1">IF('Demand background (hide)'!A129=Num_Modalities,"",SUM(Demand!I138))</f>
        <v/>
      </c>
      <c r="BD138" s="259" t="str">
        <f ca="1">IF(AND(A138&lt;=MaxRows,BE138&lt;&gt;"Yes"),'Demand background (hide)'!X129+IF(Setup!$I$15="Yes",'Demand background (hide)'!AJ129,0),"")</f>
        <v/>
      </c>
      <c r="BE138" s="209"/>
    </row>
    <row r="139" spans="1:57" x14ac:dyDescent="0.25">
      <c r="A139" t="str">
        <f t="shared" ca="1" si="4"/>
        <v/>
      </c>
      <c r="B139" s="264" t="str">
        <f t="shared" ca="1" si="5"/>
        <v xml:space="preserve"> </v>
      </c>
      <c r="C139" s="265" t="str">
        <f t="shared" ca="1" si="6"/>
        <v/>
      </c>
      <c r="D139" s="352" t="str">
        <f t="shared" ca="1" si="7"/>
        <v/>
      </c>
      <c r="E139" s="192"/>
      <c r="F139" s="192"/>
      <c r="G139" s="192"/>
      <c r="H139" s="192"/>
      <c r="I139" s="251" t="str">
        <f>IF(COUNTBLANK(E139:H139)=4,"",SUM(E139:G139)+IF(Setup!$I$15="No",0,H139))</f>
        <v/>
      </c>
      <c r="J139" s="192"/>
      <c r="K139" s="192"/>
      <c r="L139" s="192"/>
      <c r="M139" s="192"/>
      <c r="N139" s="255" t="str">
        <f>IF(COUNTBLANK(J139:M139)=4,"",SUM(J139:L139)+IF(Setup!$I$15="No",0,M139))</f>
        <v/>
      </c>
      <c r="O139" s="192"/>
      <c r="P139" s="192"/>
      <c r="Q139" s="192"/>
      <c r="R139" s="192"/>
      <c r="S139" s="255" t="str">
        <f>IF(COUNTBLANK(O139:R139)=4,"",SUM(O139:Q139)+IF(Setup!$I$15="No",0,R139))</f>
        <v/>
      </c>
      <c r="T139" s="192"/>
      <c r="U139" s="192"/>
      <c r="V139" s="192"/>
      <c r="W139" s="192"/>
      <c r="X139" s="255" t="str">
        <f>IF(COUNTBLANK(T139:W139)=4,"",SUM(T139:V139)+IF(Setup!$I$15="No",0,W139))</f>
        <v/>
      </c>
      <c r="Y139" s="192"/>
      <c r="Z139" s="192"/>
      <c r="AA139" s="192"/>
      <c r="AB139" s="192"/>
      <c r="AC139" s="255" t="str">
        <f>IF(COUNTBLANK(Y139:AB139)=4,"",SUM(Y139:AA139)+IF(Setup!$I$15="No",0,AB139))</f>
        <v/>
      </c>
      <c r="AD139" s="192"/>
      <c r="AE139" s="192"/>
      <c r="AF139" s="192"/>
      <c r="AG139" s="192"/>
      <c r="AH139" s="255" t="str">
        <f>IF(COUNTBLANK(AD139:AG139)=4,"",SUM(AD139:AF139)+IF(Setup!$I$15="No",0,AG139))</f>
        <v/>
      </c>
      <c r="AI139" s="192"/>
      <c r="AJ139" s="192"/>
      <c r="AK139" s="192"/>
      <c r="AL139" s="192"/>
      <c r="AM139" s="255" t="str">
        <f>IF(COUNTBLANK(AI139:AL139)=4,"",SUM(AI139:AK139)+IF(Setup!$I$15="No",0,AL139))</f>
        <v/>
      </c>
      <c r="AN139" s="192"/>
      <c r="AO139" s="192"/>
      <c r="AP139" s="192"/>
      <c r="AQ139" s="192"/>
      <c r="AR139" s="255" t="str">
        <f>IF(COUNTBLANK(AN139:AQ139)=4,"",SUM(AN139:AP139)+IF(Setup!$I$15="No",0,AQ139))</f>
        <v/>
      </c>
      <c r="AS139" s="192"/>
      <c r="AT139" s="192"/>
      <c r="AU139" s="192"/>
      <c r="AV139" s="192"/>
      <c r="AW139" s="255" t="str">
        <f>IF(COUNTBLANK(AS139:AV139)=4,"",SUM(AS139:AU139)+IF(Setup!$I$15="No",0,AV139))</f>
        <v/>
      </c>
      <c r="AX139" s="192"/>
      <c r="AY139" s="192"/>
      <c r="AZ139" s="192"/>
      <c r="BA139" s="192"/>
      <c r="BB139" s="255" t="str">
        <f>IF(COUNTBLANK(AX139:BA139)=4,"",SUM(AX139:AZ139)+IF(Setup!$I$15="No",0,BA139))</f>
        <v/>
      </c>
      <c r="BC139" s="259" t="str">
        <f ca="1">IF('Demand background (hide)'!A130=Num_Modalities,"",SUM(Demand!I139))</f>
        <v/>
      </c>
      <c r="BD139" s="259" t="str">
        <f ca="1">IF(AND(A139&lt;=MaxRows,BE139&lt;&gt;"Yes"),'Demand background (hide)'!X130+IF(Setup!$I$15="Yes",'Demand background (hide)'!AJ130,0),"")</f>
        <v/>
      </c>
      <c r="BE139" s="209"/>
    </row>
    <row r="140" spans="1:57" x14ac:dyDescent="0.25">
      <c r="A140" t="str">
        <f t="shared" ca="1" si="4"/>
        <v/>
      </c>
      <c r="B140" s="264" t="str">
        <f t="shared" ca="1" si="5"/>
        <v xml:space="preserve"> </v>
      </c>
      <c r="C140" s="265" t="str">
        <f t="shared" ca="1" si="6"/>
        <v/>
      </c>
      <c r="D140" s="352" t="str">
        <f t="shared" ca="1" si="7"/>
        <v/>
      </c>
      <c r="E140" s="192"/>
      <c r="F140" s="192"/>
      <c r="G140" s="192"/>
      <c r="H140" s="192"/>
      <c r="I140" s="251" t="str">
        <f>IF(COUNTBLANK(E140:H140)=4,"",SUM(E140:G140)+IF(Setup!$I$15="No",0,H140))</f>
        <v/>
      </c>
      <c r="J140" s="192"/>
      <c r="K140" s="192"/>
      <c r="L140" s="192"/>
      <c r="M140" s="192"/>
      <c r="N140" s="255" t="str">
        <f>IF(COUNTBLANK(J140:M140)=4,"",SUM(J140:L140)+IF(Setup!$I$15="No",0,M140))</f>
        <v/>
      </c>
      <c r="O140" s="192"/>
      <c r="P140" s="192"/>
      <c r="Q140" s="192"/>
      <c r="R140" s="192"/>
      <c r="S140" s="255" t="str">
        <f>IF(COUNTBLANK(O140:R140)=4,"",SUM(O140:Q140)+IF(Setup!$I$15="No",0,R140))</f>
        <v/>
      </c>
      <c r="T140" s="192"/>
      <c r="U140" s="192"/>
      <c r="V140" s="192"/>
      <c r="W140" s="192"/>
      <c r="X140" s="255" t="str">
        <f>IF(COUNTBLANK(T140:W140)=4,"",SUM(T140:V140)+IF(Setup!$I$15="No",0,W140))</f>
        <v/>
      </c>
      <c r="Y140" s="192"/>
      <c r="Z140" s="192"/>
      <c r="AA140" s="192"/>
      <c r="AB140" s="192"/>
      <c r="AC140" s="255" t="str">
        <f>IF(COUNTBLANK(Y140:AB140)=4,"",SUM(Y140:AA140)+IF(Setup!$I$15="No",0,AB140))</f>
        <v/>
      </c>
      <c r="AD140" s="192"/>
      <c r="AE140" s="192"/>
      <c r="AF140" s="192"/>
      <c r="AG140" s="192"/>
      <c r="AH140" s="255" t="str">
        <f>IF(COUNTBLANK(AD140:AG140)=4,"",SUM(AD140:AF140)+IF(Setup!$I$15="No",0,AG140))</f>
        <v/>
      </c>
      <c r="AI140" s="192"/>
      <c r="AJ140" s="192"/>
      <c r="AK140" s="192"/>
      <c r="AL140" s="192"/>
      <c r="AM140" s="255" t="str">
        <f>IF(COUNTBLANK(AI140:AL140)=4,"",SUM(AI140:AK140)+IF(Setup!$I$15="No",0,AL140))</f>
        <v/>
      </c>
      <c r="AN140" s="192"/>
      <c r="AO140" s="192"/>
      <c r="AP140" s="192"/>
      <c r="AQ140" s="192"/>
      <c r="AR140" s="255" t="str">
        <f>IF(COUNTBLANK(AN140:AQ140)=4,"",SUM(AN140:AP140)+IF(Setup!$I$15="No",0,AQ140))</f>
        <v/>
      </c>
      <c r="AS140" s="192"/>
      <c r="AT140" s="192"/>
      <c r="AU140" s="192"/>
      <c r="AV140" s="192"/>
      <c r="AW140" s="255" t="str">
        <f>IF(COUNTBLANK(AS140:AV140)=4,"",SUM(AS140:AU140)+IF(Setup!$I$15="No",0,AV140))</f>
        <v/>
      </c>
      <c r="AX140" s="192"/>
      <c r="AY140" s="192"/>
      <c r="AZ140" s="192"/>
      <c r="BA140" s="192"/>
      <c r="BB140" s="255" t="str">
        <f>IF(COUNTBLANK(AX140:BA140)=4,"",SUM(AX140:AZ140)+IF(Setup!$I$15="No",0,BA140))</f>
        <v/>
      </c>
      <c r="BC140" s="259" t="str">
        <f ca="1">IF('Demand background (hide)'!A131=Num_Modalities,"",SUM(Demand!I140))</f>
        <v/>
      </c>
      <c r="BD140" s="259" t="str">
        <f ca="1">IF(AND(A140&lt;=MaxRows,BE140&lt;&gt;"Yes"),'Demand background (hide)'!X131+IF(Setup!$I$15="Yes",'Demand background (hide)'!AJ131,0),"")</f>
        <v/>
      </c>
      <c r="BE140" s="209"/>
    </row>
    <row r="141" spans="1:57" x14ac:dyDescent="0.25">
      <c r="A141" t="str">
        <f t="shared" ref="A141:A204" ca="1" si="8">IF(BC141&lt;&gt;"",ROW(A129),"")</f>
        <v/>
      </c>
      <c r="B141" s="264" t="str">
        <f t="shared" ca="1" si="5"/>
        <v xml:space="preserve"> </v>
      </c>
      <c r="C141" s="265" t="str">
        <f t="shared" ca="1" si="6"/>
        <v/>
      </c>
      <c r="D141" s="352" t="str">
        <f t="shared" ca="1" si="7"/>
        <v/>
      </c>
      <c r="E141" s="192"/>
      <c r="F141" s="192"/>
      <c r="G141" s="192"/>
      <c r="H141" s="192"/>
      <c r="I141" s="251" t="str">
        <f>IF(COUNTBLANK(E141:H141)=4,"",SUM(E141:G141)+IF(Setup!$I$15="No",0,H141))</f>
        <v/>
      </c>
      <c r="J141" s="192"/>
      <c r="K141" s="192"/>
      <c r="L141" s="192"/>
      <c r="M141" s="192"/>
      <c r="N141" s="255" t="str">
        <f>IF(COUNTBLANK(J141:M141)=4,"",SUM(J141:L141)+IF(Setup!$I$15="No",0,M141))</f>
        <v/>
      </c>
      <c r="O141" s="192"/>
      <c r="P141" s="192"/>
      <c r="Q141" s="192"/>
      <c r="R141" s="192"/>
      <c r="S141" s="255" t="str">
        <f>IF(COUNTBLANK(O141:R141)=4,"",SUM(O141:Q141)+IF(Setup!$I$15="No",0,R141))</f>
        <v/>
      </c>
      <c r="T141" s="192"/>
      <c r="U141" s="192"/>
      <c r="V141" s="192"/>
      <c r="W141" s="192"/>
      <c r="X141" s="255" t="str">
        <f>IF(COUNTBLANK(T141:W141)=4,"",SUM(T141:V141)+IF(Setup!$I$15="No",0,W141))</f>
        <v/>
      </c>
      <c r="Y141" s="192"/>
      <c r="Z141" s="192"/>
      <c r="AA141" s="192"/>
      <c r="AB141" s="192"/>
      <c r="AC141" s="255" t="str">
        <f>IF(COUNTBLANK(Y141:AB141)=4,"",SUM(Y141:AA141)+IF(Setup!$I$15="No",0,AB141))</f>
        <v/>
      </c>
      <c r="AD141" s="192"/>
      <c r="AE141" s="192"/>
      <c r="AF141" s="192"/>
      <c r="AG141" s="192"/>
      <c r="AH141" s="255" t="str">
        <f>IF(COUNTBLANK(AD141:AG141)=4,"",SUM(AD141:AF141)+IF(Setup!$I$15="No",0,AG141))</f>
        <v/>
      </c>
      <c r="AI141" s="192"/>
      <c r="AJ141" s="192"/>
      <c r="AK141" s="192"/>
      <c r="AL141" s="192"/>
      <c r="AM141" s="255" t="str">
        <f>IF(COUNTBLANK(AI141:AL141)=4,"",SUM(AI141:AK141)+IF(Setup!$I$15="No",0,AL141))</f>
        <v/>
      </c>
      <c r="AN141" s="192"/>
      <c r="AO141" s="192"/>
      <c r="AP141" s="192"/>
      <c r="AQ141" s="192"/>
      <c r="AR141" s="255" t="str">
        <f>IF(COUNTBLANK(AN141:AQ141)=4,"",SUM(AN141:AP141)+IF(Setup!$I$15="No",0,AQ141))</f>
        <v/>
      </c>
      <c r="AS141" s="192"/>
      <c r="AT141" s="192"/>
      <c r="AU141" s="192"/>
      <c r="AV141" s="192"/>
      <c r="AW141" s="255" t="str">
        <f>IF(COUNTBLANK(AS141:AV141)=4,"",SUM(AS141:AU141)+IF(Setup!$I$15="No",0,AV141))</f>
        <v/>
      </c>
      <c r="AX141" s="192"/>
      <c r="AY141" s="192"/>
      <c r="AZ141" s="192"/>
      <c r="BA141" s="192"/>
      <c r="BB141" s="255" t="str">
        <f>IF(COUNTBLANK(AX141:BA141)=4,"",SUM(AX141:AZ141)+IF(Setup!$I$15="No",0,BA141))</f>
        <v/>
      </c>
      <c r="BC141" s="259" t="str">
        <f ca="1">IF('Demand background (hide)'!A132=Num_Modalities,"",SUM(Demand!I141))</f>
        <v/>
      </c>
      <c r="BD141" s="259" t="str">
        <f ca="1">IF(AND(A141&lt;=MaxRows,BE141&lt;&gt;"Yes"),'Demand background (hide)'!X132+IF(Setup!$I$15="Yes",'Demand background (hide)'!AJ132,0),"")</f>
        <v/>
      </c>
      <c r="BE141" s="209"/>
    </row>
    <row r="142" spans="1:57" x14ac:dyDescent="0.25">
      <c r="A142" t="str">
        <f t="shared" ca="1" si="8"/>
        <v/>
      </c>
      <c r="B142" s="264" t="str">
        <f t="shared" ref="B142:B205" ca="1" si="9">IF(A142&lt;=MaxRows,IF($C$6&lt;&gt;"",IF(YEAR(D142)&lt;&gt;YEAR(D141),YEAR(D142)," "),IF(C142&lt;&gt;1,"",OFFSET(B142,-C141,0,1,1)+1))," ")</f>
        <v xml:space="preserve"> </v>
      </c>
      <c r="C142" s="265" t="str">
        <f t="shared" ref="C142:C205" ca="1" si="10">IF(ROW(A130)&lt;=MaxRows,IF($C$6&lt;&gt;"",WEEKNUM(D142,21),IF(MOD((C141+1),52)&gt;0,MOD((C141+1),52),52)),"")</f>
        <v/>
      </c>
      <c r="D142" s="352" t="str">
        <f t="shared" ref="D142:D205" ca="1" si="11">IF(OR(AND(ROW(A130)&lt;=MaxRows,$C$6&lt;&gt;""),AND(ROW(A142)&lt;=64,LEFT($C$8,1)&lt;&gt;"H")),D141+7,"")</f>
        <v/>
      </c>
      <c r="E142" s="192"/>
      <c r="F142" s="192"/>
      <c r="G142" s="192"/>
      <c r="H142" s="192"/>
      <c r="I142" s="251" t="str">
        <f>IF(COUNTBLANK(E142:H142)=4,"",SUM(E142:G142)+IF(Setup!$I$15="No",0,H142))</f>
        <v/>
      </c>
      <c r="J142" s="192"/>
      <c r="K142" s="192"/>
      <c r="L142" s="192"/>
      <c r="M142" s="192"/>
      <c r="N142" s="255" t="str">
        <f>IF(COUNTBLANK(J142:M142)=4,"",SUM(J142:L142)+IF(Setup!$I$15="No",0,M142))</f>
        <v/>
      </c>
      <c r="O142" s="192"/>
      <c r="P142" s="192"/>
      <c r="Q142" s="192"/>
      <c r="R142" s="192"/>
      <c r="S142" s="255" t="str">
        <f>IF(COUNTBLANK(O142:R142)=4,"",SUM(O142:Q142)+IF(Setup!$I$15="No",0,R142))</f>
        <v/>
      </c>
      <c r="T142" s="192"/>
      <c r="U142" s="192"/>
      <c r="V142" s="192"/>
      <c r="W142" s="192"/>
      <c r="X142" s="255" t="str">
        <f>IF(COUNTBLANK(T142:W142)=4,"",SUM(T142:V142)+IF(Setup!$I$15="No",0,W142))</f>
        <v/>
      </c>
      <c r="Y142" s="192"/>
      <c r="Z142" s="192"/>
      <c r="AA142" s="192"/>
      <c r="AB142" s="192"/>
      <c r="AC142" s="255" t="str">
        <f>IF(COUNTBLANK(Y142:AB142)=4,"",SUM(Y142:AA142)+IF(Setup!$I$15="No",0,AB142))</f>
        <v/>
      </c>
      <c r="AD142" s="192"/>
      <c r="AE142" s="192"/>
      <c r="AF142" s="192"/>
      <c r="AG142" s="192"/>
      <c r="AH142" s="255" t="str">
        <f>IF(COUNTBLANK(AD142:AG142)=4,"",SUM(AD142:AF142)+IF(Setup!$I$15="No",0,AG142))</f>
        <v/>
      </c>
      <c r="AI142" s="192"/>
      <c r="AJ142" s="192"/>
      <c r="AK142" s="192"/>
      <c r="AL142" s="192"/>
      <c r="AM142" s="255" t="str">
        <f>IF(COUNTBLANK(AI142:AL142)=4,"",SUM(AI142:AK142)+IF(Setup!$I$15="No",0,AL142))</f>
        <v/>
      </c>
      <c r="AN142" s="192"/>
      <c r="AO142" s="192"/>
      <c r="AP142" s="192"/>
      <c r="AQ142" s="192"/>
      <c r="AR142" s="255" t="str">
        <f>IF(COUNTBLANK(AN142:AQ142)=4,"",SUM(AN142:AP142)+IF(Setup!$I$15="No",0,AQ142))</f>
        <v/>
      </c>
      <c r="AS142" s="192"/>
      <c r="AT142" s="192"/>
      <c r="AU142" s="192"/>
      <c r="AV142" s="192"/>
      <c r="AW142" s="255" t="str">
        <f>IF(COUNTBLANK(AS142:AV142)=4,"",SUM(AS142:AU142)+IF(Setup!$I$15="No",0,AV142))</f>
        <v/>
      </c>
      <c r="AX142" s="192"/>
      <c r="AY142" s="192"/>
      <c r="AZ142" s="192"/>
      <c r="BA142" s="192"/>
      <c r="BB142" s="255" t="str">
        <f>IF(COUNTBLANK(AX142:BA142)=4,"",SUM(AX142:AZ142)+IF(Setup!$I$15="No",0,BA142))</f>
        <v/>
      </c>
      <c r="BC142" s="259" t="str">
        <f ca="1">IF('Demand background (hide)'!A133=Num_Modalities,"",SUM(Demand!I142))</f>
        <v/>
      </c>
      <c r="BD142" s="259" t="str">
        <f ca="1">IF(AND(A142&lt;=MaxRows,BE142&lt;&gt;"Yes"),'Demand background (hide)'!X133+IF(Setup!$I$15="Yes",'Demand background (hide)'!AJ133,0),"")</f>
        <v/>
      </c>
      <c r="BE142" s="209"/>
    </row>
    <row r="143" spans="1:57" x14ac:dyDescent="0.25">
      <c r="A143" t="str">
        <f t="shared" ca="1" si="8"/>
        <v/>
      </c>
      <c r="B143" s="264" t="str">
        <f t="shared" ca="1" si="9"/>
        <v xml:space="preserve"> </v>
      </c>
      <c r="C143" s="265" t="str">
        <f t="shared" ca="1" si="10"/>
        <v/>
      </c>
      <c r="D143" s="352" t="str">
        <f t="shared" ca="1" si="11"/>
        <v/>
      </c>
      <c r="E143" s="192"/>
      <c r="F143" s="192"/>
      <c r="G143" s="192"/>
      <c r="H143" s="192"/>
      <c r="I143" s="251" t="str">
        <f>IF(COUNTBLANK(E143:H143)=4,"",SUM(E143:G143)+IF(Setup!$I$15="No",0,H143))</f>
        <v/>
      </c>
      <c r="J143" s="192"/>
      <c r="K143" s="192"/>
      <c r="L143" s="192"/>
      <c r="M143" s="192"/>
      <c r="N143" s="255" t="str">
        <f>IF(COUNTBLANK(J143:M143)=4,"",SUM(J143:L143)+IF(Setup!$I$15="No",0,M143))</f>
        <v/>
      </c>
      <c r="O143" s="192"/>
      <c r="P143" s="192"/>
      <c r="Q143" s="192"/>
      <c r="R143" s="192"/>
      <c r="S143" s="255" t="str">
        <f>IF(COUNTBLANK(O143:R143)=4,"",SUM(O143:Q143)+IF(Setup!$I$15="No",0,R143))</f>
        <v/>
      </c>
      <c r="T143" s="192"/>
      <c r="U143" s="192"/>
      <c r="V143" s="192"/>
      <c r="W143" s="192"/>
      <c r="X143" s="255" t="str">
        <f>IF(COUNTBLANK(T143:W143)=4,"",SUM(T143:V143)+IF(Setup!$I$15="No",0,W143))</f>
        <v/>
      </c>
      <c r="Y143" s="192"/>
      <c r="Z143" s="192"/>
      <c r="AA143" s="192"/>
      <c r="AB143" s="192"/>
      <c r="AC143" s="255" t="str">
        <f>IF(COUNTBLANK(Y143:AB143)=4,"",SUM(Y143:AA143)+IF(Setup!$I$15="No",0,AB143))</f>
        <v/>
      </c>
      <c r="AD143" s="192"/>
      <c r="AE143" s="192"/>
      <c r="AF143" s="192"/>
      <c r="AG143" s="192"/>
      <c r="AH143" s="255" t="str">
        <f>IF(COUNTBLANK(AD143:AG143)=4,"",SUM(AD143:AF143)+IF(Setup!$I$15="No",0,AG143))</f>
        <v/>
      </c>
      <c r="AI143" s="192"/>
      <c r="AJ143" s="192"/>
      <c r="AK143" s="192"/>
      <c r="AL143" s="192"/>
      <c r="AM143" s="255" t="str">
        <f>IF(COUNTBLANK(AI143:AL143)=4,"",SUM(AI143:AK143)+IF(Setup!$I$15="No",0,AL143))</f>
        <v/>
      </c>
      <c r="AN143" s="192"/>
      <c r="AO143" s="192"/>
      <c r="AP143" s="192"/>
      <c r="AQ143" s="192"/>
      <c r="AR143" s="255" t="str">
        <f>IF(COUNTBLANK(AN143:AQ143)=4,"",SUM(AN143:AP143)+IF(Setup!$I$15="No",0,AQ143))</f>
        <v/>
      </c>
      <c r="AS143" s="192"/>
      <c r="AT143" s="192"/>
      <c r="AU143" s="192"/>
      <c r="AV143" s="192"/>
      <c r="AW143" s="255" t="str">
        <f>IF(COUNTBLANK(AS143:AV143)=4,"",SUM(AS143:AU143)+IF(Setup!$I$15="No",0,AV143))</f>
        <v/>
      </c>
      <c r="AX143" s="192"/>
      <c r="AY143" s="192"/>
      <c r="AZ143" s="192"/>
      <c r="BA143" s="192"/>
      <c r="BB143" s="255" t="str">
        <f>IF(COUNTBLANK(AX143:BA143)=4,"",SUM(AX143:AZ143)+IF(Setup!$I$15="No",0,BA143))</f>
        <v/>
      </c>
      <c r="BC143" s="259" t="str">
        <f ca="1">IF('Demand background (hide)'!A134=Num_Modalities,"",SUM(Demand!I143))</f>
        <v/>
      </c>
      <c r="BD143" s="259" t="str">
        <f ca="1">IF(AND(A143&lt;=MaxRows,BE143&lt;&gt;"Yes"),'Demand background (hide)'!X134+IF(Setup!$I$15="Yes",'Demand background (hide)'!AJ134,0),"")</f>
        <v/>
      </c>
      <c r="BE143" s="209"/>
    </row>
    <row r="144" spans="1:57" x14ac:dyDescent="0.25">
      <c r="A144" t="str">
        <f t="shared" ca="1" si="8"/>
        <v/>
      </c>
      <c r="B144" s="264" t="str">
        <f t="shared" ca="1" si="9"/>
        <v xml:space="preserve"> </v>
      </c>
      <c r="C144" s="265" t="str">
        <f t="shared" ca="1" si="10"/>
        <v/>
      </c>
      <c r="D144" s="352" t="str">
        <f t="shared" ca="1" si="11"/>
        <v/>
      </c>
      <c r="E144" s="192"/>
      <c r="F144" s="192"/>
      <c r="G144" s="192"/>
      <c r="H144" s="192"/>
      <c r="I144" s="251" t="str">
        <f>IF(COUNTBLANK(E144:H144)=4,"",SUM(E144:G144)+IF(Setup!$I$15="No",0,H144))</f>
        <v/>
      </c>
      <c r="J144" s="192"/>
      <c r="K144" s="192"/>
      <c r="L144" s="192"/>
      <c r="M144" s="192"/>
      <c r="N144" s="255" t="str">
        <f>IF(COUNTBLANK(J144:M144)=4,"",SUM(J144:L144)+IF(Setup!$I$15="No",0,M144))</f>
        <v/>
      </c>
      <c r="O144" s="192"/>
      <c r="P144" s="192"/>
      <c r="Q144" s="192"/>
      <c r="R144" s="192"/>
      <c r="S144" s="255" t="str">
        <f>IF(COUNTBLANK(O144:R144)=4,"",SUM(O144:Q144)+IF(Setup!$I$15="No",0,R144))</f>
        <v/>
      </c>
      <c r="T144" s="192"/>
      <c r="U144" s="192"/>
      <c r="V144" s="192"/>
      <c r="W144" s="192"/>
      <c r="X144" s="255" t="str">
        <f>IF(COUNTBLANK(T144:W144)=4,"",SUM(T144:V144)+IF(Setup!$I$15="No",0,W144))</f>
        <v/>
      </c>
      <c r="Y144" s="192"/>
      <c r="Z144" s="192"/>
      <c r="AA144" s="192"/>
      <c r="AB144" s="192"/>
      <c r="AC144" s="255" t="str">
        <f>IF(COUNTBLANK(Y144:AB144)=4,"",SUM(Y144:AA144)+IF(Setup!$I$15="No",0,AB144))</f>
        <v/>
      </c>
      <c r="AD144" s="192"/>
      <c r="AE144" s="192"/>
      <c r="AF144" s="192"/>
      <c r="AG144" s="192"/>
      <c r="AH144" s="255" t="str">
        <f>IF(COUNTBLANK(AD144:AG144)=4,"",SUM(AD144:AF144)+IF(Setup!$I$15="No",0,AG144))</f>
        <v/>
      </c>
      <c r="AI144" s="192"/>
      <c r="AJ144" s="192"/>
      <c r="AK144" s="192"/>
      <c r="AL144" s="192"/>
      <c r="AM144" s="255" t="str">
        <f>IF(COUNTBLANK(AI144:AL144)=4,"",SUM(AI144:AK144)+IF(Setup!$I$15="No",0,AL144))</f>
        <v/>
      </c>
      <c r="AN144" s="192"/>
      <c r="AO144" s="192"/>
      <c r="AP144" s="192"/>
      <c r="AQ144" s="192"/>
      <c r="AR144" s="255" t="str">
        <f>IF(COUNTBLANK(AN144:AQ144)=4,"",SUM(AN144:AP144)+IF(Setup!$I$15="No",0,AQ144))</f>
        <v/>
      </c>
      <c r="AS144" s="192"/>
      <c r="AT144" s="192"/>
      <c r="AU144" s="192"/>
      <c r="AV144" s="192"/>
      <c r="AW144" s="255" t="str">
        <f>IF(COUNTBLANK(AS144:AV144)=4,"",SUM(AS144:AU144)+IF(Setup!$I$15="No",0,AV144))</f>
        <v/>
      </c>
      <c r="AX144" s="192"/>
      <c r="AY144" s="192"/>
      <c r="AZ144" s="192"/>
      <c r="BA144" s="192"/>
      <c r="BB144" s="255" t="str">
        <f>IF(COUNTBLANK(AX144:BA144)=4,"",SUM(AX144:AZ144)+IF(Setup!$I$15="No",0,BA144))</f>
        <v/>
      </c>
      <c r="BC144" s="259" t="str">
        <f ca="1">IF('Demand background (hide)'!A135=Num_Modalities,"",SUM(Demand!I144))</f>
        <v/>
      </c>
      <c r="BD144" s="259" t="str">
        <f ca="1">IF(AND(A144&lt;=MaxRows,BE144&lt;&gt;"Yes"),'Demand background (hide)'!X135+IF(Setup!$I$15="Yes",'Demand background (hide)'!AJ135,0),"")</f>
        <v/>
      </c>
      <c r="BE144" s="209"/>
    </row>
    <row r="145" spans="1:57" x14ac:dyDescent="0.25">
      <c r="A145" t="str">
        <f t="shared" ca="1" si="8"/>
        <v/>
      </c>
      <c r="B145" s="264" t="str">
        <f t="shared" ca="1" si="9"/>
        <v xml:space="preserve"> </v>
      </c>
      <c r="C145" s="265" t="str">
        <f t="shared" ca="1" si="10"/>
        <v/>
      </c>
      <c r="D145" s="352" t="str">
        <f t="shared" ca="1" si="11"/>
        <v/>
      </c>
      <c r="E145" s="192"/>
      <c r="F145" s="192"/>
      <c r="G145" s="192"/>
      <c r="H145" s="192"/>
      <c r="I145" s="251" t="str">
        <f>IF(COUNTBLANK(E145:H145)=4,"",SUM(E145:G145)+IF(Setup!$I$15="No",0,H145))</f>
        <v/>
      </c>
      <c r="J145" s="192"/>
      <c r="K145" s="192"/>
      <c r="L145" s="192"/>
      <c r="M145" s="192"/>
      <c r="N145" s="255" t="str">
        <f>IF(COUNTBLANK(J145:M145)=4,"",SUM(J145:L145)+IF(Setup!$I$15="No",0,M145))</f>
        <v/>
      </c>
      <c r="O145" s="192"/>
      <c r="P145" s="192"/>
      <c r="Q145" s="192"/>
      <c r="R145" s="192"/>
      <c r="S145" s="255" t="str">
        <f>IF(COUNTBLANK(O145:R145)=4,"",SUM(O145:Q145)+IF(Setup!$I$15="No",0,R145))</f>
        <v/>
      </c>
      <c r="T145" s="192"/>
      <c r="U145" s="192"/>
      <c r="V145" s="192"/>
      <c r="W145" s="192"/>
      <c r="X145" s="255" t="str">
        <f>IF(COUNTBLANK(T145:W145)=4,"",SUM(T145:V145)+IF(Setup!$I$15="No",0,W145))</f>
        <v/>
      </c>
      <c r="Y145" s="192"/>
      <c r="Z145" s="192"/>
      <c r="AA145" s="192"/>
      <c r="AB145" s="192"/>
      <c r="AC145" s="255" t="str">
        <f>IF(COUNTBLANK(Y145:AB145)=4,"",SUM(Y145:AA145)+IF(Setup!$I$15="No",0,AB145))</f>
        <v/>
      </c>
      <c r="AD145" s="192"/>
      <c r="AE145" s="192"/>
      <c r="AF145" s="192"/>
      <c r="AG145" s="192"/>
      <c r="AH145" s="255" t="str">
        <f>IF(COUNTBLANK(AD145:AG145)=4,"",SUM(AD145:AF145)+IF(Setup!$I$15="No",0,AG145))</f>
        <v/>
      </c>
      <c r="AI145" s="192"/>
      <c r="AJ145" s="192"/>
      <c r="AK145" s="192"/>
      <c r="AL145" s="192"/>
      <c r="AM145" s="255" t="str">
        <f>IF(COUNTBLANK(AI145:AL145)=4,"",SUM(AI145:AK145)+IF(Setup!$I$15="No",0,AL145))</f>
        <v/>
      </c>
      <c r="AN145" s="192"/>
      <c r="AO145" s="192"/>
      <c r="AP145" s="192"/>
      <c r="AQ145" s="192"/>
      <c r="AR145" s="255" t="str">
        <f>IF(COUNTBLANK(AN145:AQ145)=4,"",SUM(AN145:AP145)+IF(Setup!$I$15="No",0,AQ145))</f>
        <v/>
      </c>
      <c r="AS145" s="192"/>
      <c r="AT145" s="192"/>
      <c r="AU145" s="192"/>
      <c r="AV145" s="192"/>
      <c r="AW145" s="255" t="str">
        <f>IF(COUNTBLANK(AS145:AV145)=4,"",SUM(AS145:AU145)+IF(Setup!$I$15="No",0,AV145))</f>
        <v/>
      </c>
      <c r="AX145" s="192"/>
      <c r="AY145" s="192"/>
      <c r="AZ145" s="192"/>
      <c r="BA145" s="192"/>
      <c r="BB145" s="255" t="str">
        <f>IF(COUNTBLANK(AX145:BA145)=4,"",SUM(AX145:AZ145)+IF(Setup!$I$15="No",0,BA145))</f>
        <v/>
      </c>
      <c r="BC145" s="259" t="str">
        <f ca="1">IF('Demand background (hide)'!A136=Num_Modalities,"",SUM(Demand!I145))</f>
        <v/>
      </c>
      <c r="BD145" s="259" t="str">
        <f ca="1">IF(AND(A145&lt;=MaxRows,BE145&lt;&gt;"Yes"),'Demand background (hide)'!X136+IF(Setup!$I$15="Yes",'Demand background (hide)'!AJ136,0),"")</f>
        <v/>
      </c>
      <c r="BE145" s="209"/>
    </row>
    <row r="146" spans="1:57" x14ac:dyDescent="0.25">
      <c r="A146" t="str">
        <f t="shared" ca="1" si="8"/>
        <v/>
      </c>
      <c r="B146" s="264" t="str">
        <f t="shared" ca="1" si="9"/>
        <v xml:space="preserve"> </v>
      </c>
      <c r="C146" s="265" t="str">
        <f t="shared" ca="1" si="10"/>
        <v/>
      </c>
      <c r="D146" s="352" t="str">
        <f t="shared" ca="1" si="11"/>
        <v/>
      </c>
      <c r="E146" s="192"/>
      <c r="F146" s="192"/>
      <c r="G146" s="192"/>
      <c r="H146" s="192"/>
      <c r="I146" s="251" t="str">
        <f>IF(COUNTBLANK(E146:H146)=4,"",SUM(E146:G146)+IF(Setup!$I$15="No",0,H146))</f>
        <v/>
      </c>
      <c r="J146" s="192"/>
      <c r="K146" s="192"/>
      <c r="L146" s="192"/>
      <c r="M146" s="192"/>
      <c r="N146" s="255" t="str">
        <f>IF(COUNTBLANK(J146:M146)=4,"",SUM(J146:L146)+IF(Setup!$I$15="No",0,M146))</f>
        <v/>
      </c>
      <c r="O146" s="192"/>
      <c r="P146" s="192"/>
      <c r="Q146" s="192"/>
      <c r="R146" s="192"/>
      <c r="S146" s="255" t="str">
        <f>IF(COUNTBLANK(O146:R146)=4,"",SUM(O146:Q146)+IF(Setup!$I$15="No",0,R146))</f>
        <v/>
      </c>
      <c r="T146" s="192"/>
      <c r="U146" s="192"/>
      <c r="V146" s="192"/>
      <c r="W146" s="192"/>
      <c r="X146" s="255" t="str">
        <f>IF(COUNTBLANK(T146:W146)=4,"",SUM(T146:V146)+IF(Setup!$I$15="No",0,W146))</f>
        <v/>
      </c>
      <c r="Y146" s="192"/>
      <c r="Z146" s="192"/>
      <c r="AA146" s="192"/>
      <c r="AB146" s="192"/>
      <c r="AC146" s="255" t="str">
        <f>IF(COUNTBLANK(Y146:AB146)=4,"",SUM(Y146:AA146)+IF(Setup!$I$15="No",0,AB146))</f>
        <v/>
      </c>
      <c r="AD146" s="192"/>
      <c r="AE146" s="192"/>
      <c r="AF146" s="192"/>
      <c r="AG146" s="192"/>
      <c r="AH146" s="255" t="str">
        <f>IF(COUNTBLANK(AD146:AG146)=4,"",SUM(AD146:AF146)+IF(Setup!$I$15="No",0,AG146))</f>
        <v/>
      </c>
      <c r="AI146" s="192"/>
      <c r="AJ146" s="192"/>
      <c r="AK146" s="192"/>
      <c r="AL146" s="192"/>
      <c r="AM146" s="255" t="str">
        <f>IF(COUNTBLANK(AI146:AL146)=4,"",SUM(AI146:AK146)+IF(Setup!$I$15="No",0,AL146))</f>
        <v/>
      </c>
      <c r="AN146" s="192"/>
      <c r="AO146" s="192"/>
      <c r="AP146" s="192"/>
      <c r="AQ146" s="192"/>
      <c r="AR146" s="255" t="str">
        <f>IF(COUNTBLANK(AN146:AQ146)=4,"",SUM(AN146:AP146)+IF(Setup!$I$15="No",0,AQ146))</f>
        <v/>
      </c>
      <c r="AS146" s="192"/>
      <c r="AT146" s="192"/>
      <c r="AU146" s="192"/>
      <c r="AV146" s="192"/>
      <c r="AW146" s="255" t="str">
        <f>IF(COUNTBLANK(AS146:AV146)=4,"",SUM(AS146:AU146)+IF(Setup!$I$15="No",0,AV146))</f>
        <v/>
      </c>
      <c r="AX146" s="192"/>
      <c r="AY146" s="192"/>
      <c r="AZ146" s="192"/>
      <c r="BA146" s="192"/>
      <c r="BB146" s="255" t="str">
        <f>IF(COUNTBLANK(AX146:BA146)=4,"",SUM(AX146:AZ146)+IF(Setup!$I$15="No",0,BA146))</f>
        <v/>
      </c>
      <c r="BC146" s="259" t="str">
        <f ca="1">IF('Demand background (hide)'!A137=Num_Modalities,"",SUM(Demand!I146))</f>
        <v/>
      </c>
      <c r="BD146" s="259" t="str">
        <f ca="1">IF(AND(A146&lt;=MaxRows,BE146&lt;&gt;"Yes"),'Demand background (hide)'!X137+IF(Setup!$I$15="Yes",'Demand background (hide)'!AJ137,0),"")</f>
        <v/>
      </c>
      <c r="BE146" s="209"/>
    </row>
    <row r="147" spans="1:57" x14ac:dyDescent="0.25">
      <c r="A147" t="str">
        <f t="shared" ca="1" si="8"/>
        <v/>
      </c>
      <c r="B147" s="264" t="str">
        <f t="shared" ca="1" si="9"/>
        <v xml:space="preserve"> </v>
      </c>
      <c r="C147" s="265" t="str">
        <f t="shared" ca="1" si="10"/>
        <v/>
      </c>
      <c r="D147" s="352" t="str">
        <f t="shared" ca="1" si="11"/>
        <v/>
      </c>
      <c r="E147" s="192"/>
      <c r="F147" s="192"/>
      <c r="G147" s="192"/>
      <c r="H147" s="192"/>
      <c r="I147" s="251" t="str">
        <f>IF(COUNTBLANK(E147:H147)=4,"",SUM(E147:G147)+IF(Setup!$I$15="No",0,H147))</f>
        <v/>
      </c>
      <c r="J147" s="192"/>
      <c r="K147" s="192"/>
      <c r="L147" s="192"/>
      <c r="M147" s="192"/>
      <c r="N147" s="255" t="str">
        <f>IF(COUNTBLANK(J147:M147)=4,"",SUM(J147:L147)+IF(Setup!$I$15="No",0,M147))</f>
        <v/>
      </c>
      <c r="O147" s="192"/>
      <c r="P147" s="192"/>
      <c r="Q147" s="192"/>
      <c r="R147" s="192"/>
      <c r="S147" s="255" t="str">
        <f>IF(COUNTBLANK(O147:R147)=4,"",SUM(O147:Q147)+IF(Setup!$I$15="No",0,R147))</f>
        <v/>
      </c>
      <c r="T147" s="192"/>
      <c r="U147" s="192"/>
      <c r="V147" s="192"/>
      <c r="W147" s="192"/>
      <c r="X147" s="255" t="str">
        <f>IF(COUNTBLANK(T147:W147)=4,"",SUM(T147:V147)+IF(Setup!$I$15="No",0,W147))</f>
        <v/>
      </c>
      <c r="Y147" s="192"/>
      <c r="Z147" s="192"/>
      <c r="AA147" s="192"/>
      <c r="AB147" s="192"/>
      <c r="AC147" s="255" t="str">
        <f>IF(COUNTBLANK(Y147:AB147)=4,"",SUM(Y147:AA147)+IF(Setup!$I$15="No",0,AB147))</f>
        <v/>
      </c>
      <c r="AD147" s="192"/>
      <c r="AE147" s="192"/>
      <c r="AF147" s="192"/>
      <c r="AG147" s="192"/>
      <c r="AH147" s="255" t="str">
        <f>IF(COUNTBLANK(AD147:AG147)=4,"",SUM(AD147:AF147)+IF(Setup!$I$15="No",0,AG147))</f>
        <v/>
      </c>
      <c r="AI147" s="192"/>
      <c r="AJ147" s="192"/>
      <c r="AK147" s="192"/>
      <c r="AL147" s="192"/>
      <c r="AM147" s="255" t="str">
        <f>IF(COUNTBLANK(AI147:AL147)=4,"",SUM(AI147:AK147)+IF(Setup!$I$15="No",0,AL147))</f>
        <v/>
      </c>
      <c r="AN147" s="192"/>
      <c r="AO147" s="192"/>
      <c r="AP147" s="192"/>
      <c r="AQ147" s="192"/>
      <c r="AR147" s="255" t="str">
        <f>IF(COUNTBLANK(AN147:AQ147)=4,"",SUM(AN147:AP147)+IF(Setup!$I$15="No",0,AQ147))</f>
        <v/>
      </c>
      <c r="AS147" s="192"/>
      <c r="AT147" s="192"/>
      <c r="AU147" s="192"/>
      <c r="AV147" s="192"/>
      <c r="AW147" s="255" t="str">
        <f>IF(COUNTBLANK(AS147:AV147)=4,"",SUM(AS147:AU147)+IF(Setup!$I$15="No",0,AV147))</f>
        <v/>
      </c>
      <c r="AX147" s="192"/>
      <c r="AY147" s="192"/>
      <c r="AZ147" s="192"/>
      <c r="BA147" s="192"/>
      <c r="BB147" s="255" t="str">
        <f>IF(COUNTBLANK(AX147:BA147)=4,"",SUM(AX147:AZ147)+IF(Setup!$I$15="No",0,BA147))</f>
        <v/>
      </c>
      <c r="BC147" s="259" t="str">
        <f ca="1">IF('Demand background (hide)'!A138=Num_Modalities,"",SUM(Demand!I147))</f>
        <v/>
      </c>
      <c r="BD147" s="259" t="str">
        <f ca="1">IF(AND(A147&lt;=MaxRows,BE147&lt;&gt;"Yes"),'Demand background (hide)'!X138+IF(Setup!$I$15="Yes",'Demand background (hide)'!AJ138,0),"")</f>
        <v/>
      </c>
      <c r="BE147" s="209"/>
    </row>
    <row r="148" spans="1:57" x14ac:dyDescent="0.25">
      <c r="A148" t="str">
        <f t="shared" ca="1" si="8"/>
        <v/>
      </c>
      <c r="B148" s="264" t="str">
        <f t="shared" ca="1" si="9"/>
        <v xml:space="preserve"> </v>
      </c>
      <c r="C148" s="265" t="str">
        <f t="shared" ca="1" si="10"/>
        <v/>
      </c>
      <c r="D148" s="352" t="str">
        <f t="shared" ca="1" si="11"/>
        <v/>
      </c>
      <c r="E148" s="192"/>
      <c r="F148" s="192"/>
      <c r="G148" s="192"/>
      <c r="H148" s="192"/>
      <c r="I148" s="251" t="str">
        <f>IF(COUNTBLANK(E148:H148)=4,"",SUM(E148:G148)+IF(Setup!$I$15="No",0,H148))</f>
        <v/>
      </c>
      <c r="J148" s="192"/>
      <c r="K148" s="192"/>
      <c r="L148" s="192"/>
      <c r="M148" s="192"/>
      <c r="N148" s="255" t="str">
        <f>IF(COUNTBLANK(J148:M148)=4,"",SUM(J148:L148)+IF(Setup!$I$15="No",0,M148))</f>
        <v/>
      </c>
      <c r="O148" s="192"/>
      <c r="P148" s="192"/>
      <c r="Q148" s="192"/>
      <c r="R148" s="192"/>
      <c r="S148" s="255" t="str">
        <f>IF(COUNTBLANK(O148:R148)=4,"",SUM(O148:Q148)+IF(Setup!$I$15="No",0,R148))</f>
        <v/>
      </c>
      <c r="T148" s="192"/>
      <c r="U148" s="192"/>
      <c r="V148" s="192"/>
      <c r="W148" s="192"/>
      <c r="X148" s="255" t="str">
        <f>IF(COUNTBLANK(T148:W148)=4,"",SUM(T148:V148)+IF(Setup!$I$15="No",0,W148))</f>
        <v/>
      </c>
      <c r="Y148" s="192"/>
      <c r="Z148" s="192"/>
      <c r="AA148" s="192"/>
      <c r="AB148" s="192"/>
      <c r="AC148" s="255" t="str">
        <f>IF(COUNTBLANK(Y148:AB148)=4,"",SUM(Y148:AA148)+IF(Setup!$I$15="No",0,AB148))</f>
        <v/>
      </c>
      <c r="AD148" s="192"/>
      <c r="AE148" s="192"/>
      <c r="AF148" s="192"/>
      <c r="AG148" s="192"/>
      <c r="AH148" s="255" t="str">
        <f>IF(COUNTBLANK(AD148:AG148)=4,"",SUM(AD148:AF148)+IF(Setup!$I$15="No",0,AG148))</f>
        <v/>
      </c>
      <c r="AI148" s="192"/>
      <c r="AJ148" s="192"/>
      <c r="AK148" s="192"/>
      <c r="AL148" s="192"/>
      <c r="AM148" s="255" t="str">
        <f>IF(COUNTBLANK(AI148:AL148)=4,"",SUM(AI148:AK148)+IF(Setup!$I$15="No",0,AL148))</f>
        <v/>
      </c>
      <c r="AN148" s="192"/>
      <c r="AO148" s="192"/>
      <c r="AP148" s="192"/>
      <c r="AQ148" s="192"/>
      <c r="AR148" s="255" t="str">
        <f>IF(COUNTBLANK(AN148:AQ148)=4,"",SUM(AN148:AP148)+IF(Setup!$I$15="No",0,AQ148))</f>
        <v/>
      </c>
      <c r="AS148" s="192"/>
      <c r="AT148" s="192"/>
      <c r="AU148" s="192"/>
      <c r="AV148" s="192"/>
      <c r="AW148" s="255" t="str">
        <f>IF(COUNTBLANK(AS148:AV148)=4,"",SUM(AS148:AU148)+IF(Setup!$I$15="No",0,AV148))</f>
        <v/>
      </c>
      <c r="AX148" s="192"/>
      <c r="AY148" s="192"/>
      <c r="AZ148" s="192"/>
      <c r="BA148" s="192"/>
      <c r="BB148" s="255" t="str">
        <f>IF(COUNTBLANK(AX148:BA148)=4,"",SUM(AX148:AZ148)+IF(Setup!$I$15="No",0,BA148))</f>
        <v/>
      </c>
      <c r="BC148" s="259" t="str">
        <f ca="1">IF('Demand background (hide)'!A139=Num_Modalities,"",SUM(Demand!I148))</f>
        <v/>
      </c>
      <c r="BD148" s="259" t="str">
        <f ca="1">IF(AND(A148&lt;=MaxRows,BE148&lt;&gt;"Yes"),'Demand background (hide)'!X139+IF(Setup!$I$15="Yes",'Demand background (hide)'!AJ139,0),"")</f>
        <v/>
      </c>
      <c r="BE148" s="209"/>
    </row>
    <row r="149" spans="1:57" x14ac:dyDescent="0.25">
      <c r="A149" t="str">
        <f t="shared" ca="1" si="8"/>
        <v/>
      </c>
      <c r="B149" s="264" t="str">
        <f t="shared" ca="1" si="9"/>
        <v xml:space="preserve"> </v>
      </c>
      <c r="C149" s="265" t="str">
        <f t="shared" ca="1" si="10"/>
        <v/>
      </c>
      <c r="D149" s="352" t="str">
        <f t="shared" ca="1" si="11"/>
        <v/>
      </c>
      <c r="E149" s="192"/>
      <c r="F149" s="192"/>
      <c r="G149" s="192"/>
      <c r="H149" s="192"/>
      <c r="I149" s="251" t="str">
        <f>IF(COUNTBLANK(E149:H149)=4,"",SUM(E149:G149)+IF(Setup!$I$15="No",0,H149))</f>
        <v/>
      </c>
      <c r="J149" s="192"/>
      <c r="K149" s="192"/>
      <c r="L149" s="192"/>
      <c r="M149" s="192"/>
      <c r="N149" s="255" t="str">
        <f>IF(COUNTBLANK(J149:M149)=4,"",SUM(J149:L149)+IF(Setup!$I$15="No",0,M149))</f>
        <v/>
      </c>
      <c r="O149" s="192"/>
      <c r="P149" s="192"/>
      <c r="Q149" s="192"/>
      <c r="R149" s="192"/>
      <c r="S149" s="255" t="str">
        <f>IF(COUNTBLANK(O149:R149)=4,"",SUM(O149:Q149)+IF(Setup!$I$15="No",0,R149))</f>
        <v/>
      </c>
      <c r="T149" s="192"/>
      <c r="U149" s="192"/>
      <c r="V149" s="192"/>
      <c r="W149" s="192"/>
      <c r="X149" s="255" t="str">
        <f>IF(COUNTBLANK(T149:W149)=4,"",SUM(T149:V149)+IF(Setup!$I$15="No",0,W149))</f>
        <v/>
      </c>
      <c r="Y149" s="192"/>
      <c r="Z149" s="192"/>
      <c r="AA149" s="192"/>
      <c r="AB149" s="192"/>
      <c r="AC149" s="255" t="str">
        <f>IF(COUNTBLANK(Y149:AB149)=4,"",SUM(Y149:AA149)+IF(Setup!$I$15="No",0,AB149))</f>
        <v/>
      </c>
      <c r="AD149" s="192"/>
      <c r="AE149" s="192"/>
      <c r="AF149" s="192"/>
      <c r="AG149" s="192"/>
      <c r="AH149" s="255" t="str">
        <f>IF(COUNTBLANK(AD149:AG149)=4,"",SUM(AD149:AF149)+IF(Setup!$I$15="No",0,AG149))</f>
        <v/>
      </c>
      <c r="AI149" s="192"/>
      <c r="AJ149" s="192"/>
      <c r="AK149" s="192"/>
      <c r="AL149" s="192"/>
      <c r="AM149" s="255" t="str">
        <f>IF(COUNTBLANK(AI149:AL149)=4,"",SUM(AI149:AK149)+IF(Setup!$I$15="No",0,AL149))</f>
        <v/>
      </c>
      <c r="AN149" s="192"/>
      <c r="AO149" s="192"/>
      <c r="AP149" s="192"/>
      <c r="AQ149" s="192"/>
      <c r="AR149" s="255" t="str">
        <f>IF(COUNTBLANK(AN149:AQ149)=4,"",SUM(AN149:AP149)+IF(Setup!$I$15="No",0,AQ149))</f>
        <v/>
      </c>
      <c r="AS149" s="192"/>
      <c r="AT149" s="192"/>
      <c r="AU149" s="192"/>
      <c r="AV149" s="192"/>
      <c r="AW149" s="255" t="str">
        <f>IF(COUNTBLANK(AS149:AV149)=4,"",SUM(AS149:AU149)+IF(Setup!$I$15="No",0,AV149))</f>
        <v/>
      </c>
      <c r="AX149" s="192"/>
      <c r="AY149" s="192"/>
      <c r="AZ149" s="192"/>
      <c r="BA149" s="192"/>
      <c r="BB149" s="255" t="str">
        <f>IF(COUNTBLANK(AX149:BA149)=4,"",SUM(AX149:AZ149)+IF(Setup!$I$15="No",0,BA149))</f>
        <v/>
      </c>
      <c r="BC149" s="259" t="str">
        <f ca="1">IF('Demand background (hide)'!A140=Num_Modalities,"",SUM(Demand!I149))</f>
        <v/>
      </c>
      <c r="BD149" s="259" t="str">
        <f ca="1">IF(AND(A149&lt;=MaxRows,BE149&lt;&gt;"Yes"),'Demand background (hide)'!X140+IF(Setup!$I$15="Yes",'Demand background (hide)'!AJ140,0),"")</f>
        <v/>
      </c>
      <c r="BE149" s="209"/>
    </row>
    <row r="150" spans="1:57" x14ac:dyDescent="0.25">
      <c r="A150" t="str">
        <f t="shared" ca="1" si="8"/>
        <v/>
      </c>
      <c r="B150" s="264" t="str">
        <f t="shared" ca="1" si="9"/>
        <v xml:space="preserve"> </v>
      </c>
      <c r="C150" s="265" t="str">
        <f t="shared" ca="1" si="10"/>
        <v/>
      </c>
      <c r="D150" s="352" t="str">
        <f t="shared" ca="1" si="11"/>
        <v/>
      </c>
      <c r="E150" s="192"/>
      <c r="F150" s="192"/>
      <c r="G150" s="192"/>
      <c r="H150" s="192"/>
      <c r="I150" s="251" t="str">
        <f>IF(COUNTBLANK(E150:H150)=4,"",SUM(E150:G150)+IF(Setup!$I$15="No",0,H150))</f>
        <v/>
      </c>
      <c r="J150" s="192"/>
      <c r="K150" s="192"/>
      <c r="L150" s="192"/>
      <c r="M150" s="192"/>
      <c r="N150" s="255" t="str">
        <f>IF(COUNTBLANK(J150:M150)=4,"",SUM(J150:L150)+IF(Setup!$I$15="No",0,M150))</f>
        <v/>
      </c>
      <c r="O150" s="192"/>
      <c r="P150" s="192"/>
      <c r="Q150" s="192"/>
      <c r="R150" s="192"/>
      <c r="S150" s="255" t="str">
        <f>IF(COUNTBLANK(O150:R150)=4,"",SUM(O150:Q150)+IF(Setup!$I$15="No",0,R150))</f>
        <v/>
      </c>
      <c r="T150" s="192"/>
      <c r="U150" s="192"/>
      <c r="V150" s="192"/>
      <c r="W150" s="192"/>
      <c r="X150" s="255" t="str">
        <f>IF(COUNTBLANK(T150:W150)=4,"",SUM(T150:V150)+IF(Setup!$I$15="No",0,W150))</f>
        <v/>
      </c>
      <c r="Y150" s="192"/>
      <c r="Z150" s="192"/>
      <c r="AA150" s="192"/>
      <c r="AB150" s="192"/>
      <c r="AC150" s="255" t="str">
        <f>IF(COUNTBLANK(Y150:AB150)=4,"",SUM(Y150:AA150)+IF(Setup!$I$15="No",0,AB150))</f>
        <v/>
      </c>
      <c r="AD150" s="192"/>
      <c r="AE150" s="192"/>
      <c r="AF150" s="192"/>
      <c r="AG150" s="192"/>
      <c r="AH150" s="255" t="str">
        <f>IF(COUNTBLANK(AD150:AG150)=4,"",SUM(AD150:AF150)+IF(Setup!$I$15="No",0,AG150))</f>
        <v/>
      </c>
      <c r="AI150" s="192"/>
      <c r="AJ150" s="192"/>
      <c r="AK150" s="192"/>
      <c r="AL150" s="192"/>
      <c r="AM150" s="255" t="str">
        <f>IF(COUNTBLANK(AI150:AL150)=4,"",SUM(AI150:AK150)+IF(Setup!$I$15="No",0,AL150))</f>
        <v/>
      </c>
      <c r="AN150" s="192"/>
      <c r="AO150" s="192"/>
      <c r="AP150" s="192"/>
      <c r="AQ150" s="192"/>
      <c r="AR150" s="255" t="str">
        <f>IF(COUNTBLANK(AN150:AQ150)=4,"",SUM(AN150:AP150)+IF(Setup!$I$15="No",0,AQ150))</f>
        <v/>
      </c>
      <c r="AS150" s="192"/>
      <c r="AT150" s="192"/>
      <c r="AU150" s="192"/>
      <c r="AV150" s="192"/>
      <c r="AW150" s="255" t="str">
        <f>IF(COUNTBLANK(AS150:AV150)=4,"",SUM(AS150:AU150)+IF(Setup!$I$15="No",0,AV150))</f>
        <v/>
      </c>
      <c r="AX150" s="192"/>
      <c r="AY150" s="192"/>
      <c r="AZ150" s="192"/>
      <c r="BA150" s="192"/>
      <c r="BB150" s="255" t="str">
        <f>IF(COUNTBLANK(AX150:BA150)=4,"",SUM(AX150:AZ150)+IF(Setup!$I$15="No",0,BA150))</f>
        <v/>
      </c>
      <c r="BC150" s="259" t="str">
        <f ca="1">IF('Demand background (hide)'!A141=Num_Modalities,"",SUM(Demand!I150))</f>
        <v/>
      </c>
      <c r="BD150" s="259" t="str">
        <f ca="1">IF(AND(A150&lt;=MaxRows,BE150&lt;&gt;"Yes"),'Demand background (hide)'!X141+IF(Setup!$I$15="Yes",'Demand background (hide)'!AJ141,0),"")</f>
        <v/>
      </c>
      <c r="BE150" s="209"/>
    </row>
    <row r="151" spans="1:57" x14ac:dyDescent="0.25">
      <c r="A151" t="str">
        <f t="shared" ca="1" si="8"/>
        <v/>
      </c>
      <c r="B151" s="264" t="str">
        <f t="shared" ca="1" si="9"/>
        <v xml:space="preserve"> </v>
      </c>
      <c r="C151" s="265" t="str">
        <f t="shared" ca="1" si="10"/>
        <v/>
      </c>
      <c r="D151" s="352" t="str">
        <f t="shared" ca="1" si="11"/>
        <v/>
      </c>
      <c r="E151" s="192"/>
      <c r="F151" s="192"/>
      <c r="G151" s="192"/>
      <c r="H151" s="192"/>
      <c r="I151" s="251" t="str">
        <f>IF(COUNTBLANK(E151:H151)=4,"",SUM(E151:G151)+IF(Setup!$I$15="No",0,H151))</f>
        <v/>
      </c>
      <c r="J151" s="192"/>
      <c r="K151" s="192"/>
      <c r="L151" s="192"/>
      <c r="M151" s="192"/>
      <c r="N151" s="255" t="str">
        <f>IF(COUNTBLANK(J151:M151)=4,"",SUM(J151:L151)+IF(Setup!$I$15="No",0,M151))</f>
        <v/>
      </c>
      <c r="O151" s="192"/>
      <c r="P151" s="192"/>
      <c r="Q151" s="192"/>
      <c r="R151" s="192"/>
      <c r="S151" s="255" t="str">
        <f>IF(COUNTBLANK(O151:R151)=4,"",SUM(O151:Q151)+IF(Setup!$I$15="No",0,R151))</f>
        <v/>
      </c>
      <c r="T151" s="192"/>
      <c r="U151" s="192"/>
      <c r="V151" s="192"/>
      <c r="W151" s="192"/>
      <c r="X151" s="255" t="str">
        <f>IF(COUNTBLANK(T151:W151)=4,"",SUM(T151:V151)+IF(Setup!$I$15="No",0,W151))</f>
        <v/>
      </c>
      <c r="Y151" s="192"/>
      <c r="Z151" s="192"/>
      <c r="AA151" s="192"/>
      <c r="AB151" s="192"/>
      <c r="AC151" s="255" t="str">
        <f>IF(COUNTBLANK(Y151:AB151)=4,"",SUM(Y151:AA151)+IF(Setup!$I$15="No",0,AB151))</f>
        <v/>
      </c>
      <c r="AD151" s="192"/>
      <c r="AE151" s="192"/>
      <c r="AF151" s="192"/>
      <c r="AG151" s="192"/>
      <c r="AH151" s="255" t="str">
        <f>IF(COUNTBLANK(AD151:AG151)=4,"",SUM(AD151:AF151)+IF(Setup!$I$15="No",0,AG151))</f>
        <v/>
      </c>
      <c r="AI151" s="192"/>
      <c r="AJ151" s="192"/>
      <c r="AK151" s="192"/>
      <c r="AL151" s="192"/>
      <c r="AM151" s="255" t="str">
        <f>IF(COUNTBLANK(AI151:AL151)=4,"",SUM(AI151:AK151)+IF(Setup!$I$15="No",0,AL151))</f>
        <v/>
      </c>
      <c r="AN151" s="192"/>
      <c r="AO151" s="192"/>
      <c r="AP151" s="192"/>
      <c r="AQ151" s="192"/>
      <c r="AR151" s="255" t="str">
        <f>IF(COUNTBLANK(AN151:AQ151)=4,"",SUM(AN151:AP151)+IF(Setup!$I$15="No",0,AQ151))</f>
        <v/>
      </c>
      <c r="AS151" s="192"/>
      <c r="AT151" s="192"/>
      <c r="AU151" s="192"/>
      <c r="AV151" s="192"/>
      <c r="AW151" s="255" t="str">
        <f>IF(COUNTBLANK(AS151:AV151)=4,"",SUM(AS151:AU151)+IF(Setup!$I$15="No",0,AV151))</f>
        <v/>
      </c>
      <c r="AX151" s="192"/>
      <c r="AY151" s="192"/>
      <c r="AZ151" s="192"/>
      <c r="BA151" s="192"/>
      <c r="BB151" s="255" t="str">
        <f>IF(COUNTBLANK(AX151:BA151)=4,"",SUM(AX151:AZ151)+IF(Setup!$I$15="No",0,BA151))</f>
        <v/>
      </c>
      <c r="BC151" s="259" t="str">
        <f ca="1">IF('Demand background (hide)'!A142=Num_Modalities,"",SUM(Demand!I151))</f>
        <v/>
      </c>
      <c r="BD151" s="259" t="str">
        <f ca="1">IF(AND(A151&lt;=MaxRows,BE151&lt;&gt;"Yes"),'Demand background (hide)'!X142+IF(Setup!$I$15="Yes",'Demand background (hide)'!AJ142,0),"")</f>
        <v/>
      </c>
      <c r="BE151" s="209"/>
    </row>
    <row r="152" spans="1:57" x14ac:dyDescent="0.25">
      <c r="A152" t="str">
        <f t="shared" ca="1" si="8"/>
        <v/>
      </c>
      <c r="B152" s="264" t="str">
        <f t="shared" ca="1" si="9"/>
        <v xml:space="preserve"> </v>
      </c>
      <c r="C152" s="265" t="str">
        <f t="shared" ca="1" si="10"/>
        <v/>
      </c>
      <c r="D152" s="352" t="str">
        <f t="shared" ca="1" si="11"/>
        <v/>
      </c>
      <c r="E152" s="192"/>
      <c r="F152" s="192"/>
      <c r="G152" s="192"/>
      <c r="H152" s="192"/>
      <c r="I152" s="251" t="str">
        <f>IF(COUNTBLANK(E152:H152)=4,"",SUM(E152:G152)+IF(Setup!$I$15="No",0,H152))</f>
        <v/>
      </c>
      <c r="J152" s="192"/>
      <c r="K152" s="192"/>
      <c r="L152" s="192"/>
      <c r="M152" s="192"/>
      <c r="N152" s="255" t="str">
        <f>IF(COUNTBLANK(J152:M152)=4,"",SUM(J152:L152)+IF(Setup!$I$15="No",0,M152))</f>
        <v/>
      </c>
      <c r="O152" s="192"/>
      <c r="P152" s="192"/>
      <c r="Q152" s="192"/>
      <c r="R152" s="192"/>
      <c r="S152" s="255" t="str">
        <f>IF(COUNTBLANK(O152:R152)=4,"",SUM(O152:Q152)+IF(Setup!$I$15="No",0,R152))</f>
        <v/>
      </c>
      <c r="T152" s="192"/>
      <c r="U152" s="192"/>
      <c r="V152" s="192"/>
      <c r="W152" s="192"/>
      <c r="X152" s="255" t="str">
        <f>IF(COUNTBLANK(T152:W152)=4,"",SUM(T152:V152)+IF(Setup!$I$15="No",0,W152))</f>
        <v/>
      </c>
      <c r="Y152" s="192"/>
      <c r="Z152" s="192"/>
      <c r="AA152" s="192"/>
      <c r="AB152" s="192"/>
      <c r="AC152" s="255" t="str">
        <f>IF(COUNTBLANK(Y152:AB152)=4,"",SUM(Y152:AA152)+IF(Setup!$I$15="No",0,AB152))</f>
        <v/>
      </c>
      <c r="AD152" s="192"/>
      <c r="AE152" s="192"/>
      <c r="AF152" s="192"/>
      <c r="AG152" s="192"/>
      <c r="AH152" s="255" t="str">
        <f>IF(COUNTBLANK(AD152:AG152)=4,"",SUM(AD152:AF152)+IF(Setup!$I$15="No",0,AG152))</f>
        <v/>
      </c>
      <c r="AI152" s="192"/>
      <c r="AJ152" s="192"/>
      <c r="AK152" s="192"/>
      <c r="AL152" s="192"/>
      <c r="AM152" s="255" t="str">
        <f>IF(COUNTBLANK(AI152:AL152)=4,"",SUM(AI152:AK152)+IF(Setup!$I$15="No",0,AL152))</f>
        <v/>
      </c>
      <c r="AN152" s="192"/>
      <c r="AO152" s="192"/>
      <c r="AP152" s="192"/>
      <c r="AQ152" s="192"/>
      <c r="AR152" s="255" t="str">
        <f>IF(COUNTBLANK(AN152:AQ152)=4,"",SUM(AN152:AP152)+IF(Setup!$I$15="No",0,AQ152))</f>
        <v/>
      </c>
      <c r="AS152" s="192"/>
      <c r="AT152" s="192"/>
      <c r="AU152" s="192"/>
      <c r="AV152" s="192"/>
      <c r="AW152" s="255" t="str">
        <f>IF(COUNTBLANK(AS152:AV152)=4,"",SUM(AS152:AU152)+IF(Setup!$I$15="No",0,AV152))</f>
        <v/>
      </c>
      <c r="AX152" s="192"/>
      <c r="AY152" s="192"/>
      <c r="AZ152" s="192"/>
      <c r="BA152" s="192"/>
      <c r="BB152" s="255" t="str">
        <f>IF(COUNTBLANK(AX152:BA152)=4,"",SUM(AX152:AZ152)+IF(Setup!$I$15="No",0,BA152))</f>
        <v/>
      </c>
      <c r="BC152" s="259" t="str">
        <f ca="1">IF('Demand background (hide)'!A143=Num_Modalities,"",SUM(Demand!I152))</f>
        <v/>
      </c>
      <c r="BD152" s="259" t="str">
        <f ca="1">IF(AND(A152&lt;=MaxRows,BE152&lt;&gt;"Yes"),'Demand background (hide)'!X143+IF(Setup!$I$15="Yes",'Demand background (hide)'!AJ143,0),"")</f>
        <v/>
      </c>
      <c r="BE152" s="209"/>
    </row>
    <row r="153" spans="1:57" x14ac:dyDescent="0.25">
      <c r="A153" t="str">
        <f t="shared" ca="1" si="8"/>
        <v/>
      </c>
      <c r="B153" s="264" t="str">
        <f t="shared" ca="1" si="9"/>
        <v xml:space="preserve"> </v>
      </c>
      <c r="C153" s="265" t="str">
        <f t="shared" ca="1" si="10"/>
        <v/>
      </c>
      <c r="D153" s="352" t="str">
        <f t="shared" ca="1" si="11"/>
        <v/>
      </c>
      <c r="E153" s="192"/>
      <c r="F153" s="192"/>
      <c r="G153" s="192"/>
      <c r="H153" s="192"/>
      <c r="I153" s="251" t="str">
        <f>IF(COUNTBLANK(E153:H153)=4,"",SUM(E153:G153)+IF(Setup!$I$15="No",0,H153))</f>
        <v/>
      </c>
      <c r="J153" s="192"/>
      <c r="K153" s="192"/>
      <c r="L153" s="192"/>
      <c r="M153" s="192"/>
      <c r="N153" s="255" t="str">
        <f>IF(COUNTBLANK(J153:M153)=4,"",SUM(J153:L153)+IF(Setup!$I$15="No",0,M153))</f>
        <v/>
      </c>
      <c r="O153" s="192"/>
      <c r="P153" s="192"/>
      <c r="Q153" s="192"/>
      <c r="R153" s="192"/>
      <c r="S153" s="255" t="str">
        <f>IF(COUNTBLANK(O153:R153)=4,"",SUM(O153:Q153)+IF(Setup!$I$15="No",0,R153))</f>
        <v/>
      </c>
      <c r="T153" s="192"/>
      <c r="U153" s="192"/>
      <c r="V153" s="192"/>
      <c r="W153" s="192"/>
      <c r="X153" s="255" t="str">
        <f>IF(COUNTBLANK(T153:W153)=4,"",SUM(T153:V153)+IF(Setup!$I$15="No",0,W153))</f>
        <v/>
      </c>
      <c r="Y153" s="192"/>
      <c r="Z153" s="192"/>
      <c r="AA153" s="192"/>
      <c r="AB153" s="192"/>
      <c r="AC153" s="255" t="str">
        <f>IF(COUNTBLANK(Y153:AB153)=4,"",SUM(Y153:AA153)+IF(Setup!$I$15="No",0,AB153))</f>
        <v/>
      </c>
      <c r="AD153" s="192"/>
      <c r="AE153" s="192"/>
      <c r="AF153" s="192"/>
      <c r="AG153" s="192"/>
      <c r="AH153" s="255" t="str">
        <f>IF(COUNTBLANK(AD153:AG153)=4,"",SUM(AD153:AF153)+IF(Setup!$I$15="No",0,AG153))</f>
        <v/>
      </c>
      <c r="AI153" s="192"/>
      <c r="AJ153" s="192"/>
      <c r="AK153" s="192"/>
      <c r="AL153" s="192"/>
      <c r="AM153" s="255" t="str">
        <f>IF(COUNTBLANK(AI153:AL153)=4,"",SUM(AI153:AK153)+IF(Setup!$I$15="No",0,AL153))</f>
        <v/>
      </c>
      <c r="AN153" s="192"/>
      <c r="AO153" s="192"/>
      <c r="AP153" s="192"/>
      <c r="AQ153" s="192"/>
      <c r="AR153" s="255" t="str">
        <f>IF(COUNTBLANK(AN153:AQ153)=4,"",SUM(AN153:AP153)+IF(Setup!$I$15="No",0,AQ153))</f>
        <v/>
      </c>
      <c r="AS153" s="192"/>
      <c r="AT153" s="192"/>
      <c r="AU153" s="192"/>
      <c r="AV153" s="192"/>
      <c r="AW153" s="255" t="str">
        <f>IF(COUNTBLANK(AS153:AV153)=4,"",SUM(AS153:AU153)+IF(Setup!$I$15="No",0,AV153))</f>
        <v/>
      </c>
      <c r="AX153" s="192"/>
      <c r="AY153" s="192"/>
      <c r="AZ153" s="192"/>
      <c r="BA153" s="192"/>
      <c r="BB153" s="255" t="str">
        <f>IF(COUNTBLANK(AX153:BA153)=4,"",SUM(AX153:AZ153)+IF(Setup!$I$15="No",0,BA153))</f>
        <v/>
      </c>
      <c r="BC153" s="259" t="str">
        <f ca="1">IF('Demand background (hide)'!A144=Num_Modalities,"",SUM(Demand!I153))</f>
        <v/>
      </c>
      <c r="BD153" s="259" t="str">
        <f ca="1">IF(AND(A153&lt;=MaxRows,BE153&lt;&gt;"Yes"),'Demand background (hide)'!X144+IF(Setup!$I$15="Yes",'Demand background (hide)'!AJ144,0),"")</f>
        <v/>
      </c>
      <c r="BE153" s="209"/>
    </row>
    <row r="154" spans="1:57" x14ac:dyDescent="0.25">
      <c r="A154" t="str">
        <f t="shared" ca="1" si="8"/>
        <v/>
      </c>
      <c r="B154" s="264" t="str">
        <f t="shared" ca="1" si="9"/>
        <v xml:space="preserve"> </v>
      </c>
      <c r="C154" s="265" t="str">
        <f t="shared" ca="1" si="10"/>
        <v/>
      </c>
      <c r="D154" s="352" t="str">
        <f t="shared" ca="1" si="11"/>
        <v/>
      </c>
      <c r="E154" s="192"/>
      <c r="F154" s="192"/>
      <c r="G154" s="192"/>
      <c r="H154" s="192"/>
      <c r="I154" s="251" t="str">
        <f>IF(COUNTBLANK(E154:H154)=4,"",SUM(E154:G154)+IF(Setup!$I$15="No",0,H154))</f>
        <v/>
      </c>
      <c r="J154" s="192"/>
      <c r="K154" s="192"/>
      <c r="L154" s="192"/>
      <c r="M154" s="192"/>
      <c r="N154" s="255" t="str">
        <f>IF(COUNTBLANK(J154:M154)=4,"",SUM(J154:L154)+IF(Setup!$I$15="No",0,M154))</f>
        <v/>
      </c>
      <c r="O154" s="192"/>
      <c r="P154" s="192"/>
      <c r="Q154" s="192"/>
      <c r="R154" s="192"/>
      <c r="S154" s="255" t="str">
        <f>IF(COUNTBLANK(O154:R154)=4,"",SUM(O154:Q154)+IF(Setup!$I$15="No",0,R154))</f>
        <v/>
      </c>
      <c r="T154" s="192"/>
      <c r="U154" s="192"/>
      <c r="V154" s="192"/>
      <c r="W154" s="192"/>
      <c r="X154" s="255" t="str">
        <f>IF(COUNTBLANK(T154:W154)=4,"",SUM(T154:V154)+IF(Setup!$I$15="No",0,W154))</f>
        <v/>
      </c>
      <c r="Y154" s="192"/>
      <c r="Z154" s="192"/>
      <c r="AA154" s="192"/>
      <c r="AB154" s="192"/>
      <c r="AC154" s="255" t="str">
        <f>IF(COUNTBLANK(Y154:AB154)=4,"",SUM(Y154:AA154)+IF(Setup!$I$15="No",0,AB154))</f>
        <v/>
      </c>
      <c r="AD154" s="192"/>
      <c r="AE154" s="192"/>
      <c r="AF154" s="192"/>
      <c r="AG154" s="192"/>
      <c r="AH154" s="255" t="str">
        <f>IF(COUNTBLANK(AD154:AG154)=4,"",SUM(AD154:AF154)+IF(Setup!$I$15="No",0,AG154))</f>
        <v/>
      </c>
      <c r="AI154" s="192"/>
      <c r="AJ154" s="192"/>
      <c r="AK154" s="192"/>
      <c r="AL154" s="192"/>
      <c r="AM154" s="255" t="str">
        <f>IF(COUNTBLANK(AI154:AL154)=4,"",SUM(AI154:AK154)+IF(Setup!$I$15="No",0,AL154))</f>
        <v/>
      </c>
      <c r="AN154" s="192"/>
      <c r="AO154" s="192"/>
      <c r="AP154" s="192"/>
      <c r="AQ154" s="192"/>
      <c r="AR154" s="255" t="str">
        <f>IF(COUNTBLANK(AN154:AQ154)=4,"",SUM(AN154:AP154)+IF(Setup!$I$15="No",0,AQ154))</f>
        <v/>
      </c>
      <c r="AS154" s="192"/>
      <c r="AT154" s="192"/>
      <c r="AU154" s="192"/>
      <c r="AV154" s="192"/>
      <c r="AW154" s="255" t="str">
        <f>IF(COUNTBLANK(AS154:AV154)=4,"",SUM(AS154:AU154)+IF(Setup!$I$15="No",0,AV154))</f>
        <v/>
      </c>
      <c r="AX154" s="192"/>
      <c r="AY154" s="192"/>
      <c r="AZ154" s="192"/>
      <c r="BA154" s="192"/>
      <c r="BB154" s="255" t="str">
        <f>IF(COUNTBLANK(AX154:BA154)=4,"",SUM(AX154:AZ154)+IF(Setup!$I$15="No",0,BA154))</f>
        <v/>
      </c>
      <c r="BC154" s="259" t="str">
        <f ca="1">IF('Demand background (hide)'!A145=Num_Modalities,"",SUM(Demand!I154))</f>
        <v/>
      </c>
      <c r="BD154" s="259" t="str">
        <f ca="1">IF(AND(A154&lt;=MaxRows,BE154&lt;&gt;"Yes"),'Demand background (hide)'!X145+IF(Setup!$I$15="Yes",'Demand background (hide)'!AJ145,0),"")</f>
        <v/>
      </c>
      <c r="BE154" s="209"/>
    </row>
    <row r="155" spans="1:57" x14ac:dyDescent="0.25">
      <c r="A155" t="str">
        <f t="shared" ca="1" si="8"/>
        <v/>
      </c>
      <c r="B155" s="264" t="str">
        <f t="shared" ca="1" si="9"/>
        <v xml:space="preserve"> </v>
      </c>
      <c r="C155" s="265" t="str">
        <f t="shared" ca="1" si="10"/>
        <v/>
      </c>
      <c r="D155" s="352" t="str">
        <f t="shared" ca="1" si="11"/>
        <v/>
      </c>
      <c r="E155" s="192"/>
      <c r="F155" s="192"/>
      <c r="G155" s="192"/>
      <c r="H155" s="192"/>
      <c r="I155" s="251" t="str">
        <f>IF(COUNTBLANK(E155:H155)=4,"",SUM(E155:G155)+IF(Setup!$I$15="No",0,H155))</f>
        <v/>
      </c>
      <c r="J155" s="192"/>
      <c r="K155" s="192"/>
      <c r="L155" s="192"/>
      <c r="M155" s="192"/>
      <c r="N155" s="255" t="str">
        <f>IF(COUNTBLANK(J155:M155)=4,"",SUM(J155:L155)+IF(Setup!$I$15="No",0,M155))</f>
        <v/>
      </c>
      <c r="O155" s="192"/>
      <c r="P155" s="192"/>
      <c r="Q155" s="192"/>
      <c r="R155" s="192"/>
      <c r="S155" s="255" t="str">
        <f>IF(COUNTBLANK(O155:R155)=4,"",SUM(O155:Q155)+IF(Setup!$I$15="No",0,R155))</f>
        <v/>
      </c>
      <c r="T155" s="192"/>
      <c r="U155" s="192"/>
      <c r="V155" s="192"/>
      <c r="W155" s="192"/>
      <c r="X155" s="255" t="str">
        <f>IF(COUNTBLANK(T155:W155)=4,"",SUM(T155:V155)+IF(Setup!$I$15="No",0,W155))</f>
        <v/>
      </c>
      <c r="Y155" s="192"/>
      <c r="Z155" s="192"/>
      <c r="AA155" s="192"/>
      <c r="AB155" s="192"/>
      <c r="AC155" s="255" t="str">
        <f>IF(COUNTBLANK(Y155:AB155)=4,"",SUM(Y155:AA155)+IF(Setup!$I$15="No",0,AB155))</f>
        <v/>
      </c>
      <c r="AD155" s="192"/>
      <c r="AE155" s="192"/>
      <c r="AF155" s="192"/>
      <c r="AG155" s="192"/>
      <c r="AH155" s="255" t="str">
        <f>IF(COUNTBLANK(AD155:AG155)=4,"",SUM(AD155:AF155)+IF(Setup!$I$15="No",0,AG155))</f>
        <v/>
      </c>
      <c r="AI155" s="192"/>
      <c r="AJ155" s="192"/>
      <c r="AK155" s="192"/>
      <c r="AL155" s="192"/>
      <c r="AM155" s="255" t="str">
        <f>IF(COUNTBLANK(AI155:AL155)=4,"",SUM(AI155:AK155)+IF(Setup!$I$15="No",0,AL155))</f>
        <v/>
      </c>
      <c r="AN155" s="192"/>
      <c r="AO155" s="192"/>
      <c r="AP155" s="192"/>
      <c r="AQ155" s="192"/>
      <c r="AR155" s="255" t="str">
        <f>IF(COUNTBLANK(AN155:AQ155)=4,"",SUM(AN155:AP155)+IF(Setup!$I$15="No",0,AQ155))</f>
        <v/>
      </c>
      <c r="AS155" s="192"/>
      <c r="AT155" s="192"/>
      <c r="AU155" s="192"/>
      <c r="AV155" s="192"/>
      <c r="AW155" s="255" t="str">
        <f>IF(COUNTBLANK(AS155:AV155)=4,"",SUM(AS155:AU155)+IF(Setup!$I$15="No",0,AV155))</f>
        <v/>
      </c>
      <c r="AX155" s="192"/>
      <c r="AY155" s="192"/>
      <c r="AZ155" s="192"/>
      <c r="BA155" s="192"/>
      <c r="BB155" s="255" t="str">
        <f>IF(COUNTBLANK(AX155:BA155)=4,"",SUM(AX155:AZ155)+IF(Setup!$I$15="No",0,BA155))</f>
        <v/>
      </c>
      <c r="BC155" s="259" t="str">
        <f ca="1">IF('Demand background (hide)'!A146=Num_Modalities,"",SUM(Demand!I155))</f>
        <v/>
      </c>
      <c r="BD155" s="259" t="str">
        <f ca="1">IF(AND(A155&lt;=MaxRows,BE155&lt;&gt;"Yes"),'Demand background (hide)'!X146+IF(Setup!$I$15="Yes",'Demand background (hide)'!AJ146,0),"")</f>
        <v/>
      </c>
      <c r="BE155" s="209"/>
    </row>
    <row r="156" spans="1:57" x14ac:dyDescent="0.25">
      <c r="A156" t="str">
        <f t="shared" ca="1" si="8"/>
        <v/>
      </c>
      <c r="B156" s="264" t="str">
        <f t="shared" ca="1" si="9"/>
        <v xml:space="preserve"> </v>
      </c>
      <c r="C156" s="265" t="str">
        <f t="shared" ca="1" si="10"/>
        <v/>
      </c>
      <c r="D156" s="352" t="str">
        <f t="shared" ca="1" si="11"/>
        <v/>
      </c>
      <c r="E156" s="192"/>
      <c r="F156" s="192"/>
      <c r="G156" s="192"/>
      <c r="H156" s="192"/>
      <c r="I156" s="251" t="str">
        <f>IF(COUNTBLANK(E156:H156)=4,"",SUM(E156:G156)+IF(Setup!$I$15="No",0,H156))</f>
        <v/>
      </c>
      <c r="J156" s="192"/>
      <c r="K156" s="192"/>
      <c r="L156" s="192"/>
      <c r="M156" s="192"/>
      <c r="N156" s="255" t="str">
        <f>IF(COUNTBLANK(J156:M156)=4,"",SUM(J156:L156)+IF(Setup!$I$15="No",0,M156))</f>
        <v/>
      </c>
      <c r="O156" s="192"/>
      <c r="P156" s="192"/>
      <c r="Q156" s="192"/>
      <c r="R156" s="192"/>
      <c r="S156" s="255" t="str">
        <f>IF(COUNTBLANK(O156:R156)=4,"",SUM(O156:Q156)+IF(Setup!$I$15="No",0,R156))</f>
        <v/>
      </c>
      <c r="T156" s="192"/>
      <c r="U156" s="192"/>
      <c r="V156" s="192"/>
      <c r="W156" s="192"/>
      <c r="X156" s="255" t="str">
        <f>IF(COUNTBLANK(T156:W156)=4,"",SUM(T156:V156)+IF(Setup!$I$15="No",0,W156))</f>
        <v/>
      </c>
      <c r="Y156" s="192"/>
      <c r="Z156" s="192"/>
      <c r="AA156" s="192"/>
      <c r="AB156" s="192"/>
      <c r="AC156" s="255" t="str">
        <f>IF(COUNTBLANK(Y156:AB156)=4,"",SUM(Y156:AA156)+IF(Setup!$I$15="No",0,AB156))</f>
        <v/>
      </c>
      <c r="AD156" s="192"/>
      <c r="AE156" s="192"/>
      <c r="AF156" s="192"/>
      <c r="AG156" s="192"/>
      <c r="AH156" s="255" t="str">
        <f>IF(COUNTBLANK(AD156:AG156)=4,"",SUM(AD156:AF156)+IF(Setup!$I$15="No",0,AG156))</f>
        <v/>
      </c>
      <c r="AI156" s="192"/>
      <c r="AJ156" s="192"/>
      <c r="AK156" s="192"/>
      <c r="AL156" s="192"/>
      <c r="AM156" s="255" t="str">
        <f>IF(COUNTBLANK(AI156:AL156)=4,"",SUM(AI156:AK156)+IF(Setup!$I$15="No",0,AL156))</f>
        <v/>
      </c>
      <c r="AN156" s="192"/>
      <c r="AO156" s="192"/>
      <c r="AP156" s="192"/>
      <c r="AQ156" s="192"/>
      <c r="AR156" s="255" t="str">
        <f>IF(COUNTBLANK(AN156:AQ156)=4,"",SUM(AN156:AP156)+IF(Setup!$I$15="No",0,AQ156))</f>
        <v/>
      </c>
      <c r="AS156" s="192"/>
      <c r="AT156" s="192"/>
      <c r="AU156" s="192"/>
      <c r="AV156" s="192"/>
      <c r="AW156" s="255" t="str">
        <f>IF(COUNTBLANK(AS156:AV156)=4,"",SUM(AS156:AU156)+IF(Setup!$I$15="No",0,AV156))</f>
        <v/>
      </c>
      <c r="AX156" s="192"/>
      <c r="AY156" s="192"/>
      <c r="AZ156" s="192"/>
      <c r="BA156" s="192"/>
      <c r="BB156" s="255" t="str">
        <f>IF(COUNTBLANK(AX156:BA156)=4,"",SUM(AX156:AZ156)+IF(Setup!$I$15="No",0,BA156))</f>
        <v/>
      </c>
      <c r="BC156" s="259" t="str">
        <f ca="1">IF('Demand background (hide)'!A147=Num_Modalities,"",SUM(Demand!I156))</f>
        <v/>
      </c>
      <c r="BD156" s="259" t="str">
        <f ca="1">IF(AND(A156&lt;=MaxRows,BE156&lt;&gt;"Yes"),'Demand background (hide)'!X147+IF(Setup!$I$15="Yes",'Demand background (hide)'!AJ147,0),"")</f>
        <v/>
      </c>
      <c r="BE156" s="209"/>
    </row>
    <row r="157" spans="1:57" x14ac:dyDescent="0.25">
      <c r="A157" t="str">
        <f t="shared" ca="1" si="8"/>
        <v/>
      </c>
      <c r="B157" s="264" t="str">
        <f t="shared" ca="1" si="9"/>
        <v xml:space="preserve"> </v>
      </c>
      <c r="C157" s="265" t="str">
        <f t="shared" ca="1" si="10"/>
        <v/>
      </c>
      <c r="D157" s="352" t="str">
        <f t="shared" ca="1" si="11"/>
        <v/>
      </c>
      <c r="E157" s="192"/>
      <c r="F157" s="192"/>
      <c r="G157" s="192"/>
      <c r="H157" s="192"/>
      <c r="I157" s="251" t="str">
        <f>IF(COUNTBLANK(E157:H157)=4,"",SUM(E157:G157)+IF(Setup!$I$15="No",0,H157))</f>
        <v/>
      </c>
      <c r="J157" s="192"/>
      <c r="K157" s="192"/>
      <c r="L157" s="192"/>
      <c r="M157" s="192"/>
      <c r="N157" s="255" t="str">
        <f>IF(COUNTBLANK(J157:M157)=4,"",SUM(J157:L157)+IF(Setup!$I$15="No",0,M157))</f>
        <v/>
      </c>
      <c r="O157" s="192"/>
      <c r="P157" s="192"/>
      <c r="Q157" s="192"/>
      <c r="R157" s="192"/>
      <c r="S157" s="255" t="str">
        <f>IF(COUNTBLANK(O157:R157)=4,"",SUM(O157:Q157)+IF(Setup!$I$15="No",0,R157))</f>
        <v/>
      </c>
      <c r="T157" s="192"/>
      <c r="U157" s="192"/>
      <c r="V157" s="192"/>
      <c r="W157" s="192"/>
      <c r="X157" s="255" t="str">
        <f>IF(COUNTBLANK(T157:W157)=4,"",SUM(T157:V157)+IF(Setup!$I$15="No",0,W157))</f>
        <v/>
      </c>
      <c r="Y157" s="192"/>
      <c r="Z157" s="192"/>
      <c r="AA157" s="192"/>
      <c r="AB157" s="192"/>
      <c r="AC157" s="255" t="str">
        <f>IF(COUNTBLANK(Y157:AB157)=4,"",SUM(Y157:AA157)+IF(Setup!$I$15="No",0,AB157))</f>
        <v/>
      </c>
      <c r="AD157" s="192"/>
      <c r="AE157" s="192"/>
      <c r="AF157" s="192"/>
      <c r="AG157" s="192"/>
      <c r="AH157" s="255" t="str">
        <f>IF(COUNTBLANK(AD157:AG157)=4,"",SUM(AD157:AF157)+IF(Setup!$I$15="No",0,AG157))</f>
        <v/>
      </c>
      <c r="AI157" s="192"/>
      <c r="AJ157" s="192"/>
      <c r="AK157" s="192"/>
      <c r="AL157" s="192"/>
      <c r="AM157" s="255" t="str">
        <f>IF(COUNTBLANK(AI157:AL157)=4,"",SUM(AI157:AK157)+IF(Setup!$I$15="No",0,AL157))</f>
        <v/>
      </c>
      <c r="AN157" s="192"/>
      <c r="AO157" s="192"/>
      <c r="AP157" s="192"/>
      <c r="AQ157" s="192"/>
      <c r="AR157" s="255" t="str">
        <f>IF(COUNTBLANK(AN157:AQ157)=4,"",SUM(AN157:AP157)+IF(Setup!$I$15="No",0,AQ157))</f>
        <v/>
      </c>
      <c r="AS157" s="192"/>
      <c r="AT157" s="192"/>
      <c r="AU157" s="192"/>
      <c r="AV157" s="192"/>
      <c r="AW157" s="255" t="str">
        <f>IF(COUNTBLANK(AS157:AV157)=4,"",SUM(AS157:AU157)+IF(Setup!$I$15="No",0,AV157))</f>
        <v/>
      </c>
      <c r="AX157" s="192"/>
      <c r="AY157" s="192"/>
      <c r="AZ157" s="192"/>
      <c r="BA157" s="192"/>
      <c r="BB157" s="255" t="str">
        <f>IF(COUNTBLANK(AX157:BA157)=4,"",SUM(AX157:AZ157)+IF(Setup!$I$15="No",0,BA157))</f>
        <v/>
      </c>
      <c r="BC157" s="259" t="str">
        <f ca="1">IF('Demand background (hide)'!A148=Num_Modalities,"",SUM(Demand!I157))</f>
        <v/>
      </c>
      <c r="BD157" s="259" t="str">
        <f ca="1">IF(AND(A157&lt;=MaxRows,BE157&lt;&gt;"Yes"),'Demand background (hide)'!X148+IF(Setup!$I$15="Yes",'Demand background (hide)'!AJ148,0),"")</f>
        <v/>
      </c>
      <c r="BE157" s="209"/>
    </row>
    <row r="158" spans="1:57" x14ac:dyDescent="0.25">
      <c r="A158" t="str">
        <f t="shared" ca="1" si="8"/>
        <v/>
      </c>
      <c r="B158" s="264" t="str">
        <f t="shared" ca="1" si="9"/>
        <v xml:space="preserve"> </v>
      </c>
      <c r="C158" s="265" t="str">
        <f t="shared" ca="1" si="10"/>
        <v/>
      </c>
      <c r="D158" s="352" t="str">
        <f t="shared" ca="1" si="11"/>
        <v/>
      </c>
      <c r="E158" s="192"/>
      <c r="F158" s="192"/>
      <c r="G158" s="192"/>
      <c r="H158" s="192"/>
      <c r="I158" s="251" t="str">
        <f>IF(COUNTBLANK(E158:H158)=4,"",SUM(E158:G158)+IF(Setup!$I$15="No",0,H158))</f>
        <v/>
      </c>
      <c r="J158" s="192"/>
      <c r="K158" s="192"/>
      <c r="L158" s="192"/>
      <c r="M158" s="192"/>
      <c r="N158" s="255" t="str">
        <f>IF(COUNTBLANK(J158:M158)=4,"",SUM(J158:L158)+IF(Setup!$I$15="No",0,M158))</f>
        <v/>
      </c>
      <c r="O158" s="192"/>
      <c r="P158" s="192"/>
      <c r="Q158" s="192"/>
      <c r="R158" s="192"/>
      <c r="S158" s="255" t="str">
        <f>IF(COUNTBLANK(O158:R158)=4,"",SUM(O158:Q158)+IF(Setup!$I$15="No",0,R158))</f>
        <v/>
      </c>
      <c r="T158" s="192"/>
      <c r="U158" s="192"/>
      <c r="V158" s="192"/>
      <c r="W158" s="192"/>
      <c r="X158" s="255" t="str">
        <f>IF(COUNTBLANK(T158:W158)=4,"",SUM(T158:V158)+IF(Setup!$I$15="No",0,W158))</f>
        <v/>
      </c>
      <c r="Y158" s="192"/>
      <c r="Z158" s="192"/>
      <c r="AA158" s="192"/>
      <c r="AB158" s="192"/>
      <c r="AC158" s="255" t="str">
        <f>IF(COUNTBLANK(Y158:AB158)=4,"",SUM(Y158:AA158)+IF(Setup!$I$15="No",0,AB158))</f>
        <v/>
      </c>
      <c r="AD158" s="192"/>
      <c r="AE158" s="192"/>
      <c r="AF158" s="192"/>
      <c r="AG158" s="192"/>
      <c r="AH158" s="255" t="str">
        <f>IF(COUNTBLANK(AD158:AG158)=4,"",SUM(AD158:AF158)+IF(Setup!$I$15="No",0,AG158))</f>
        <v/>
      </c>
      <c r="AI158" s="192"/>
      <c r="AJ158" s="192"/>
      <c r="AK158" s="192"/>
      <c r="AL158" s="192"/>
      <c r="AM158" s="255" t="str">
        <f>IF(COUNTBLANK(AI158:AL158)=4,"",SUM(AI158:AK158)+IF(Setup!$I$15="No",0,AL158))</f>
        <v/>
      </c>
      <c r="AN158" s="192"/>
      <c r="AO158" s="192"/>
      <c r="AP158" s="192"/>
      <c r="AQ158" s="192"/>
      <c r="AR158" s="255" t="str">
        <f>IF(COUNTBLANK(AN158:AQ158)=4,"",SUM(AN158:AP158)+IF(Setup!$I$15="No",0,AQ158))</f>
        <v/>
      </c>
      <c r="AS158" s="192"/>
      <c r="AT158" s="192"/>
      <c r="AU158" s="192"/>
      <c r="AV158" s="192"/>
      <c r="AW158" s="255" t="str">
        <f>IF(COUNTBLANK(AS158:AV158)=4,"",SUM(AS158:AU158)+IF(Setup!$I$15="No",0,AV158))</f>
        <v/>
      </c>
      <c r="AX158" s="192"/>
      <c r="AY158" s="192"/>
      <c r="AZ158" s="192"/>
      <c r="BA158" s="192"/>
      <c r="BB158" s="255" t="str">
        <f>IF(COUNTBLANK(AX158:BA158)=4,"",SUM(AX158:AZ158)+IF(Setup!$I$15="No",0,BA158))</f>
        <v/>
      </c>
      <c r="BC158" s="259" t="str">
        <f ca="1">IF('Demand background (hide)'!A149=Num_Modalities,"",SUM(Demand!I158))</f>
        <v/>
      </c>
      <c r="BD158" s="259" t="str">
        <f ca="1">IF(AND(A158&lt;=MaxRows,BE158&lt;&gt;"Yes"),'Demand background (hide)'!X149+IF(Setup!$I$15="Yes",'Demand background (hide)'!AJ149,0),"")</f>
        <v/>
      </c>
      <c r="BE158" s="209"/>
    </row>
    <row r="159" spans="1:57" x14ac:dyDescent="0.25">
      <c r="A159" t="str">
        <f t="shared" ca="1" si="8"/>
        <v/>
      </c>
      <c r="B159" s="264" t="str">
        <f t="shared" ca="1" si="9"/>
        <v xml:space="preserve"> </v>
      </c>
      <c r="C159" s="265" t="str">
        <f t="shared" ca="1" si="10"/>
        <v/>
      </c>
      <c r="D159" s="352" t="str">
        <f t="shared" ca="1" si="11"/>
        <v/>
      </c>
      <c r="E159" s="192"/>
      <c r="F159" s="192"/>
      <c r="G159" s="192"/>
      <c r="H159" s="192"/>
      <c r="I159" s="251" t="str">
        <f>IF(COUNTBLANK(E159:H159)=4,"",SUM(E159:G159)+IF(Setup!$I$15="No",0,H159))</f>
        <v/>
      </c>
      <c r="J159" s="192"/>
      <c r="K159" s="192"/>
      <c r="L159" s="192"/>
      <c r="M159" s="192"/>
      <c r="N159" s="255" t="str">
        <f>IF(COUNTBLANK(J159:M159)=4,"",SUM(J159:L159)+IF(Setup!$I$15="No",0,M159))</f>
        <v/>
      </c>
      <c r="O159" s="192"/>
      <c r="P159" s="192"/>
      <c r="Q159" s="192"/>
      <c r="R159" s="192"/>
      <c r="S159" s="255" t="str">
        <f>IF(COUNTBLANK(O159:R159)=4,"",SUM(O159:Q159)+IF(Setup!$I$15="No",0,R159))</f>
        <v/>
      </c>
      <c r="T159" s="192"/>
      <c r="U159" s="192"/>
      <c r="V159" s="192"/>
      <c r="W159" s="192"/>
      <c r="X159" s="255" t="str">
        <f>IF(COUNTBLANK(T159:W159)=4,"",SUM(T159:V159)+IF(Setup!$I$15="No",0,W159))</f>
        <v/>
      </c>
      <c r="Y159" s="192"/>
      <c r="Z159" s="192"/>
      <c r="AA159" s="192"/>
      <c r="AB159" s="192"/>
      <c r="AC159" s="255" t="str">
        <f>IF(COUNTBLANK(Y159:AB159)=4,"",SUM(Y159:AA159)+IF(Setup!$I$15="No",0,AB159))</f>
        <v/>
      </c>
      <c r="AD159" s="192"/>
      <c r="AE159" s="192"/>
      <c r="AF159" s="192"/>
      <c r="AG159" s="192"/>
      <c r="AH159" s="255" t="str">
        <f>IF(COUNTBLANK(AD159:AG159)=4,"",SUM(AD159:AF159)+IF(Setup!$I$15="No",0,AG159))</f>
        <v/>
      </c>
      <c r="AI159" s="192"/>
      <c r="AJ159" s="192"/>
      <c r="AK159" s="192"/>
      <c r="AL159" s="192"/>
      <c r="AM159" s="255" t="str">
        <f>IF(COUNTBLANK(AI159:AL159)=4,"",SUM(AI159:AK159)+IF(Setup!$I$15="No",0,AL159))</f>
        <v/>
      </c>
      <c r="AN159" s="192"/>
      <c r="AO159" s="192"/>
      <c r="AP159" s="192"/>
      <c r="AQ159" s="192"/>
      <c r="AR159" s="255" t="str">
        <f>IF(COUNTBLANK(AN159:AQ159)=4,"",SUM(AN159:AP159)+IF(Setup!$I$15="No",0,AQ159))</f>
        <v/>
      </c>
      <c r="AS159" s="192"/>
      <c r="AT159" s="192"/>
      <c r="AU159" s="192"/>
      <c r="AV159" s="192"/>
      <c r="AW159" s="255" t="str">
        <f>IF(COUNTBLANK(AS159:AV159)=4,"",SUM(AS159:AU159)+IF(Setup!$I$15="No",0,AV159))</f>
        <v/>
      </c>
      <c r="AX159" s="192"/>
      <c r="AY159" s="192"/>
      <c r="AZ159" s="192"/>
      <c r="BA159" s="192"/>
      <c r="BB159" s="255" t="str">
        <f>IF(COUNTBLANK(AX159:BA159)=4,"",SUM(AX159:AZ159)+IF(Setup!$I$15="No",0,BA159))</f>
        <v/>
      </c>
      <c r="BC159" s="259" t="str">
        <f ca="1">IF('Demand background (hide)'!A150=Num_Modalities,"",SUM(Demand!I159))</f>
        <v/>
      </c>
      <c r="BD159" s="259" t="str">
        <f ca="1">IF(AND(A159&lt;=MaxRows,BE159&lt;&gt;"Yes"),'Demand background (hide)'!X150+IF(Setup!$I$15="Yes",'Demand background (hide)'!AJ150,0),"")</f>
        <v/>
      </c>
      <c r="BE159" s="209"/>
    </row>
    <row r="160" spans="1:57" x14ac:dyDescent="0.25">
      <c r="A160" t="str">
        <f t="shared" ca="1" si="8"/>
        <v/>
      </c>
      <c r="B160" s="264" t="str">
        <f t="shared" ca="1" si="9"/>
        <v xml:space="preserve"> </v>
      </c>
      <c r="C160" s="265" t="str">
        <f t="shared" ca="1" si="10"/>
        <v/>
      </c>
      <c r="D160" s="352" t="str">
        <f t="shared" ca="1" si="11"/>
        <v/>
      </c>
      <c r="E160" s="192"/>
      <c r="F160" s="192"/>
      <c r="G160" s="192"/>
      <c r="H160" s="192"/>
      <c r="I160" s="251" t="str">
        <f>IF(COUNTBLANK(E160:H160)=4,"",SUM(E160:G160)+IF(Setup!$I$15="No",0,H160))</f>
        <v/>
      </c>
      <c r="J160" s="192"/>
      <c r="K160" s="192"/>
      <c r="L160" s="192"/>
      <c r="M160" s="192"/>
      <c r="N160" s="255" t="str">
        <f>IF(COUNTBLANK(J160:M160)=4,"",SUM(J160:L160)+IF(Setup!$I$15="No",0,M160))</f>
        <v/>
      </c>
      <c r="O160" s="192"/>
      <c r="P160" s="192"/>
      <c r="Q160" s="192"/>
      <c r="R160" s="192"/>
      <c r="S160" s="255" t="str">
        <f>IF(COUNTBLANK(O160:R160)=4,"",SUM(O160:Q160)+IF(Setup!$I$15="No",0,R160))</f>
        <v/>
      </c>
      <c r="T160" s="192"/>
      <c r="U160" s="192"/>
      <c r="V160" s="192"/>
      <c r="W160" s="192"/>
      <c r="X160" s="255" t="str">
        <f>IF(COUNTBLANK(T160:W160)=4,"",SUM(T160:V160)+IF(Setup!$I$15="No",0,W160))</f>
        <v/>
      </c>
      <c r="Y160" s="192"/>
      <c r="Z160" s="192"/>
      <c r="AA160" s="192"/>
      <c r="AB160" s="192"/>
      <c r="AC160" s="255" t="str">
        <f>IF(COUNTBLANK(Y160:AB160)=4,"",SUM(Y160:AA160)+IF(Setup!$I$15="No",0,AB160))</f>
        <v/>
      </c>
      <c r="AD160" s="192"/>
      <c r="AE160" s="192"/>
      <c r="AF160" s="192"/>
      <c r="AG160" s="192"/>
      <c r="AH160" s="255" t="str">
        <f>IF(COUNTBLANK(AD160:AG160)=4,"",SUM(AD160:AF160)+IF(Setup!$I$15="No",0,AG160))</f>
        <v/>
      </c>
      <c r="AI160" s="192"/>
      <c r="AJ160" s="192"/>
      <c r="AK160" s="192"/>
      <c r="AL160" s="192"/>
      <c r="AM160" s="255" t="str">
        <f>IF(COUNTBLANK(AI160:AL160)=4,"",SUM(AI160:AK160)+IF(Setup!$I$15="No",0,AL160))</f>
        <v/>
      </c>
      <c r="AN160" s="192"/>
      <c r="AO160" s="192"/>
      <c r="AP160" s="192"/>
      <c r="AQ160" s="192"/>
      <c r="AR160" s="255" t="str">
        <f>IF(COUNTBLANK(AN160:AQ160)=4,"",SUM(AN160:AP160)+IF(Setup!$I$15="No",0,AQ160))</f>
        <v/>
      </c>
      <c r="AS160" s="192"/>
      <c r="AT160" s="192"/>
      <c r="AU160" s="192"/>
      <c r="AV160" s="192"/>
      <c r="AW160" s="255" t="str">
        <f>IF(COUNTBLANK(AS160:AV160)=4,"",SUM(AS160:AU160)+IF(Setup!$I$15="No",0,AV160))</f>
        <v/>
      </c>
      <c r="AX160" s="192"/>
      <c r="AY160" s="192"/>
      <c r="AZ160" s="192"/>
      <c r="BA160" s="192"/>
      <c r="BB160" s="255" t="str">
        <f>IF(COUNTBLANK(AX160:BA160)=4,"",SUM(AX160:AZ160)+IF(Setup!$I$15="No",0,BA160))</f>
        <v/>
      </c>
      <c r="BC160" s="259" t="str">
        <f ca="1">IF('Demand background (hide)'!A151=Num_Modalities,"",SUM(Demand!I160))</f>
        <v/>
      </c>
      <c r="BD160" s="259" t="str">
        <f ca="1">IF(AND(A160&lt;=MaxRows,BE160&lt;&gt;"Yes"),'Demand background (hide)'!X151+IF(Setup!$I$15="Yes",'Demand background (hide)'!AJ151,0),"")</f>
        <v/>
      </c>
      <c r="BE160" s="209"/>
    </row>
    <row r="161" spans="1:57" x14ac:dyDescent="0.25">
      <c r="A161" t="str">
        <f t="shared" ca="1" si="8"/>
        <v/>
      </c>
      <c r="B161" s="264" t="str">
        <f t="shared" ca="1" si="9"/>
        <v xml:space="preserve"> </v>
      </c>
      <c r="C161" s="265" t="str">
        <f t="shared" ca="1" si="10"/>
        <v/>
      </c>
      <c r="D161" s="352" t="str">
        <f t="shared" ca="1" si="11"/>
        <v/>
      </c>
      <c r="E161" s="192"/>
      <c r="F161" s="192"/>
      <c r="G161" s="192"/>
      <c r="H161" s="192"/>
      <c r="I161" s="251" t="str">
        <f>IF(COUNTBLANK(E161:H161)=4,"",SUM(E161:G161)+IF(Setup!$I$15="No",0,H161))</f>
        <v/>
      </c>
      <c r="J161" s="192"/>
      <c r="K161" s="192"/>
      <c r="L161" s="192"/>
      <c r="M161" s="192"/>
      <c r="N161" s="255" t="str">
        <f>IF(COUNTBLANK(J161:M161)=4,"",SUM(J161:L161)+IF(Setup!$I$15="No",0,M161))</f>
        <v/>
      </c>
      <c r="O161" s="192"/>
      <c r="P161" s="192"/>
      <c r="Q161" s="192"/>
      <c r="R161" s="192"/>
      <c r="S161" s="255" t="str">
        <f>IF(COUNTBLANK(O161:R161)=4,"",SUM(O161:Q161)+IF(Setup!$I$15="No",0,R161))</f>
        <v/>
      </c>
      <c r="T161" s="192"/>
      <c r="U161" s="192"/>
      <c r="V161" s="192"/>
      <c r="W161" s="192"/>
      <c r="X161" s="255" t="str">
        <f>IF(COUNTBLANK(T161:W161)=4,"",SUM(T161:V161)+IF(Setup!$I$15="No",0,W161))</f>
        <v/>
      </c>
      <c r="Y161" s="192"/>
      <c r="Z161" s="192"/>
      <c r="AA161" s="192"/>
      <c r="AB161" s="192"/>
      <c r="AC161" s="255" t="str">
        <f>IF(COUNTBLANK(Y161:AB161)=4,"",SUM(Y161:AA161)+IF(Setup!$I$15="No",0,AB161))</f>
        <v/>
      </c>
      <c r="AD161" s="192"/>
      <c r="AE161" s="192"/>
      <c r="AF161" s="192"/>
      <c r="AG161" s="192"/>
      <c r="AH161" s="255" t="str">
        <f>IF(COUNTBLANK(AD161:AG161)=4,"",SUM(AD161:AF161)+IF(Setup!$I$15="No",0,AG161))</f>
        <v/>
      </c>
      <c r="AI161" s="192"/>
      <c r="AJ161" s="192"/>
      <c r="AK161" s="192"/>
      <c r="AL161" s="192"/>
      <c r="AM161" s="255" t="str">
        <f>IF(COUNTBLANK(AI161:AL161)=4,"",SUM(AI161:AK161)+IF(Setup!$I$15="No",0,AL161))</f>
        <v/>
      </c>
      <c r="AN161" s="192"/>
      <c r="AO161" s="192"/>
      <c r="AP161" s="192"/>
      <c r="AQ161" s="192"/>
      <c r="AR161" s="255" t="str">
        <f>IF(COUNTBLANK(AN161:AQ161)=4,"",SUM(AN161:AP161)+IF(Setup!$I$15="No",0,AQ161))</f>
        <v/>
      </c>
      <c r="AS161" s="192"/>
      <c r="AT161" s="192"/>
      <c r="AU161" s="192"/>
      <c r="AV161" s="192"/>
      <c r="AW161" s="255" t="str">
        <f>IF(COUNTBLANK(AS161:AV161)=4,"",SUM(AS161:AU161)+IF(Setup!$I$15="No",0,AV161))</f>
        <v/>
      </c>
      <c r="AX161" s="192"/>
      <c r="AY161" s="192"/>
      <c r="AZ161" s="192"/>
      <c r="BA161" s="192"/>
      <c r="BB161" s="255" t="str">
        <f>IF(COUNTBLANK(AX161:BA161)=4,"",SUM(AX161:AZ161)+IF(Setup!$I$15="No",0,BA161))</f>
        <v/>
      </c>
      <c r="BC161" s="259" t="str">
        <f ca="1">IF('Demand background (hide)'!A152=Num_Modalities,"",SUM(Demand!I161))</f>
        <v/>
      </c>
      <c r="BD161" s="259" t="str">
        <f ca="1">IF(AND(A161&lt;=MaxRows,BE161&lt;&gt;"Yes"),'Demand background (hide)'!X152+IF(Setup!$I$15="Yes",'Demand background (hide)'!AJ152,0),"")</f>
        <v/>
      </c>
      <c r="BE161" s="209"/>
    </row>
    <row r="162" spans="1:57" x14ac:dyDescent="0.25">
      <c r="A162" t="str">
        <f t="shared" ca="1" si="8"/>
        <v/>
      </c>
      <c r="B162" s="264" t="str">
        <f t="shared" ca="1" si="9"/>
        <v xml:space="preserve"> </v>
      </c>
      <c r="C162" s="265" t="str">
        <f t="shared" ca="1" si="10"/>
        <v/>
      </c>
      <c r="D162" s="352" t="str">
        <f t="shared" ca="1" si="11"/>
        <v/>
      </c>
      <c r="E162" s="192"/>
      <c r="F162" s="192"/>
      <c r="G162" s="192"/>
      <c r="H162" s="192"/>
      <c r="I162" s="251" t="str">
        <f>IF(COUNTBLANK(E162:H162)=4,"",SUM(E162:G162)+IF(Setup!$I$15="No",0,H162))</f>
        <v/>
      </c>
      <c r="J162" s="192"/>
      <c r="K162" s="192"/>
      <c r="L162" s="192"/>
      <c r="M162" s="192"/>
      <c r="N162" s="255" t="str">
        <f>IF(COUNTBLANK(J162:M162)=4,"",SUM(J162:L162)+IF(Setup!$I$15="No",0,M162))</f>
        <v/>
      </c>
      <c r="O162" s="192"/>
      <c r="P162" s="192"/>
      <c r="Q162" s="192"/>
      <c r="R162" s="192"/>
      <c r="S162" s="255" t="str">
        <f>IF(COUNTBLANK(O162:R162)=4,"",SUM(O162:Q162)+IF(Setup!$I$15="No",0,R162))</f>
        <v/>
      </c>
      <c r="T162" s="192"/>
      <c r="U162" s="192"/>
      <c r="V162" s="192"/>
      <c r="W162" s="192"/>
      <c r="X162" s="255" t="str">
        <f>IF(COUNTBLANK(T162:W162)=4,"",SUM(T162:V162)+IF(Setup!$I$15="No",0,W162))</f>
        <v/>
      </c>
      <c r="Y162" s="192"/>
      <c r="Z162" s="192"/>
      <c r="AA162" s="192"/>
      <c r="AB162" s="192"/>
      <c r="AC162" s="255" t="str">
        <f>IF(COUNTBLANK(Y162:AB162)=4,"",SUM(Y162:AA162)+IF(Setup!$I$15="No",0,AB162))</f>
        <v/>
      </c>
      <c r="AD162" s="192"/>
      <c r="AE162" s="192"/>
      <c r="AF162" s="192"/>
      <c r="AG162" s="192"/>
      <c r="AH162" s="255" t="str">
        <f>IF(COUNTBLANK(AD162:AG162)=4,"",SUM(AD162:AF162)+IF(Setup!$I$15="No",0,AG162))</f>
        <v/>
      </c>
      <c r="AI162" s="192"/>
      <c r="AJ162" s="192"/>
      <c r="AK162" s="192"/>
      <c r="AL162" s="192"/>
      <c r="AM162" s="255" t="str">
        <f>IF(COUNTBLANK(AI162:AL162)=4,"",SUM(AI162:AK162)+IF(Setup!$I$15="No",0,AL162))</f>
        <v/>
      </c>
      <c r="AN162" s="192"/>
      <c r="AO162" s="192"/>
      <c r="AP162" s="192"/>
      <c r="AQ162" s="192"/>
      <c r="AR162" s="255" t="str">
        <f>IF(COUNTBLANK(AN162:AQ162)=4,"",SUM(AN162:AP162)+IF(Setup!$I$15="No",0,AQ162))</f>
        <v/>
      </c>
      <c r="AS162" s="192"/>
      <c r="AT162" s="192"/>
      <c r="AU162" s="192"/>
      <c r="AV162" s="192"/>
      <c r="AW162" s="255" t="str">
        <f>IF(COUNTBLANK(AS162:AV162)=4,"",SUM(AS162:AU162)+IF(Setup!$I$15="No",0,AV162))</f>
        <v/>
      </c>
      <c r="AX162" s="192"/>
      <c r="AY162" s="192"/>
      <c r="AZ162" s="192"/>
      <c r="BA162" s="192"/>
      <c r="BB162" s="255" t="str">
        <f>IF(COUNTBLANK(AX162:BA162)=4,"",SUM(AX162:AZ162)+IF(Setup!$I$15="No",0,BA162))</f>
        <v/>
      </c>
      <c r="BC162" s="259" t="str">
        <f ca="1">IF('Demand background (hide)'!A153=Num_Modalities,"",SUM(Demand!I162))</f>
        <v/>
      </c>
      <c r="BD162" s="259" t="str">
        <f ca="1">IF(AND(A162&lt;=MaxRows,BE162&lt;&gt;"Yes"),'Demand background (hide)'!X153+IF(Setup!$I$15="Yes",'Demand background (hide)'!AJ153,0),"")</f>
        <v/>
      </c>
      <c r="BE162" s="209"/>
    </row>
    <row r="163" spans="1:57" x14ac:dyDescent="0.25">
      <c r="A163" t="str">
        <f t="shared" ca="1" si="8"/>
        <v/>
      </c>
      <c r="B163" s="264" t="str">
        <f t="shared" ca="1" si="9"/>
        <v xml:space="preserve"> </v>
      </c>
      <c r="C163" s="265" t="str">
        <f t="shared" ca="1" si="10"/>
        <v/>
      </c>
      <c r="D163" s="352" t="str">
        <f t="shared" ca="1" si="11"/>
        <v/>
      </c>
      <c r="E163" s="192"/>
      <c r="F163" s="192"/>
      <c r="G163" s="192"/>
      <c r="H163" s="192"/>
      <c r="I163" s="251" t="str">
        <f>IF(COUNTBLANK(E163:H163)=4,"",SUM(E163:G163)+IF(Setup!$I$15="No",0,H163))</f>
        <v/>
      </c>
      <c r="J163" s="192"/>
      <c r="K163" s="192"/>
      <c r="L163" s="192"/>
      <c r="M163" s="192"/>
      <c r="N163" s="255" t="str">
        <f>IF(COUNTBLANK(J163:M163)=4,"",SUM(J163:L163)+IF(Setup!$I$15="No",0,M163))</f>
        <v/>
      </c>
      <c r="O163" s="192"/>
      <c r="P163" s="192"/>
      <c r="Q163" s="192"/>
      <c r="R163" s="192"/>
      <c r="S163" s="255" t="str">
        <f>IF(COUNTBLANK(O163:R163)=4,"",SUM(O163:Q163)+IF(Setup!$I$15="No",0,R163))</f>
        <v/>
      </c>
      <c r="T163" s="192"/>
      <c r="U163" s="192"/>
      <c r="V163" s="192"/>
      <c r="W163" s="192"/>
      <c r="X163" s="255" t="str">
        <f>IF(COUNTBLANK(T163:W163)=4,"",SUM(T163:V163)+IF(Setup!$I$15="No",0,W163))</f>
        <v/>
      </c>
      <c r="Y163" s="192"/>
      <c r="Z163" s="192"/>
      <c r="AA163" s="192"/>
      <c r="AB163" s="192"/>
      <c r="AC163" s="255" t="str">
        <f>IF(COUNTBLANK(Y163:AB163)=4,"",SUM(Y163:AA163)+IF(Setup!$I$15="No",0,AB163))</f>
        <v/>
      </c>
      <c r="AD163" s="192"/>
      <c r="AE163" s="192"/>
      <c r="AF163" s="192"/>
      <c r="AG163" s="192"/>
      <c r="AH163" s="255" t="str">
        <f>IF(COUNTBLANK(AD163:AG163)=4,"",SUM(AD163:AF163)+IF(Setup!$I$15="No",0,AG163))</f>
        <v/>
      </c>
      <c r="AI163" s="192"/>
      <c r="AJ163" s="192"/>
      <c r="AK163" s="192"/>
      <c r="AL163" s="192"/>
      <c r="AM163" s="255" t="str">
        <f>IF(COUNTBLANK(AI163:AL163)=4,"",SUM(AI163:AK163)+IF(Setup!$I$15="No",0,AL163))</f>
        <v/>
      </c>
      <c r="AN163" s="192"/>
      <c r="AO163" s="192"/>
      <c r="AP163" s="192"/>
      <c r="AQ163" s="192"/>
      <c r="AR163" s="255" t="str">
        <f>IF(COUNTBLANK(AN163:AQ163)=4,"",SUM(AN163:AP163)+IF(Setup!$I$15="No",0,AQ163))</f>
        <v/>
      </c>
      <c r="AS163" s="192"/>
      <c r="AT163" s="192"/>
      <c r="AU163" s="192"/>
      <c r="AV163" s="192"/>
      <c r="AW163" s="255" t="str">
        <f>IF(COUNTBLANK(AS163:AV163)=4,"",SUM(AS163:AU163)+IF(Setup!$I$15="No",0,AV163))</f>
        <v/>
      </c>
      <c r="AX163" s="192"/>
      <c r="AY163" s="192"/>
      <c r="AZ163" s="192"/>
      <c r="BA163" s="192"/>
      <c r="BB163" s="255" t="str">
        <f>IF(COUNTBLANK(AX163:BA163)=4,"",SUM(AX163:AZ163)+IF(Setup!$I$15="No",0,BA163))</f>
        <v/>
      </c>
      <c r="BC163" s="259" t="str">
        <f ca="1">IF('Demand background (hide)'!A154=Num_Modalities,"",SUM(Demand!I163))</f>
        <v/>
      </c>
      <c r="BD163" s="259" t="str">
        <f ca="1">IF(AND(A163&lt;=MaxRows,BE163&lt;&gt;"Yes"),'Demand background (hide)'!X154+IF(Setup!$I$15="Yes",'Demand background (hide)'!AJ154,0),"")</f>
        <v/>
      </c>
      <c r="BE163" s="209"/>
    </row>
    <row r="164" spans="1:57" x14ac:dyDescent="0.25">
      <c r="A164" t="str">
        <f t="shared" ca="1" si="8"/>
        <v/>
      </c>
      <c r="B164" s="264" t="str">
        <f t="shared" ca="1" si="9"/>
        <v xml:space="preserve"> </v>
      </c>
      <c r="C164" s="265" t="str">
        <f t="shared" ca="1" si="10"/>
        <v/>
      </c>
      <c r="D164" s="352" t="str">
        <f t="shared" ca="1" si="11"/>
        <v/>
      </c>
      <c r="E164" s="192"/>
      <c r="F164" s="192"/>
      <c r="G164" s="192"/>
      <c r="H164" s="192"/>
      <c r="I164" s="251" t="str">
        <f>IF(COUNTBLANK(E164:H164)=4,"",SUM(E164:G164)+IF(Setup!$I$15="No",0,H164))</f>
        <v/>
      </c>
      <c r="J164" s="192"/>
      <c r="K164" s="192"/>
      <c r="L164" s="192"/>
      <c r="M164" s="192"/>
      <c r="N164" s="255" t="str">
        <f>IF(COUNTBLANK(J164:M164)=4,"",SUM(J164:L164)+IF(Setup!$I$15="No",0,M164))</f>
        <v/>
      </c>
      <c r="O164" s="192"/>
      <c r="P164" s="192"/>
      <c r="Q164" s="192"/>
      <c r="R164" s="192"/>
      <c r="S164" s="255" t="str">
        <f>IF(COUNTBLANK(O164:R164)=4,"",SUM(O164:Q164)+IF(Setup!$I$15="No",0,R164))</f>
        <v/>
      </c>
      <c r="T164" s="192"/>
      <c r="U164" s="192"/>
      <c r="V164" s="192"/>
      <c r="W164" s="192"/>
      <c r="X164" s="255" t="str">
        <f>IF(COUNTBLANK(T164:W164)=4,"",SUM(T164:V164)+IF(Setup!$I$15="No",0,W164))</f>
        <v/>
      </c>
      <c r="Y164" s="192"/>
      <c r="Z164" s="192"/>
      <c r="AA164" s="192"/>
      <c r="AB164" s="192"/>
      <c r="AC164" s="255" t="str">
        <f>IF(COUNTBLANK(Y164:AB164)=4,"",SUM(Y164:AA164)+IF(Setup!$I$15="No",0,AB164))</f>
        <v/>
      </c>
      <c r="AD164" s="192"/>
      <c r="AE164" s="192"/>
      <c r="AF164" s="192"/>
      <c r="AG164" s="192"/>
      <c r="AH164" s="255" t="str">
        <f>IF(COUNTBLANK(AD164:AG164)=4,"",SUM(AD164:AF164)+IF(Setup!$I$15="No",0,AG164))</f>
        <v/>
      </c>
      <c r="AI164" s="192"/>
      <c r="AJ164" s="192"/>
      <c r="AK164" s="192"/>
      <c r="AL164" s="192"/>
      <c r="AM164" s="255" t="str">
        <f>IF(COUNTBLANK(AI164:AL164)=4,"",SUM(AI164:AK164)+IF(Setup!$I$15="No",0,AL164))</f>
        <v/>
      </c>
      <c r="AN164" s="192"/>
      <c r="AO164" s="192"/>
      <c r="AP164" s="192"/>
      <c r="AQ164" s="192"/>
      <c r="AR164" s="255" t="str">
        <f>IF(COUNTBLANK(AN164:AQ164)=4,"",SUM(AN164:AP164)+IF(Setup!$I$15="No",0,AQ164))</f>
        <v/>
      </c>
      <c r="AS164" s="192"/>
      <c r="AT164" s="192"/>
      <c r="AU164" s="192"/>
      <c r="AV164" s="192"/>
      <c r="AW164" s="255" t="str">
        <f>IF(COUNTBLANK(AS164:AV164)=4,"",SUM(AS164:AU164)+IF(Setup!$I$15="No",0,AV164))</f>
        <v/>
      </c>
      <c r="AX164" s="192"/>
      <c r="AY164" s="192"/>
      <c r="AZ164" s="192"/>
      <c r="BA164" s="192"/>
      <c r="BB164" s="255" t="str">
        <f>IF(COUNTBLANK(AX164:BA164)=4,"",SUM(AX164:AZ164)+IF(Setup!$I$15="No",0,BA164))</f>
        <v/>
      </c>
      <c r="BC164" s="259" t="str">
        <f ca="1">IF('Demand background (hide)'!A155=Num_Modalities,"",SUM(Demand!I164))</f>
        <v/>
      </c>
      <c r="BD164" s="259" t="str">
        <f ca="1">IF(AND(A164&lt;=MaxRows,BE164&lt;&gt;"Yes"),'Demand background (hide)'!X155+IF(Setup!$I$15="Yes",'Demand background (hide)'!AJ155,0),"")</f>
        <v/>
      </c>
      <c r="BE164" s="209"/>
    </row>
    <row r="165" spans="1:57" x14ac:dyDescent="0.25">
      <c r="A165" t="str">
        <f t="shared" ca="1" si="8"/>
        <v/>
      </c>
      <c r="B165" s="264" t="str">
        <f t="shared" ca="1" si="9"/>
        <v xml:space="preserve"> </v>
      </c>
      <c r="C165" s="265" t="str">
        <f t="shared" ca="1" si="10"/>
        <v/>
      </c>
      <c r="D165" s="352" t="str">
        <f t="shared" ca="1" si="11"/>
        <v/>
      </c>
      <c r="E165" s="192"/>
      <c r="F165" s="192"/>
      <c r="G165" s="192"/>
      <c r="H165" s="192"/>
      <c r="I165" s="251" t="str">
        <f>IF(COUNTBLANK(E165:H165)=4,"",SUM(E165:G165)+IF(Setup!$I$15="No",0,H165))</f>
        <v/>
      </c>
      <c r="J165" s="192"/>
      <c r="K165" s="192"/>
      <c r="L165" s="192"/>
      <c r="M165" s="192"/>
      <c r="N165" s="255" t="str">
        <f>IF(COUNTBLANK(J165:M165)=4,"",SUM(J165:L165)+IF(Setup!$I$15="No",0,M165))</f>
        <v/>
      </c>
      <c r="O165" s="192"/>
      <c r="P165" s="192"/>
      <c r="Q165" s="192"/>
      <c r="R165" s="192"/>
      <c r="S165" s="255" t="str">
        <f>IF(COUNTBLANK(O165:R165)=4,"",SUM(O165:Q165)+IF(Setup!$I$15="No",0,R165))</f>
        <v/>
      </c>
      <c r="T165" s="192"/>
      <c r="U165" s="192"/>
      <c r="V165" s="192"/>
      <c r="W165" s="192"/>
      <c r="X165" s="255" t="str">
        <f>IF(COUNTBLANK(T165:W165)=4,"",SUM(T165:V165)+IF(Setup!$I$15="No",0,W165))</f>
        <v/>
      </c>
      <c r="Y165" s="192"/>
      <c r="Z165" s="192"/>
      <c r="AA165" s="192"/>
      <c r="AB165" s="192"/>
      <c r="AC165" s="255" t="str">
        <f>IF(COUNTBLANK(Y165:AB165)=4,"",SUM(Y165:AA165)+IF(Setup!$I$15="No",0,AB165))</f>
        <v/>
      </c>
      <c r="AD165" s="192"/>
      <c r="AE165" s="192"/>
      <c r="AF165" s="192"/>
      <c r="AG165" s="192"/>
      <c r="AH165" s="255" t="str">
        <f>IF(COUNTBLANK(AD165:AG165)=4,"",SUM(AD165:AF165)+IF(Setup!$I$15="No",0,AG165))</f>
        <v/>
      </c>
      <c r="AI165" s="192"/>
      <c r="AJ165" s="192"/>
      <c r="AK165" s="192"/>
      <c r="AL165" s="192"/>
      <c r="AM165" s="255" t="str">
        <f>IF(COUNTBLANK(AI165:AL165)=4,"",SUM(AI165:AK165)+IF(Setup!$I$15="No",0,AL165))</f>
        <v/>
      </c>
      <c r="AN165" s="192"/>
      <c r="AO165" s="192"/>
      <c r="AP165" s="192"/>
      <c r="AQ165" s="192"/>
      <c r="AR165" s="255" t="str">
        <f>IF(COUNTBLANK(AN165:AQ165)=4,"",SUM(AN165:AP165)+IF(Setup!$I$15="No",0,AQ165))</f>
        <v/>
      </c>
      <c r="AS165" s="192"/>
      <c r="AT165" s="192"/>
      <c r="AU165" s="192"/>
      <c r="AV165" s="192"/>
      <c r="AW165" s="255" t="str">
        <f>IF(COUNTBLANK(AS165:AV165)=4,"",SUM(AS165:AU165)+IF(Setup!$I$15="No",0,AV165))</f>
        <v/>
      </c>
      <c r="AX165" s="192"/>
      <c r="AY165" s="192"/>
      <c r="AZ165" s="192"/>
      <c r="BA165" s="192"/>
      <c r="BB165" s="255" t="str">
        <f>IF(COUNTBLANK(AX165:BA165)=4,"",SUM(AX165:AZ165)+IF(Setup!$I$15="No",0,BA165))</f>
        <v/>
      </c>
      <c r="BC165" s="259" t="str">
        <f ca="1">IF('Demand background (hide)'!A156=Num_Modalities,"",SUM(Demand!I165))</f>
        <v/>
      </c>
      <c r="BD165" s="259" t="str">
        <f ca="1">IF(AND(A165&lt;=MaxRows,BE165&lt;&gt;"Yes"),'Demand background (hide)'!X156+IF(Setup!$I$15="Yes",'Demand background (hide)'!AJ156,0),"")</f>
        <v/>
      </c>
      <c r="BE165" s="209"/>
    </row>
    <row r="166" spans="1:57" x14ac:dyDescent="0.25">
      <c r="A166" t="str">
        <f t="shared" ca="1" si="8"/>
        <v/>
      </c>
      <c r="B166" s="264" t="str">
        <f t="shared" ca="1" si="9"/>
        <v xml:space="preserve"> </v>
      </c>
      <c r="C166" s="265" t="str">
        <f t="shared" ca="1" si="10"/>
        <v/>
      </c>
      <c r="D166" s="352" t="str">
        <f t="shared" ca="1" si="11"/>
        <v/>
      </c>
      <c r="E166" s="192"/>
      <c r="F166" s="192"/>
      <c r="G166" s="192"/>
      <c r="H166" s="192"/>
      <c r="I166" s="251" t="str">
        <f>IF(COUNTBLANK(E166:H166)=4,"",SUM(E166:G166)+IF(Setup!$I$15="No",0,H166))</f>
        <v/>
      </c>
      <c r="J166" s="192"/>
      <c r="K166" s="192"/>
      <c r="L166" s="192"/>
      <c r="M166" s="192"/>
      <c r="N166" s="255" t="str">
        <f>IF(COUNTBLANK(J166:M166)=4,"",SUM(J166:L166)+IF(Setup!$I$15="No",0,M166))</f>
        <v/>
      </c>
      <c r="O166" s="192"/>
      <c r="P166" s="192"/>
      <c r="Q166" s="192"/>
      <c r="R166" s="192"/>
      <c r="S166" s="255" t="str">
        <f>IF(COUNTBLANK(O166:R166)=4,"",SUM(O166:Q166)+IF(Setup!$I$15="No",0,R166))</f>
        <v/>
      </c>
      <c r="T166" s="192"/>
      <c r="U166" s="192"/>
      <c r="V166" s="192"/>
      <c r="W166" s="192"/>
      <c r="X166" s="255" t="str">
        <f>IF(COUNTBLANK(T166:W166)=4,"",SUM(T166:V166)+IF(Setup!$I$15="No",0,W166))</f>
        <v/>
      </c>
      <c r="Y166" s="192"/>
      <c r="Z166" s="192"/>
      <c r="AA166" s="192"/>
      <c r="AB166" s="192"/>
      <c r="AC166" s="255" t="str">
        <f>IF(COUNTBLANK(Y166:AB166)=4,"",SUM(Y166:AA166)+IF(Setup!$I$15="No",0,AB166))</f>
        <v/>
      </c>
      <c r="AD166" s="192"/>
      <c r="AE166" s="192"/>
      <c r="AF166" s="192"/>
      <c r="AG166" s="192"/>
      <c r="AH166" s="255" t="str">
        <f>IF(COUNTBLANK(AD166:AG166)=4,"",SUM(AD166:AF166)+IF(Setup!$I$15="No",0,AG166))</f>
        <v/>
      </c>
      <c r="AI166" s="192"/>
      <c r="AJ166" s="192"/>
      <c r="AK166" s="192"/>
      <c r="AL166" s="192"/>
      <c r="AM166" s="255" t="str">
        <f>IF(COUNTBLANK(AI166:AL166)=4,"",SUM(AI166:AK166)+IF(Setup!$I$15="No",0,AL166))</f>
        <v/>
      </c>
      <c r="AN166" s="192"/>
      <c r="AO166" s="192"/>
      <c r="AP166" s="192"/>
      <c r="AQ166" s="192"/>
      <c r="AR166" s="255" t="str">
        <f>IF(COUNTBLANK(AN166:AQ166)=4,"",SUM(AN166:AP166)+IF(Setup!$I$15="No",0,AQ166))</f>
        <v/>
      </c>
      <c r="AS166" s="192"/>
      <c r="AT166" s="192"/>
      <c r="AU166" s="192"/>
      <c r="AV166" s="192"/>
      <c r="AW166" s="255" t="str">
        <f>IF(COUNTBLANK(AS166:AV166)=4,"",SUM(AS166:AU166)+IF(Setup!$I$15="No",0,AV166))</f>
        <v/>
      </c>
      <c r="AX166" s="192"/>
      <c r="AY166" s="192"/>
      <c r="AZ166" s="192"/>
      <c r="BA166" s="192"/>
      <c r="BB166" s="255" t="str">
        <f>IF(COUNTBLANK(AX166:BA166)=4,"",SUM(AX166:AZ166)+IF(Setup!$I$15="No",0,BA166))</f>
        <v/>
      </c>
      <c r="BC166" s="259" t="str">
        <f ca="1">IF('Demand background (hide)'!A157=Num_Modalities,"",SUM(Demand!I166))</f>
        <v/>
      </c>
      <c r="BD166" s="259" t="str">
        <f ca="1">IF(AND(A166&lt;=MaxRows,BE166&lt;&gt;"Yes"),'Demand background (hide)'!X157+IF(Setup!$I$15="Yes",'Demand background (hide)'!AJ157,0),"")</f>
        <v/>
      </c>
      <c r="BE166" s="209"/>
    </row>
    <row r="167" spans="1:57" x14ac:dyDescent="0.25">
      <c r="A167" t="str">
        <f t="shared" ca="1" si="8"/>
        <v/>
      </c>
      <c r="B167" s="264" t="str">
        <f t="shared" ca="1" si="9"/>
        <v xml:space="preserve"> </v>
      </c>
      <c r="C167" s="265" t="str">
        <f t="shared" ca="1" si="10"/>
        <v/>
      </c>
      <c r="D167" s="352" t="str">
        <f t="shared" ca="1" si="11"/>
        <v/>
      </c>
      <c r="E167" s="192"/>
      <c r="F167" s="192"/>
      <c r="G167" s="192"/>
      <c r="H167" s="192"/>
      <c r="I167" s="251" t="str">
        <f>IF(COUNTBLANK(E167:H167)=4,"",SUM(E167:G167)+IF(Setup!$I$15="No",0,H167))</f>
        <v/>
      </c>
      <c r="J167" s="192"/>
      <c r="K167" s="192"/>
      <c r="L167" s="192"/>
      <c r="M167" s="192"/>
      <c r="N167" s="255" t="str">
        <f>IF(COUNTBLANK(J167:M167)=4,"",SUM(J167:L167)+IF(Setup!$I$15="No",0,M167))</f>
        <v/>
      </c>
      <c r="O167" s="192"/>
      <c r="P167" s="192"/>
      <c r="Q167" s="192"/>
      <c r="R167" s="192"/>
      <c r="S167" s="255" t="str">
        <f>IF(COUNTBLANK(O167:R167)=4,"",SUM(O167:Q167)+IF(Setup!$I$15="No",0,R167))</f>
        <v/>
      </c>
      <c r="T167" s="192"/>
      <c r="U167" s="192"/>
      <c r="V167" s="192"/>
      <c r="W167" s="192"/>
      <c r="X167" s="255" t="str">
        <f>IF(COUNTBLANK(T167:W167)=4,"",SUM(T167:V167)+IF(Setup!$I$15="No",0,W167))</f>
        <v/>
      </c>
      <c r="Y167" s="192"/>
      <c r="Z167" s="192"/>
      <c r="AA167" s="192"/>
      <c r="AB167" s="192"/>
      <c r="AC167" s="255" t="str">
        <f>IF(COUNTBLANK(Y167:AB167)=4,"",SUM(Y167:AA167)+IF(Setup!$I$15="No",0,AB167))</f>
        <v/>
      </c>
      <c r="AD167" s="192"/>
      <c r="AE167" s="192"/>
      <c r="AF167" s="192"/>
      <c r="AG167" s="192"/>
      <c r="AH167" s="255" t="str">
        <f>IF(COUNTBLANK(AD167:AG167)=4,"",SUM(AD167:AF167)+IF(Setup!$I$15="No",0,AG167))</f>
        <v/>
      </c>
      <c r="AI167" s="192"/>
      <c r="AJ167" s="192"/>
      <c r="AK167" s="192"/>
      <c r="AL167" s="192"/>
      <c r="AM167" s="255" t="str">
        <f>IF(COUNTBLANK(AI167:AL167)=4,"",SUM(AI167:AK167)+IF(Setup!$I$15="No",0,AL167))</f>
        <v/>
      </c>
      <c r="AN167" s="192"/>
      <c r="AO167" s="192"/>
      <c r="AP167" s="192"/>
      <c r="AQ167" s="192"/>
      <c r="AR167" s="255" t="str">
        <f>IF(COUNTBLANK(AN167:AQ167)=4,"",SUM(AN167:AP167)+IF(Setup!$I$15="No",0,AQ167))</f>
        <v/>
      </c>
      <c r="AS167" s="192"/>
      <c r="AT167" s="192"/>
      <c r="AU167" s="192"/>
      <c r="AV167" s="192"/>
      <c r="AW167" s="255" t="str">
        <f>IF(COUNTBLANK(AS167:AV167)=4,"",SUM(AS167:AU167)+IF(Setup!$I$15="No",0,AV167))</f>
        <v/>
      </c>
      <c r="AX167" s="192"/>
      <c r="AY167" s="192"/>
      <c r="AZ167" s="192"/>
      <c r="BA167" s="192"/>
      <c r="BB167" s="255" t="str">
        <f>IF(COUNTBLANK(AX167:BA167)=4,"",SUM(AX167:AZ167)+IF(Setup!$I$15="No",0,BA167))</f>
        <v/>
      </c>
      <c r="BC167" s="259" t="str">
        <f ca="1">IF('Demand background (hide)'!A158=Num_Modalities,"",SUM(Demand!I167))</f>
        <v/>
      </c>
      <c r="BD167" s="259" t="str">
        <f ca="1">IF(AND(A167&lt;=MaxRows,BE167&lt;&gt;"Yes"),'Demand background (hide)'!X158+IF(Setup!$I$15="Yes",'Demand background (hide)'!AJ158,0),"")</f>
        <v/>
      </c>
      <c r="BE167" s="209"/>
    </row>
    <row r="168" spans="1:57" x14ac:dyDescent="0.25">
      <c r="A168" t="str">
        <f t="shared" ca="1" si="8"/>
        <v/>
      </c>
      <c r="B168" s="264" t="str">
        <f t="shared" ca="1" si="9"/>
        <v xml:space="preserve"> </v>
      </c>
      <c r="C168" s="265" t="str">
        <f t="shared" ca="1" si="10"/>
        <v/>
      </c>
      <c r="D168" s="352" t="str">
        <f t="shared" ca="1" si="11"/>
        <v/>
      </c>
      <c r="E168" s="192"/>
      <c r="F168" s="192"/>
      <c r="G168" s="192"/>
      <c r="H168" s="192"/>
      <c r="I168" s="251" t="str">
        <f>IF(COUNTBLANK(E168:H168)=4,"",SUM(E168:G168)+IF(Setup!$I$15="No",0,H168))</f>
        <v/>
      </c>
      <c r="J168" s="192"/>
      <c r="K168" s="192"/>
      <c r="L168" s="192"/>
      <c r="M168" s="192"/>
      <c r="N168" s="255" t="str">
        <f>IF(COUNTBLANK(J168:M168)=4,"",SUM(J168:L168)+IF(Setup!$I$15="No",0,M168))</f>
        <v/>
      </c>
      <c r="O168" s="192"/>
      <c r="P168" s="192"/>
      <c r="Q168" s="192"/>
      <c r="R168" s="192"/>
      <c r="S168" s="255" t="str">
        <f>IF(COUNTBLANK(O168:R168)=4,"",SUM(O168:Q168)+IF(Setup!$I$15="No",0,R168))</f>
        <v/>
      </c>
      <c r="T168" s="192"/>
      <c r="U168" s="192"/>
      <c r="V168" s="192"/>
      <c r="W168" s="192"/>
      <c r="X168" s="255" t="str">
        <f>IF(COUNTBLANK(T168:W168)=4,"",SUM(T168:V168)+IF(Setup!$I$15="No",0,W168))</f>
        <v/>
      </c>
      <c r="Y168" s="192"/>
      <c r="Z168" s="192"/>
      <c r="AA168" s="192"/>
      <c r="AB168" s="192"/>
      <c r="AC168" s="255" t="str">
        <f>IF(COUNTBLANK(Y168:AB168)=4,"",SUM(Y168:AA168)+IF(Setup!$I$15="No",0,AB168))</f>
        <v/>
      </c>
      <c r="AD168" s="192"/>
      <c r="AE168" s="192"/>
      <c r="AF168" s="192"/>
      <c r="AG168" s="192"/>
      <c r="AH168" s="255" t="str">
        <f>IF(COUNTBLANK(AD168:AG168)=4,"",SUM(AD168:AF168)+IF(Setup!$I$15="No",0,AG168))</f>
        <v/>
      </c>
      <c r="AI168" s="192"/>
      <c r="AJ168" s="192"/>
      <c r="AK168" s="192"/>
      <c r="AL168" s="192"/>
      <c r="AM168" s="255" t="str">
        <f>IF(COUNTBLANK(AI168:AL168)=4,"",SUM(AI168:AK168)+IF(Setup!$I$15="No",0,AL168))</f>
        <v/>
      </c>
      <c r="AN168" s="192"/>
      <c r="AO168" s="192"/>
      <c r="AP168" s="192"/>
      <c r="AQ168" s="192"/>
      <c r="AR168" s="255" t="str">
        <f>IF(COUNTBLANK(AN168:AQ168)=4,"",SUM(AN168:AP168)+IF(Setup!$I$15="No",0,AQ168))</f>
        <v/>
      </c>
      <c r="AS168" s="192"/>
      <c r="AT168" s="192"/>
      <c r="AU168" s="192"/>
      <c r="AV168" s="192"/>
      <c r="AW168" s="255" t="str">
        <f>IF(COUNTBLANK(AS168:AV168)=4,"",SUM(AS168:AU168)+IF(Setup!$I$15="No",0,AV168))</f>
        <v/>
      </c>
      <c r="AX168" s="192"/>
      <c r="AY168" s="192"/>
      <c r="AZ168" s="192"/>
      <c r="BA168" s="192"/>
      <c r="BB168" s="255" t="str">
        <f>IF(COUNTBLANK(AX168:BA168)=4,"",SUM(AX168:AZ168)+IF(Setup!$I$15="No",0,BA168))</f>
        <v/>
      </c>
      <c r="BC168" s="259" t="str">
        <f ca="1">IF('Demand background (hide)'!A159=Num_Modalities,"",SUM(Demand!I168))</f>
        <v/>
      </c>
      <c r="BD168" s="259" t="str">
        <f ca="1">IF(AND(A168&lt;=MaxRows,BE168&lt;&gt;"Yes"),'Demand background (hide)'!X159+IF(Setup!$I$15="Yes",'Demand background (hide)'!AJ159,0),"")</f>
        <v/>
      </c>
      <c r="BE168" s="209"/>
    </row>
    <row r="169" spans="1:57" x14ac:dyDescent="0.25">
      <c r="A169" t="str">
        <f t="shared" ca="1" si="8"/>
        <v/>
      </c>
      <c r="B169" s="264" t="str">
        <f t="shared" ca="1" si="9"/>
        <v xml:space="preserve"> </v>
      </c>
      <c r="C169" s="265" t="str">
        <f t="shared" ca="1" si="10"/>
        <v/>
      </c>
      <c r="D169" s="352" t="str">
        <f t="shared" ca="1" si="11"/>
        <v/>
      </c>
      <c r="E169" s="192"/>
      <c r="F169" s="192"/>
      <c r="G169" s="192"/>
      <c r="H169" s="192"/>
      <c r="I169" s="251" t="str">
        <f>IF(COUNTBLANK(E169:H169)=4,"",SUM(E169:G169)+IF(Setup!$I$15="No",0,H169))</f>
        <v/>
      </c>
      <c r="J169" s="192"/>
      <c r="K169" s="192"/>
      <c r="L169" s="192"/>
      <c r="M169" s="192"/>
      <c r="N169" s="255" t="str">
        <f>IF(COUNTBLANK(J169:M169)=4,"",SUM(J169:L169)+IF(Setup!$I$15="No",0,M169))</f>
        <v/>
      </c>
      <c r="O169" s="192"/>
      <c r="P169" s="192"/>
      <c r="Q169" s="192"/>
      <c r="R169" s="192"/>
      <c r="S169" s="255" t="str">
        <f>IF(COUNTBLANK(O169:R169)=4,"",SUM(O169:Q169)+IF(Setup!$I$15="No",0,R169))</f>
        <v/>
      </c>
      <c r="T169" s="192"/>
      <c r="U169" s="192"/>
      <c r="V169" s="192"/>
      <c r="W169" s="192"/>
      <c r="X169" s="255" t="str">
        <f>IF(COUNTBLANK(T169:W169)=4,"",SUM(T169:V169)+IF(Setup!$I$15="No",0,W169))</f>
        <v/>
      </c>
      <c r="Y169" s="192"/>
      <c r="Z169" s="192"/>
      <c r="AA169" s="192"/>
      <c r="AB169" s="192"/>
      <c r="AC169" s="255" t="str">
        <f>IF(COUNTBLANK(Y169:AB169)=4,"",SUM(Y169:AA169)+IF(Setup!$I$15="No",0,AB169))</f>
        <v/>
      </c>
      <c r="AD169" s="192"/>
      <c r="AE169" s="192"/>
      <c r="AF169" s="192"/>
      <c r="AG169" s="192"/>
      <c r="AH169" s="255" t="str">
        <f>IF(COUNTBLANK(AD169:AG169)=4,"",SUM(AD169:AF169)+IF(Setup!$I$15="No",0,AG169))</f>
        <v/>
      </c>
      <c r="AI169" s="192"/>
      <c r="AJ169" s="192"/>
      <c r="AK169" s="192"/>
      <c r="AL169" s="192"/>
      <c r="AM169" s="255" t="str">
        <f>IF(COUNTBLANK(AI169:AL169)=4,"",SUM(AI169:AK169)+IF(Setup!$I$15="No",0,AL169))</f>
        <v/>
      </c>
      <c r="AN169" s="192"/>
      <c r="AO169" s="192"/>
      <c r="AP169" s="192"/>
      <c r="AQ169" s="192"/>
      <c r="AR169" s="255" t="str">
        <f>IF(COUNTBLANK(AN169:AQ169)=4,"",SUM(AN169:AP169)+IF(Setup!$I$15="No",0,AQ169))</f>
        <v/>
      </c>
      <c r="AS169" s="192"/>
      <c r="AT169" s="192"/>
      <c r="AU169" s="192"/>
      <c r="AV169" s="192"/>
      <c r="AW169" s="255" t="str">
        <f>IF(COUNTBLANK(AS169:AV169)=4,"",SUM(AS169:AU169)+IF(Setup!$I$15="No",0,AV169))</f>
        <v/>
      </c>
      <c r="AX169" s="192"/>
      <c r="AY169" s="192"/>
      <c r="AZ169" s="192"/>
      <c r="BA169" s="192"/>
      <c r="BB169" s="255" t="str">
        <f>IF(COUNTBLANK(AX169:BA169)=4,"",SUM(AX169:AZ169)+IF(Setup!$I$15="No",0,BA169))</f>
        <v/>
      </c>
      <c r="BC169" s="259" t="str">
        <f ca="1">IF('Demand background (hide)'!A160=Num_Modalities,"",SUM(Demand!I169))</f>
        <v/>
      </c>
      <c r="BD169" s="259" t="str">
        <f ca="1">IF(AND(A169&lt;=MaxRows,BE169&lt;&gt;"Yes"),'Demand background (hide)'!X160+IF(Setup!$I$15="Yes",'Demand background (hide)'!AJ160,0),"")</f>
        <v/>
      </c>
      <c r="BE169" s="209"/>
    </row>
    <row r="170" spans="1:57" x14ac:dyDescent="0.25">
      <c r="A170" t="str">
        <f t="shared" ca="1" si="8"/>
        <v/>
      </c>
      <c r="B170" s="264" t="str">
        <f t="shared" ca="1" si="9"/>
        <v xml:space="preserve"> </v>
      </c>
      <c r="C170" s="265" t="str">
        <f t="shared" ca="1" si="10"/>
        <v/>
      </c>
      <c r="D170" s="352" t="str">
        <f t="shared" ca="1" si="11"/>
        <v/>
      </c>
      <c r="E170" s="192"/>
      <c r="F170" s="192"/>
      <c r="G170" s="192"/>
      <c r="H170" s="192"/>
      <c r="I170" s="251" t="str">
        <f>IF(COUNTBLANK(E170:H170)=4,"",SUM(E170:G170)+IF(Setup!$I$15="No",0,H170))</f>
        <v/>
      </c>
      <c r="J170" s="192"/>
      <c r="K170" s="192"/>
      <c r="L170" s="192"/>
      <c r="M170" s="192"/>
      <c r="N170" s="255" t="str">
        <f>IF(COUNTBLANK(J170:M170)=4,"",SUM(J170:L170)+IF(Setup!$I$15="No",0,M170))</f>
        <v/>
      </c>
      <c r="O170" s="192"/>
      <c r="P170" s="192"/>
      <c r="Q170" s="192"/>
      <c r="R170" s="192"/>
      <c r="S170" s="255" t="str">
        <f>IF(COUNTBLANK(O170:R170)=4,"",SUM(O170:Q170)+IF(Setup!$I$15="No",0,R170))</f>
        <v/>
      </c>
      <c r="T170" s="192"/>
      <c r="U170" s="192"/>
      <c r="V170" s="192"/>
      <c r="W170" s="192"/>
      <c r="X170" s="255" t="str">
        <f>IF(COUNTBLANK(T170:W170)=4,"",SUM(T170:V170)+IF(Setup!$I$15="No",0,W170))</f>
        <v/>
      </c>
      <c r="Y170" s="192"/>
      <c r="Z170" s="192"/>
      <c r="AA170" s="192"/>
      <c r="AB170" s="192"/>
      <c r="AC170" s="255" t="str">
        <f>IF(COUNTBLANK(Y170:AB170)=4,"",SUM(Y170:AA170)+IF(Setup!$I$15="No",0,AB170))</f>
        <v/>
      </c>
      <c r="AD170" s="192"/>
      <c r="AE170" s="192"/>
      <c r="AF170" s="192"/>
      <c r="AG170" s="192"/>
      <c r="AH170" s="255" t="str">
        <f>IF(COUNTBLANK(AD170:AG170)=4,"",SUM(AD170:AF170)+IF(Setup!$I$15="No",0,AG170))</f>
        <v/>
      </c>
      <c r="AI170" s="192"/>
      <c r="AJ170" s="192"/>
      <c r="AK170" s="192"/>
      <c r="AL170" s="192"/>
      <c r="AM170" s="255" t="str">
        <f>IF(COUNTBLANK(AI170:AL170)=4,"",SUM(AI170:AK170)+IF(Setup!$I$15="No",0,AL170))</f>
        <v/>
      </c>
      <c r="AN170" s="192"/>
      <c r="AO170" s="192"/>
      <c r="AP170" s="192"/>
      <c r="AQ170" s="192"/>
      <c r="AR170" s="255" t="str">
        <f>IF(COUNTBLANK(AN170:AQ170)=4,"",SUM(AN170:AP170)+IF(Setup!$I$15="No",0,AQ170))</f>
        <v/>
      </c>
      <c r="AS170" s="192"/>
      <c r="AT170" s="192"/>
      <c r="AU170" s="192"/>
      <c r="AV170" s="192"/>
      <c r="AW170" s="255" t="str">
        <f>IF(COUNTBLANK(AS170:AV170)=4,"",SUM(AS170:AU170)+IF(Setup!$I$15="No",0,AV170))</f>
        <v/>
      </c>
      <c r="AX170" s="192"/>
      <c r="AY170" s="192"/>
      <c r="AZ170" s="192"/>
      <c r="BA170" s="192"/>
      <c r="BB170" s="255" t="str">
        <f>IF(COUNTBLANK(AX170:BA170)=4,"",SUM(AX170:AZ170)+IF(Setup!$I$15="No",0,BA170))</f>
        <v/>
      </c>
      <c r="BC170" s="259" t="str">
        <f ca="1">IF('Demand background (hide)'!A161=Num_Modalities,"",SUM(Demand!I170))</f>
        <v/>
      </c>
      <c r="BD170" s="259" t="str">
        <f ca="1">IF(AND(A170&lt;=MaxRows,BE170&lt;&gt;"Yes"),'Demand background (hide)'!X161+IF(Setup!$I$15="Yes",'Demand background (hide)'!AJ161,0),"")</f>
        <v/>
      </c>
      <c r="BE170" s="209"/>
    </row>
    <row r="171" spans="1:57" x14ac:dyDescent="0.25">
      <c r="A171" t="str">
        <f t="shared" ca="1" si="8"/>
        <v/>
      </c>
      <c r="B171" s="264" t="str">
        <f t="shared" ca="1" si="9"/>
        <v xml:space="preserve"> </v>
      </c>
      <c r="C171" s="265" t="str">
        <f t="shared" ca="1" si="10"/>
        <v/>
      </c>
      <c r="D171" s="352" t="str">
        <f t="shared" ca="1" si="11"/>
        <v/>
      </c>
      <c r="E171" s="192"/>
      <c r="F171" s="192"/>
      <c r="G171" s="192"/>
      <c r="H171" s="192"/>
      <c r="I171" s="251" t="str">
        <f>IF(COUNTBLANK(E171:H171)=4,"",SUM(E171:G171)+IF(Setup!$I$15="No",0,H171))</f>
        <v/>
      </c>
      <c r="J171" s="192"/>
      <c r="K171" s="192"/>
      <c r="L171" s="192"/>
      <c r="M171" s="192"/>
      <c r="N171" s="255" t="str">
        <f>IF(COUNTBLANK(J171:M171)=4,"",SUM(J171:L171)+IF(Setup!$I$15="No",0,M171))</f>
        <v/>
      </c>
      <c r="O171" s="192"/>
      <c r="P171" s="192"/>
      <c r="Q171" s="192"/>
      <c r="R171" s="192"/>
      <c r="S171" s="255" t="str">
        <f>IF(COUNTBLANK(O171:R171)=4,"",SUM(O171:Q171)+IF(Setup!$I$15="No",0,R171))</f>
        <v/>
      </c>
      <c r="T171" s="192"/>
      <c r="U171" s="192"/>
      <c r="V171" s="192"/>
      <c r="W171" s="192"/>
      <c r="X171" s="255" t="str">
        <f>IF(COUNTBLANK(T171:W171)=4,"",SUM(T171:V171)+IF(Setup!$I$15="No",0,W171))</f>
        <v/>
      </c>
      <c r="Y171" s="192"/>
      <c r="Z171" s="192"/>
      <c r="AA171" s="192"/>
      <c r="AB171" s="192"/>
      <c r="AC171" s="255" t="str">
        <f>IF(COUNTBLANK(Y171:AB171)=4,"",SUM(Y171:AA171)+IF(Setup!$I$15="No",0,AB171))</f>
        <v/>
      </c>
      <c r="AD171" s="192"/>
      <c r="AE171" s="192"/>
      <c r="AF171" s="192"/>
      <c r="AG171" s="192"/>
      <c r="AH171" s="255" t="str">
        <f>IF(COUNTBLANK(AD171:AG171)=4,"",SUM(AD171:AF171)+IF(Setup!$I$15="No",0,AG171))</f>
        <v/>
      </c>
      <c r="AI171" s="192"/>
      <c r="AJ171" s="192"/>
      <c r="AK171" s="192"/>
      <c r="AL171" s="192"/>
      <c r="AM171" s="255" t="str">
        <f>IF(COUNTBLANK(AI171:AL171)=4,"",SUM(AI171:AK171)+IF(Setup!$I$15="No",0,AL171))</f>
        <v/>
      </c>
      <c r="AN171" s="192"/>
      <c r="AO171" s="192"/>
      <c r="AP171" s="192"/>
      <c r="AQ171" s="192"/>
      <c r="AR171" s="255" t="str">
        <f>IF(COUNTBLANK(AN171:AQ171)=4,"",SUM(AN171:AP171)+IF(Setup!$I$15="No",0,AQ171))</f>
        <v/>
      </c>
      <c r="AS171" s="192"/>
      <c r="AT171" s="192"/>
      <c r="AU171" s="192"/>
      <c r="AV171" s="192"/>
      <c r="AW171" s="255" t="str">
        <f>IF(COUNTBLANK(AS171:AV171)=4,"",SUM(AS171:AU171)+IF(Setup!$I$15="No",0,AV171))</f>
        <v/>
      </c>
      <c r="AX171" s="192"/>
      <c r="AY171" s="192"/>
      <c r="AZ171" s="192"/>
      <c r="BA171" s="192"/>
      <c r="BB171" s="255" t="str">
        <f>IF(COUNTBLANK(AX171:BA171)=4,"",SUM(AX171:AZ171)+IF(Setup!$I$15="No",0,BA171))</f>
        <v/>
      </c>
      <c r="BC171" s="259" t="str">
        <f ca="1">IF('Demand background (hide)'!A162=Num_Modalities,"",SUM(Demand!I171))</f>
        <v/>
      </c>
      <c r="BD171" s="259" t="str">
        <f ca="1">IF(AND(A171&lt;=MaxRows,BE171&lt;&gt;"Yes"),'Demand background (hide)'!X162+IF(Setup!$I$15="Yes",'Demand background (hide)'!AJ162,0),"")</f>
        <v/>
      </c>
      <c r="BE171" s="209"/>
    </row>
    <row r="172" spans="1:57" x14ac:dyDescent="0.25">
      <c r="A172" t="str">
        <f t="shared" ca="1" si="8"/>
        <v/>
      </c>
      <c r="B172" s="264" t="str">
        <f t="shared" ca="1" si="9"/>
        <v xml:space="preserve"> </v>
      </c>
      <c r="C172" s="265" t="str">
        <f t="shared" ca="1" si="10"/>
        <v/>
      </c>
      <c r="D172" s="352" t="str">
        <f t="shared" ca="1" si="11"/>
        <v/>
      </c>
      <c r="E172" s="192"/>
      <c r="F172" s="192"/>
      <c r="G172" s="192"/>
      <c r="H172" s="192"/>
      <c r="I172" s="251" t="str">
        <f>IF(COUNTBLANK(E172:H172)=4,"",SUM(E172:G172)+IF(Setup!$I$15="No",0,H172))</f>
        <v/>
      </c>
      <c r="J172" s="192"/>
      <c r="K172" s="192"/>
      <c r="L172" s="192"/>
      <c r="M172" s="192"/>
      <c r="N172" s="255" t="str">
        <f>IF(COUNTBLANK(J172:M172)=4,"",SUM(J172:L172)+IF(Setup!$I$15="No",0,M172))</f>
        <v/>
      </c>
      <c r="O172" s="192"/>
      <c r="P172" s="192"/>
      <c r="Q172" s="192"/>
      <c r="R172" s="192"/>
      <c r="S172" s="255" t="str">
        <f>IF(COUNTBLANK(O172:R172)=4,"",SUM(O172:Q172)+IF(Setup!$I$15="No",0,R172))</f>
        <v/>
      </c>
      <c r="T172" s="192"/>
      <c r="U172" s="192"/>
      <c r="V172" s="192"/>
      <c r="W172" s="192"/>
      <c r="X172" s="255" t="str">
        <f>IF(COUNTBLANK(T172:W172)=4,"",SUM(T172:V172)+IF(Setup!$I$15="No",0,W172))</f>
        <v/>
      </c>
      <c r="Y172" s="192"/>
      <c r="Z172" s="192"/>
      <c r="AA172" s="192"/>
      <c r="AB172" s="192"/>
      <c r="AC172" s="255" t="str">
        <f>IF(COUNTBLANK(Y172:AB172)=4,"",SUM(Y172:AA172)+IF(Setup!$I$15="No",0,AB172))</f>
        <v/>
      </c>
      <c r="AD172" s="192"/>
      <c r="AE172" s="192"/>
      <c r="AF172" s="192"/>
      <c r="AG172" s="192"/>
      <c r="AH172" s="255" t="str">
        <f>IF(COUNTBLANK(AD172:AG172)=4,"",SUM(AD172:AF172)+IF(Setup!$I$15="No",0,AG172))</f>
        <v/>
      </c>
      <c r="AI172" s="192"/>
      <c r="AJ172" s="192"/>
      <c r="AK172" s="192"/>
      <c r="AL172" s="192"/>
      <c r="AM172" s="255" t="str">
        <f>IF(COUNTBLANK(AI172:AL172)=4,"",SUM(AI172:AK172)+IF(Setup!$I$15="No",0,AL172))</f>
        <v/>
      </c>
      <c r="AN172" s="192"/>
      <c r="AO172" s="192"/>
      <c r="AP172" s="192"/>
      <c r="AQ172" s="192"/>
      <c r="AR172" s="255" t="str">
        <f>IF(COUNTBLANK(AN172:AQ172)=4,"",SUM(AN172:AP172)+IF(Setup!$I$15="No",0,AQ172))</f>
        <v/>
      </c>
      <c r="AS172" s="192"/>
      <c r="AT172" s="192"/>
      <c r="AU172" s="192"/>
      <c r="AV172" s="192"/>
      <c r="AW172" s="255" t="str">
        <f>IF(COUNTBLANK(AS172:AV172)=4,"",SUM(AS172:AU172)+IF(Setup!$I$15="No",0,AV172))</f>
        <v/>
      </c>
      <c r="AX172" s="192"/>
      <c r="AY172" s="192"/>
      <c r="AZ172" s="192"/>
      <c r="BA172" s="192"/>
      <c r="BB172" s="255" t="str">
        <f>IF(COUNTBLANK(AX172:BA172)=4,"",SUM(AX172:AZ172)+IF(Setup!$I$15="No",0,BA172))</f>
        <v/>
      </c>
      <c r="BC172" s="259" t="str">
        <f ca="1">IF('Demand background (hide)'!A163=Num_Modalities,"",SUM(Demand!I172))</f>
        <v/>
      </c>
      <c r="BD172" s="259" t="str">
        <f ca="1">IF(AND(A172&lt;=MaxRows,BE172&lt;&gt;"Yes"),'Demand background (hide)'!X163+IF(Setup!$I$15="Yes",'Demand background (hide)'!AJ163,0),"")</f>
        <v/>
      </c>
      <c r="BE172" s="209"/>
    </row>
    <row r="173" spans="1:57" x14ac:dyDescent="0.25">
      <c r="A173" t="str">
        <f t="shared" ca="1" si="8"/>
        <v/>
      </c>
      <c r="B173" s="264" t="str">
        <f t="shared" ca="1" si="9"/>
        <v xml:space="preserve"> </v>
      </c>
      <c r="C173" s="265" t="str">
        <f t="shared" ca="1" si="10"/>
        <v/>
      </c>
      <c r="D173" s="352" t="str">
        <f t="shared" ca="1" si="11"/>
        <v/>
      </c>
      <c r="E173" s="192"/>
      <c r="F173" s="192"/>
      <c r="G173" s="192"/>
      <c r="H173" s="192"/>
      <c r="I173" s="251" t="str">
        <f>IF(COUNTBLANK(E173:H173)=4,"",SUM(E173:G173)+IF(Setup!$I$15="No",0,H173))</f>
        <v/>
      </c>
      <c r="J173" s="192"/>
      <c r="K173" s="192"/>
      <c r="L173" s="192"/>
      <c r="M173" s="192"/>
      <c r="N173" s="255" t="str">
        <f>IF(COUNTBLANK(J173:M173)=4,"",SUM(J173:L173)+IF(Setup!$I$15="No",0,M173))</f>
        <v/>
      </c>
      <c r="O173" s="192"/>
      <c r="P173" s="192"/>
      <c r="Q173" s="192"/>
      <c r="R173" s="192"/>
      <c r="S173" s="255" t="str">
        <f>IF(COUNTBLANK(O173:R173)=4,"",SUM(O173:Q173)+IF(Setup!$I$15="No",0,R173))</f>
        <v/>
      </c>
      <c r="T173" s="192"/>
      <c r="U173" s="192"/>
      <c r="V173" s="192"/>
      <c r="W173" s="192"/>
      <c r="X173" s="255" t="str">
        <f>IF(COUNTBLANK(T173:W173)=4,"",SUM(T173:V173)+IF(Setup!$I$15="No",0,W173))</f>
        <v/>
      </c>
      <c r="Y173" s="192"/>
      <c r="Z173" s="192"/>
      <c r="AA173" s="192"/>
      <c r="AB173" s="192"/>
      <c r="AC173" s="255" t="str">
        <f>IF(COUNTBLANK(Y173:AB173)=4,"",SUM(Y173:AA173)+IF(Setup!$I$15="No",0,AB173))</f>
        <v/>
      </c>
      <c r="AD173" s="192"/>
      <c r="AE173" s="192"/>
      <c r="AF173" s="192"/>
      <c r="AG173" s="192"/>
      <c r="AH173" s="255" t="str">
        <f>IF(COUNTBLANK(AD173:AG173)=4,"",SUM(AD173:AF173)+IF(Setup!$I$15="No",0,AG173))</f>
        <v/>
      </c>
      <c r="AI173" s="192"/>
      <c r="AJ173" s="192"/>
      <c r="AK173" s="192"/>
      <c r="AL173" s="192"/>
      <c r="AM173" s="255" t="str">
        <f>IF(COUNTBLANK(AI173:AL173)=4,"",SUM(AI173:AK173)+IF(Setup!$I$15="No",0,AL173))</f>
        <v/>
      </c>
      <c r="AN173" s="192"/>
      <c r="AO173" s="192"/>
      <c r="AP173" s="192"/>
      <c r="AQ173" s="192"/>
      <c r="AR173" s="255" t="str">
        <f>IF(COUNTBLANK(AN173:AQ173)=4,"",SUM(AN173:AP173)+IF(Setup!$I$15="No",0,AQ173))</f>
        <v/>
      </c>
      <c r="AS173" s="192"/>
      <c r="AT173" s="192"/>
      <c r="AU173" s="192"/>
      <c r="AV173" s="192"/>
      <c r="AW173" s="255" t="str">
        <f>IF(COUNTBLANK(AS173:AV173)=4,"",SUM(AS173:AU173)+IF(Setup!$I$15="No",0,AV173))</f>
        <v/>
      </c>
      <c r="AX173" s="192"/>
      <c r="AY173" s="192"/>
      <c r="AZ173" s="192"/>
      <c r="BA173" s="192"/>
      <c r="BB173" s="255" t="str">
        <f>IF(COUNTBLANK(AX173:BA173)=4,"",SUM(AX173:AZ173)+IF(Setup!$I$15="No",0,BA173))</f>
        <v/>
      </c>
      <c r="BC173" s="259" t="str">
        <f ca="1">IF('Demand background (hide)'!A164=Num_Modalities,"",SUM(Demand!I173))</f>
        <v/>
      </c>
      <c r="BD173" s="259" t="str">
        <f ca="1">IF(AND(A173&lt;=MaxRows,BE173&lt;&gt;"Yes"),'Demand background (hide)'!X164+IF(Setup!$I$15="Yes",'Demand background (hide)'!AJ164,0),"")</f>
        <v/>
      </c>
      <c r="BE173" s="209"/>
    </row>
    <row r="174" spans="1:57" x14ac:dyDescent="0.25">
      <c r="A174" t="str">
        <f t="shared" ca="1" si="8"/>
        <v/>
      </c>
      <c r="B174" s="264" t="str">
        <f t="shared" ca="1" si="9"/>
        <v xml:space="preserve"> </v>
      </c>
      <c r="C174" s="265" t="str">
        <f t="shared" ca="1" si="10"/>
        <v/>
      </c>
      <c r="D174" s="352" t="str">
        <f t="shared" ca="1" si="11"/>
        <v/>
      </c>
      <c r="E174" s="192"/>
      <c r="F174" s="192"/>
      <c r="G174" s="192"/>
      <c r="H174" s="192"/>
      <c r="I174" s="251" t="str">
        <f>IF(COUNTBLANK(E174:H174)=4,"",SUM(E174:G174)+IF(Setup!$I$15="No",0,H174))</f>
        <v/>
      </c>
      <c r="J174" s="192"/>
      <c r="K174" s="192"/>
      <c r="L174" s="192"/>
      <c r="M174" s="192"/>
      <c r="N174" s="255" t="str">
        <f>IF(COUNTBLANK(J174:M174)=4,"",SUM(J174:L174)+IF(Setup!$I$15="No",0,M174))</f>
        <v/>
      </c>
      <c r="O174" s="192"/>
      <c r="P174" s="192"/>
      <c r="Q174" s="192"/>
      <c r="R174" s="192"/>
      <c r="S174" s="255" t="str">
        <f>IF(COUNTBLANK(O174:R174)=4,"",SUM(O174:Q174)+IF(Setup!$I$15="No",0,R174))</f>
        <v/>
      </c>
      <c r="T174" s="192"/>
      <c r="U174" s="192"/>
      <c r="V174" s="192"/>
      <c r="W174" s="192"/>
      <c r="X174" s="255" t="str">
        <f>IF(COUNTBLANK(T174:W174)=4,"",SUM(T174:V174)+IF(Setup!$I$15="No",0,W174))</f>
        <v/>
      </c>
      <c r="Y174" s="192"/>
      <c r="Z174" s="192"/>
      <c r="AA174" s="192"/>
      <c r="AB174" s="192"/>
      <c r="AC174" s="255" t="str">
        <f>IF(COUNTBLANK(Y174:AB174)=4,"",SUM(Y174:AA174)+IF(Setup!$I$15="No",0,AB174))</f>
        <v/>
      </c>
      <c r="AD174" s="192"/>
      <c r="AE174" s="192"/>
      <c r="AF174" s="192"/>
      <c r="AG174" s="192"/>
      <c r="AH174" s="255" t="str">
        <f>IF(COUNTBLANK(AD174:AG174)=4,"",SUM(AD174:AF174)+IF(Setup!$I$15="No",0,AG174))</f>
        <v/>
      </c>
      <c r="AI174" s="192"/>
      <c r="AJ174" s="192"/>
      <c r="AK174" s="192"/>
      <c r="AL174" s="192"/>
      <c r="AM174" s="255" t="str">
        <f>IF(COUNTBLANK(AI174:AL174)=4,"",SUM(AI174:AK174)+IF(Setup!$I$15="No",0,AL174))</f>
        <v/>
      </c>
      <c r="AN174" s="192"/>
      <c r="AO174" s="192"/>
      <c r="AP174" s="192"/>
      <c r="AQ174" s="192"/>
      <c r="AR174" s="255" t="str">
        <f>IF(COUNTBLANK(AN174:AQ174)=4,"",SUM(AN174:AP174)+IF(Setup!$I$15="No",0,AQ174))</f>
        <v/>
      </c>
      <c r="AS174" s="192"/>
      <c r="AT174" s="192"/>
      <c r="AU174" s="192"/>
      <c r="AV174" s="192"/>
      <c r="AW174" s="255" t="str">
        <f>IF(COUNTBLANK(AS174:AV174)=4,"",SUM(AS174:AU174)+IF(Setup!$I$15="No",0,AV174))</f>
        <v/>
      </c>
      <c r="AX174" s="192"/>
      <c r="AY174" s="192"/>
      <c r="AZ174" s="192"/>
      <c r="BA174" s="192"/>
      <c r="BB174" s="255" t="str">
        <f>IF(COUNTBLANK(AX174:BA174)=4,"",SUM(AX174:AZ174)+IF(Setup!$I$15="No",0,BA174))</f>
        <v/>
      </c>
      <c r="BC174" s="259" t="str">
        <f ca="1">IF('Demand background (hide)'!A165=Num_Modalities,"",SUM(Demand!I174))</f>
        <v/>
      </c>
      <c r="BD174" s="259" t="str">
        <f ca="1">IF(AND(A174&lt;=MaxRows,BE174&lt;&gt;"Yes"),'Demand background (hide)'!X165+IF(Setup!$I$15="Yes",'Demand background (hide)'!AJ165,0),"")</f>
        <v/>
      </c>
      <c r="BE174" s="209"/>
    </row>
    <row r="175" spans="1:57" x14ac:dyDescent="0.25">
      <c r="A175" t="str">
        <f t="shared" ca="1" si="8"/>
        <v/>
      </c>
      <c r="B175" s="264" t="str">
        <f t="shared" ca="1" si="9"/>
        <v xml:space="preserve"> </v>
      </c>
      <c r="C175" s="265" t="str">
        <f t="shared" ca="1" si="10"/>
        <v/>
      </c>
      <c r="D175" s="352" t="str">
        <f t="shared" ca="1" si="11"/>
        <v/>
      </c>
      <c r="E175" s="192"/>
      <c r="F175" s="192"/>
      <c r="G175" s="192"/>
      <c r="H175" s="192"/>
      <c r="I175" s="251" t="str">
        <f>IF(COUNTBLANK(E175:H175)=4,"",SUM(E175:G175)+IF(Setup!$I$15="No",0,H175))</f>
        <v/>
      </c>
      <c r="J175" s="192"/>
      <c r="K175" s="192"/>
      <c r="L175" s="192"/>
      <c r="M175" s="192"/>
      <c r="N175" s="255" t="str">
        <f>IF(COUNTBLANK(J175:M175)=4,"",SUM(J175:L175)+IF(Setup!$I$15="No",0,M175))</f>
        <v/>
      </c>
      <c r="O175" s="192"/>
      <c r="P175" s="192"/>
      <c r="Q175" s="192"/>
      <c r="R175" s="192"/>
      <c r="S175" s="255" t="str">
        <f>IF(COUNTBLANK(O175:R175)=4,"",SUM(O175:Q175)+IF(Setup!$I$15="No",0,R175))</f>
        <v/>
      </c>
      <c r="T175" s="192"/>
      <c r="U175" s="192"/>
      <c r="V175" s="192"/>
      <c r="W175" s="192"/>
      <c r="X175" s="255" t="str">
        <f>IF(COUNTBLANK(T175:W175)=4,"",SUM(T175:V175)+IF(Setup!$I$15="No",0,W175))</f>
        <v/>
      </c>
      <c r="Y175" s="192"/>
      <c r="Z175" s="192"/>
      <c r="AA175" s="192"/>
      <c r="AB175" s="192"/>
      <c r="AC175" s="255" t="str">
        <f>IF(COUNTBLANK(Y175:AB175)=4,"",SUM(Y175:AA175)+IF(Setup!$I$15="No",0,AB175))</f>
        <v/>
      </c>
      <c r="AD175" s="192"/>
      <c r="AE175" s="192"/>
      <c r="AF175" s="192"/>
      <c r="AG175" s="192"/>
      <c r="AH175" s="255" t="str">
        <f>IF(COUNTBLANK(AD175:AG175)=4,"",SUM(AD175:AF175)+IF(Setup!$I$15="No",0,AG175))</f>
        <v/>
      </c>
      <c r="AI175" s="192"/>
      <c r="AJ175" s="192"/>
      <c r="AK175" s="192"/>
      <c r="AL175" s="192"/>
      <c r="AM175" s="255" t="str">
        <f>IF(COUNTBLANK(AI175:AL175)=4,"",SUM(AI175:AK175)+IF(Setup!$I$15="No",0,AL175))</f>
        <v/>
      </c>
      <c r="AN175" s="192"/>
      <c r="AO175" s="192"/>
      <c r="AP175" s="192"/>
      <c r="AQ175" s="192"/>
      <c r="AR175" s="255" t="str">
        <f>IF(COUNTBLANK(AN175:AQ175)=4,"",SUM(AN175:AP175)+IF(Setup!$I$15="No",0,AQ175))</f>
        <v/>
      </c>
      <c r="AS175" s="192"/>
      <c r="AT175" s="192"/>
      <c r="AU175" s="192"/>
      <c r="AV175" s="192"/>
      <c r="AW175" s="255" t="str">
        <f>IF(COUNTBLANK(AS175:AV175)=4,"",SUM(AS175:AU175)+IF(Setup!$I$15="No",0,AV175))</f>
        <v/>
      </c>
      <c r="AX175" s="192"/>
      <c r="AY175" s="192"/>
      <c r="AZ175" s="192"/>
      <c r="BA175" s="192"/>
      <c r="BB175" s="255" t="str">
        <f>IF(COUNTBLANK(AX175:BA175)=4,"",SUM(AX175:AZ175)+IF(Setup!$I$15="No",0,BA175))</f>
        <v/>
      </c>
      <c r="BC175" s="259" t="str">
        <f ca="1">IF('Demand background (hide)'!A166=Num_Modalities,"",SUM(Demand!I175))</f>
        <v/>
      </c>
      <c r="BD175" s="259" t="str">
        <f ca="1">IF(AND(A175&lt;=MaxRows,BE175&lt;&gt;"Yes"),'Demand background (hide)'!X166+IF(Setup!$I$15="Yes",'Demand background (hide)'!AJ166,0),"")</f>
        <v/>
      </c>
      <c r="BE175" s="209"/>
    </row>
    <row r="176" spans="1:57" x14ac:dyDescent="0.25">
      <c r="A176" t="str">
        <f t="shared" ca="1" si="8"/>
        <v/>
      </c>
      <c r="B176" s="264" t="str">
        <f t="shared" ca="1" si="9"/>
        <v xml:space="preserve"> </v>
      </c>
      <c r="C176" s="265" t="str">
        <f t="shared" ca="1" si="10"/>
        <v/>
      </c>
      <c r="D176" s="352" t="str">
        <f t="shared" ca="1" si="11"/>
        <v/>
      </c>
      <c r="E176" s="192"/>
      <c r="F176" s="192"/>
      <c r="G176" s="192"/>
      <c r="H176" s="192"/>
      <c r="I176" s="251" t="str">
        <f>IF(COUNTBLANK(E176:H176)=4,"",SUM(E176:G176)+IF(Setup!$I$15="No",0,H176))</f>
        <v/>
      </c>
      <c r="J176" s="192"/>
      <c r="K176" s="192"/>
      <c r="L176" s="192"/>
      <c r="M176" s="192"/>
      <c r="N176" s="255" t="str">
        <f>IF(COUNTBLANK(J176:M176)=4,"",SUM(J176:L176)+IF(Setup!$I$15="No",0,M176))</f>
        <v/>
      </c>
      <c r="O176" s="192"/>
      <c r="P176" s="192"/>
      <c r="Q176" s="192"/>
      <c r="R176" s="192"/>
      <c r="S176" s="255" t="str">
        <f>IF(COUNTBLANK(O176:R176)=4,"",SUM(O176:Q176)+IF(Setup!$I$15="No",0,R176))</f>
        <v/>
      </c>
      <c r="T176" s="192"/>
      <c r="U176" s="192"/>
      <c r="V176" s="192"/>
      <c r="W176" s="192"/>
      <c r="X176" s="255" t="str">
        <f>IF(COUNTBLANK(T176:W176)=4,"",SUM(T176:V176)+IF(Setup!$I$15="No",0,W176))</f>
        <v/>
      </c>
      <c r="Y176" s="192"/>
      <c r="Z176" s="192"/>
      <c r="AA176" s="192"/>
      <c r="AB176" s="192"/>
      <c r="AC176" s="255" t="str">
        <f>IF(COUNTBLANK(Y176:AB176)=4,"",SUM(Y176:AA176)+IF(Setup!$I$15="No",0,AB176))</f>
        <v/>
      </c>
      <c r="AD176" s="192"/>
      <c r="AE176" s="192"/>
      <c r="AF176" s="192"/>
      <c r="AG176" s="192"/>
      <c r="AH176" s="255" t="str">
        <f>IF(COUNTBLANK(AD176:AG176)=4,"",SUM(AD176:AF176)+IF(Setup!$I$15="No",0,AG176))</f>
        <v/>
      </c>
      <c r="AI176" s="192"/>
      <c r="AJ176" s="192"/>
      <c r="AK176" s="192"/>
      <c r="AL176" s="192"/>
      <c r="AM176" s="255" t="str">
        <f>IF(COUNTBLANK(AI176:AL176)=4,"",SUM(AI176:AK176)+IF(Setup!$I$15="No",0,AL176))</f>
        <v/>
      </c>
      <c r="AN176" s="192"/>
      <c r="AO176" s="192"/>
      <c r="AP176" s="192"/>
      <c r="AQ176" s="192"/>
      <c r="AR176" s="255" t="str">
        <f>IF(COUNTBLANK(AN176:AQ176)=4,"",SUM(AN176:AP176)+IF(Setup!$I$15="No",0,AQ176))</f>
        <v/>
      </c>
      <c r="AS176" s="192"/>
      <c r="AT176" s="192"/>
      <c r="AU176" s="192"/>
      <c r="AV176" s="192"/>
      <c r="AW176" s="255" t="str">
        <f>IF(COUNTBLANK(AS176:AV176)=4,"",SUM(AS176:AU176)+IF(Setup!$I$15="No",0,AV176))</f>
        <v/>
      </c>
      <c r="AX176" s="192"/>
      <c r="AY176" s="192"/>
      <c r="AZ176" s="192"/>
      <c r="BA176" s="192"/>
      <c r="BB176" s="255" t="str">
        <f>IF(COUNTBLANK(AX176:BA176)=4,"",SUM(AX176:AZ176)+IF(Setup!$I$15="No",0,BA176))</f>
        <v/>
      </c>
      <c r="BC176" s="259" t="str">
        <f ca="1">IF('Demand background (hide)'!A167=Num_Modalities,"",SUM(Demand!I176))</f>
        <v/>
      </c>
      <c r="BD176" s="259" t="str">
        <f ca="1">IF(AND(A176&lt;=MaxRows,BE176&lt;&gt;"Yes"),'Demand background (hide)'!X167+IF(Setup!$I$15="Yes",'Demand background (hide)'!AJ167,0),"")</f>
        <v/>
      </c>
      <c r="BE176" s="209"/>
    </row>
    <row r="177" spans="1:57" x14ac:dyDescent="0.25">
      <c r="A177" t="str">
        <f t="shared" ca="1" si="8"/>
        <v/>
      </c>
      <c r="B177" s="264" t="str">
        <f t="shared" ca="1" si="9"/>
        <v xml:space="preserve"> </v>
      </c>
      <c r="C177" s="265" t="str">
        <f t="shared" ca="1" si="10"/>
        <v/>
      </c>
      <c r="D177" s="352" t="str">
        <f t="shared" ca="1" si="11"/>
        <v/>
      </c>
      <c r="E177" s="192"/>
      <c r="F177" s="192"/>
      <c r="G177" s="192"/>
      <c r="H177" s="192"/>
      <c r="I177" s="251" t="str">
        <f>IF(COUNTBLANK(E177:H177)=4,"",SUM(E177:G177)+IF(Setup!$I$15="No",0,H177))</f>
        <v/>
      </c>
      <c r="J177" s="192"/>
      <c r="K177" s="192"/>
      <c r="L177" s="192"/>
      <c r="M177" s="192"/>
      <c r="N177" s="255" t="str">
        <f>IF(COUNTBLANK(J177:M177)=4,"",SUM(J177:L177)+IF(Setup!$I$15="No",0,M177))</f>
        <v/>
      </c>
      <c r="O177" s="192"/>
      <c r="P177" s="192"/>
      <c r="Q177" s="192"/>
      <c r="R177" s="192"/>
      <c r="S177" s="255" t="str">
        <f>IF(COUNTBLANK(O177:R177)=4,"",SUM(O177:Q177)+IF(Setup!$I$15="No",0,R177))</f>
        <v/>
      </c>
      <c r="T177" s="192"/>
      <c r="U177" s="192"/>
      <c r="V177" s="192"/>
      <c r="W177" s="192"/>
      <c r="X177" s="255" t="str">
        <f>IF(COUNTBLANK(T177:W177)=4,"",SUM(T177:V177)+IF(Setup!$I$15="No",0,W177))</f>
        <v/>
      </c>
      <c r="Y177" s="192"/>
      <c r="Z177" s="192"/>
      <c r="AA177" s="192"/>
      <c r="AB177" s="192"/>
      <c r="AC177" s="255" t="str">
        <f>IF(COUNTBLANK(Y177:AB177)=4,"",SUM(Y177:AA177)+IF(Setup!$I$15="No",0,AB177))</f>
        <v/>
      </c>
      <c r="AD177" s="192"/>
      <c r="AE177" s="192"/>
      <c r="AF177" s="192"/>
      <c r="AG177" s="192"/>
      <c r="AH177" s="255" t="str">
        <f>IF(COUNTBLANK(AD177:AG177)=4,"",SUM(AD177:AF177)+IF(Setup!$I$15="No",0,AG177))</f>
        <v/>
      </c>
      <c r="AI177" s="192"/>
      <c r="AJ177" s="192"/>
      <c r="AK177" s="192"/>
      <c r="AL177" s="192"/>
      <c r="AM177" s="255" t="str">
        <f>IF(COUNTBLANK(AI177:AL177)=4,"",SUM(AI177:AK177)+IF(Setup!$I$15="No",0,AL177))</f>
        <v/>
      </c>
      <c r="AN177" s="192"/>
      <c r="AO177" s="192"/>
      <c r="AP177" s="192"/>
      <c r="AQ177" s="192"/>
      <c r="AR177" s="255" t="str">
        <f>IF(COUNTBLANK(AN177:AQ177)=4,"",SUM(AN177:AP177)+IF(Setup!$I$15="No",0,AQ177))</f>
        <v/>
      </c>
      <c r="AS177" s="192"/>
      <c r="AT177" s="192"/>
      <c r="AU177" s="192"/>
      <c r="AV177" s="192"/>
      <c r="AW177" s="255" t="str">
        <f>IF(COUNTBLANK(AS177:AV177)=4,"",SUM(AS177:AU177)+IF(Setup!$I$15="No",0,AV177))</f>
        <v/>
      </c>
      <c r="AX177" s="192"/>
      <c r="AY177" s="192"/>
      <c r="AZ177" s="192"/>
      <c r="BA177" s="192"/>
      <c r="BB177" s="255" t="str">
        <f>IF(COUNTBLANK(AX177:BA177)=4,"",SUM(AX177:AZ177)+IF(Setup!$I$15="No",0,BA177))</f>
        <v/>
      </c>
      <c r="BC177" s="259" t="str">
        <f ca="1">IF('Demand background (hide)'!A168=Num_Modalities,"",SUM(Demand!I177))</f>
        <v/>
      </c>
      <c r="BD177" s="259" t="str">
        <f ca="1">IF(AND(A177&lt;=MaxRows,BE177&lt;&gt;"Yes"),'Demand background (hide)'!X168+IF(Setup!$I$15="Yes",'Demand background (hide)'!AJ168,0),"")</f>
        <v/>
      </c>
      <c r="BE177" s="209"/>
    </row>
    <row r="178" spans="1:57" x14ac:dyDescent="0.25">
      <c r="A178" t="str">
        <f t="shared" ca="1" si="8"/>
        <v/>
      </c>
      <c r="B178" s="264" t="str">
        <f t="shared" ca="1" si="9"/>
        <v xml:space="preserve"> </v>
      </c>
      <c r="C178" s="265" t="str">
        <f t="shared" ca="1" si="10"/>
        <v/>
      </c>
      <c r="D178" s="352" t="str">
        <f t="shared" ca="1" si="11"/>
        <v/>
      </c>
      <c r="E178" s="192"/>
      <c r="F178" s="192"/>
      <c r="G178" s="192"/>
      <c r="H178" s="192"/>
      <c r="I178" s="251" t="str">
        <f>IF(COUNTBLANK(E178:H178)=4,"",SUM(E178:G178)+IF(Setup!$I$15="No",0,H178))</f>
        <v/>
      </c>
      <c r="J178" s="192"/>
      <c r="K178" s="192"/>
      <c r="L178" s="192"/>
      <c r="M178" s="192"/>
      <c r="N178" s="255" t="str">
        <f>IF(COUNTBLANK(J178:M178)=4,"",SUM(J178:L178)+IF(Setup!$I$15="No",0,M178))</f>
        <v/>
      </c>
      <c r="O178" s="192"/>
      <c r="P178" s="192"/>
      <c r="Q178" s="192"/>
      <c r="R178" s="192"/>
      <c r="S178" s="255" t="str">
        <f>IF(COUNTBLANK(O178:R178)=4,"",SUM(O178:Q178)+IF(Setup!$I$15="No",0,R178))</f>
        <v/>
      </c>
      <c r="T178" s="192"/>
      <c r="U178" s="192"/>
      <c r="V178" s="192"/>
      <c r="W178" s="192"/>
      <c r="X178" s="255" t="str">
        <f>IF(COUNTBLANK(T178:W178)=4,"",SUM(T178:V178)+IF(Setup!$I$15="No",0,W178))</f>
        <v/>
      </c>
      <c r="Y178" s="192"/>
      <c r="Z178" s="192"/>
      <c r="AA178" s="192"/>
      <c r="AB178" s="192"/>
      <c r="AC178" s="255" t="str">
        <f>IF(COUNTBLANK(Y178:AB178)=4,"",SUM(Y178:AA178)+IF(Setup!$I$15="No",0,AB178))</f>
        <v/>
      </c>
      <c r="AD178" s="192"/>
      <c r="AE178" s="192"/>
      <c r="AF178" s="192"/>
      <c r="AG178" s="192"/>
      <c r="AH178" s="255" t="str">
        <f>IF(COUNTBLANK(AD178:AG178)=4,"",SUM(AD178:AF178)+IF(Setup!$I$15="No",0,AG178))</f>
        <v/>
      </c>
      <c r="AI178" s="192"/>
      <c r="AJ178" s="192"/>
      <c r="AK178" s="192"/>
      <c r="AL178" s="192"/>
      <c r="AM178" s="255" t="str">
        <f>IF(COUNTBLANK(AI178:AL178)=4,"",SUM(AI178:AK178)+IF(Setup!$I$15="No",0,AL178))</f>
        <v/>
      </c>
      <c r="AN178" s="192"/>
      <c r="AO178" s="192"/>
      <c r="AP178" s="192"/>
      <c r="AQ178" s="192"/>
      <c r="AR178" s="255" t="str">
        <f>IF(COUNTBLANK(AN178:AQ178)=4,"",SUM(AN178:AP178)+IF(Setup!$I$15="No",0,AQ178))</f>
        <v/>
      </c>
      <c r="AS178" s="192"/>
      <c r="AT178" s="192"/>
      <c r="AU178" s="192"/>
      <c r="AV178" s="192"/>
      <c r="AW178" s="255" t="str">
        <f>IF(COUNTBLANK(AS178:AV178)=4,"",SUM(AS178:AU178)+IF(Setup!$I$15="No",0,AV178))</f>
        <v/>
      </c>
      <c r="AX178" s="192"/>
      <c r="AY178" s="192"/>
      <c r="AZ178" s="192"/>
      <c r="BA178" s="192"/>
      <c r="BB178" s="255" t="str">
        <f>IF(COUNTBLANK(AX178:BA178)=4,"",SUM(AX178:AZ178)+IF(Setup!$I$15="No",0,BA178))</f>
        <v/>
      </c>
      <c r="BC178" s="259" t="str">
        <f ca="1">IF('Demand background (hide)'!A169=Num_Modalities,"",SUM(Demand!I178))</f>
        <v/>
      </c>
      <c r="BD178" s="259" t="str">
        <f ca="1">IF(AND(A178&lt;=MaxRows,BE178&lt;&gt;"Yes"),'Demand background (hide)'!X169+IF(Setup!$I$15="Yes",'Demand background (hide)'!AJ169,0),"")</f>
        <v/>
      </c>
      <c r="BE178" s="209"/>
    </row>
    <row r="179" spans="1:57" x14ac:dyDescent="0.25">
      <c r="A179" t="str">
        <f t="shared" ca="1" si="8"/>
        <v/>
      </c>
      <c r="B179" s="264" t="str">
        <f t="shared" ca="1" si="9"/>
        <v xml:space="preserve"> </v>
      </c>
      <c r="C179" s="265" t="str">
        <f t="shared" ca="1" si="10"/>
        <v/>
      </c>
      <c r="D179" s="352" t="str">
        <f t="shared" ca="1" si="11"/>
        <v/>
      </c>
      <c r="E179" s="192"/>
      <c r="F179" s="192"/>
      <c r="G179" s="192"/>
      <c r="H179" s="192"/>
      <c r="I179" s="251" t="str">
        <f>IF(COUNTBLANK(E179:H179)=4,"",SUM(E179:G179)+IF(Setup!$I$15="No",0,H179))</f>
        <v/>
      </c>
      <c r="J179" s="192"/>
      <c r="K179" s="192"/>
      <c r="L179" s="192"/>
      <c r="M179" s="192"/>
      <c r="N179" s="255" t="str">
        <f>IF(COUNTBLANK(J179:M179)=4,"",SUM(J179:L179)+IF(Setup!$I$15="No",0,M179))</f>
        <v/>
      </c>
      <c r="O179" s="192"/>
      <c r="P179" s="192"/>
      <c r="Q179" s="192"/>
      <c r="R179" s="192"/>
      <c r="S179" s="255" t="str">
        <f>IF(COUNTBLANK(O179:R179)=4,"",SUM(O179:Q179)+IF(Setup!$I$15="No",0,R179))</f>
        <v/>
      </c>
      <c r="T179" s="192"/>
      <c r="U179" s="192"/>
      <c r="V179" s="192"/>
      <c r="W179" s="192"/>
      <c r="X179" s="255" t="str">
        <f>IF(COUNTBLANK(T179:W179)=4,"",SUM(T179:V179)+IF(Setup!$I$15="No",0,W179))</f>
        <v/>
      </c>
      <c r="Y179" s="192"/>
      <c r="Z179" s="192"/>
      <c r="AA179" s="192"/>
      <c r="AB179" s="192"/>
      <c r="AC179" s="255" t="str">
        <f>IF(COUNTBLANK(Y179:AB179)=4,"",SUM(Y179:AA179)+IF(Setup!$I$15="No",0,AB179))</f>
        <v/>
      </c>
      <c r="AD179" s="192"/>
      <c r="AE179" s="192"/>
      <c r="AF179" s="192"/>
      <c r="AG179" s="192"/>
      <c r="AH179" s="255" t="str">
        <f>IF(COUNTBLANK(AD179:AG179)=4,"",SUM(AD179:AF179)+IF(Setup!$I$15="No",0,AG179))</f>
        <v/>
      </c>
      <c r="AI179" s="192"/>
      <c r="AJ179" s="192"/>
      <c r="AK179" s="192"/>
      <c r="AL179" s="192"/>
      <c r="AM179" s="255" t="str">
        <f>IF(COUNTBLANK(AI179:AL179)=4,"",SUM(AI179:AK179)+IF(Setup!$I$15="No",0,AL179))</f>
        <v/>
      </c>
      <c r="AN179" s="192"/>
      <c r="AO179" s="192"/>
      <c r="AP179" s="192"/>
      <c r="AQ179" s="192"/>
      <c r="AR179" s="255" t="str">
        <f>IF(COUNTBLANK(AN179:AQ179)=4,"",SUM(AN179:AP179)+IF(Setup!$I$15="No",0,AQ179))</f>
        <v/>
      </c>
      <c r="AS179" s="192"/>
      <c r="AT179" s="192"/>
      <c r="AU179" s="192"/>
      <c r="AV179" s="192"/>
      <c r="AW179" s="255" t="str">
        <f>IF(COUNTBLANK(AS179:AV179)=4,"",SUM(AS179:AU179)+IF(Setup!$I$15="No",0,AV179))</f>
        <v/>
      </c>
      <c r="AX179" s="192"/>
      <c r="AY179" s="192"/>
      <c r="AZ179" s="192"/>
      <c r="BA179" s="192"/>
      <c r="BB179" s="255" t="str">
        <f>IF(COUNTBLANK(AX179:BA179)=4,"",SUM(AX179:AZ179)+IF(Setup!$I$15="No",0,BA179))</f>
        <v/>
      </c>
      <c r="BC179" s="259" t="str">
        <f ca="1">IF('Demand background (hide)'!A170=Num_Modalities,"",SUM(Demand!I179))</f>
        <v/>
      </c>
      <c r="BD179" s="259" t="str">
        <f ca="1">IF(AND(A179&lt;=MaxRows,BE179&lt;&gt;"Yes"),'Demand background (hide)'!X170+IF(Setup!$I$15="Yes",'Demand background (hide)'!AJ170,0),"")</f>
        <v/>
      </c>
      <c r="BE179" s="209"/>
    </row>
    <row r="180" spans="1:57" x14ac:dyDescent="0.25">
      <c r="A180" t="str">
        <f t="shared" ca="1" si="8"/>
        <v/>
      </c>
      <c r="B180" s="264" t="str">
        <f t="shared" ca="1" si="9"/>
        <v xml:space="preserve"> </v>
      </c>
      <c r="C180" s="265" t="str">
        <f t="shared" ca="1" si="10"/>
        <v/>
      </c>
      <c r="D180" s="352" t="str">
        <f t="shared" ca="1" si="11"/>
        <v/>
      </c>
      <c r="E180" s="192"/>
      <c r="F180" s="192"/>
      <c r="G180" s="192"/>
      <c r="H180" s="192"/>
      <c r="I180" s="251" t="str">
        <f>IF(COUNTBLANK(E180:H180)=4,"",SUM(E180:G180)+IF(Setup!$I$15="No",0,H180))</f>
        <v/>
      </c>
      <c r="J180" s="192"/>
      <c r="K180" s="192"/>
      <c r="L180" s="192"/>
      <c r="M180" s="192"/>
      <c r="N180" s="255" t="str">
        <f>IF(COUNTBLANK(J180:M180)=4,"",SUM(J180:L180)+IF(Setup!$I$15="No",0,M180))</f>
        <v/>
      </c>
      <c r="O180" s="192"/>
      <c r="P180" s="192"/>
      <c r="Q180" s="192"/>
      <c r="R180" s="192"/>
      <c r="S180" s="255" t="str">
        <f>IF(COUNTBLANK(O180:R180)=4,"",SUM(O180:Q180)+IF(Setup!$I$15="No",0,R180))</f>
        <v/>
      </c>
      <c r="T180" s="192"/>
      <c r="U180" s="192"/>
      <c r="V180" s="192"/>
      <c r="W180" s="192"/>
      <c r="X180" s="255" t="str">
        <f>IF(COUNTBLANK(T180:W180)=4,"",SUM(T180:V180)+IF(Setup!$I$15="No",0,W180))</f>
        <v/>
      </c>
      <c r="Y180" s="192"/>
      <c r="Z180" s="192"/>
      <c r="AA180" s="192"/>
      <c r="AB180" s="192"/>
      <c r="AC180" s="255" t="str">
        <f>IF(COUNTBLANK(Y180:AB180)=4,"",SUM(Y180:AA180)+IF(Setup!$I$15="No",0,AB180))</f>
        <v/>
      </c>
      <c r="AD180" s="192"/>
      <c r="AE180" s="192"/>
      <c r="AF180" s="192"/>
      <c r="AG180" s="192"/>
      <c r="AH180" s="255" t="str">
        <f>IF(COUNTBLANK(AD180:AG180)=4,"",SUM(AD180:AF180)+IF(Setup!$I$15="No",0,AG180))</f>
        <v/>
      </c>
      <c r="AI180" s="192"/>
      <c r="AJ180" s="192"/>
      <c r="AK180" s="192"/>
      <c r="AL180" s="192"/>
      <c r="AM180" s="255" t="str">
        <f>IF(COUNTBLANK(AI180:AL180)=4,"",SUM(AI180:AK180)+IF(Setup!$I$15="No",0,AL180))</f>
        <v/>
      </c>
      <c r="AN180" s="192"/>
      <c r="AO180" s="192"/>
      <c r="AP180" s="192"/>
      <c r="AQ180" s="192"/>
      <c r="AR180" s="255" t="str">
        <f>IF(COUNTBLANK(AN180:AQ180)=4,"",SUM(AN180:AP180)+IF(Setup!$I$15="No",0,AQ180))</f>
        <v/>
      </c>
      <c r="AS180" s="192"/>
      <c r="AT180" s="192"/>
      <c r="AU180" s="192"/>
      <c r="AV180" s="192"/>
      <c r="AW180" s="255" t="str">
        <f>IF(COUNTBLANK(AS180:AV180)=4,"",SUM(AS180:AU180)+IF(Setup!$I$15="No",0,AV180))</f>
        <v/>
      </c>
      <c r="AX180" s="192"/>
      <c r="AY180" s="192"/>
      <c r="AZ180" s="192"/>
      <c r="BA180" s="192"/>
      <c r="BB180" s="255" t="str">
        <f>IF(COUNTBLANK(AX180:BA180)=4,"",SUM(AX180:AZ180)+IF(Setup!$I$15="No",0,BA180))</f>
        <v/>
      </c>
      <c r="BC180" s="259" t="str">
        <f ca="1">IF('Demand background (hide)'!A171=Num_Modalities,"",SUM(Demand!I180))</f>
        <v/>
      </c>
      <c r="BD180" s="259" t="str">
        <f ca="1">IF(AND(A180&lt;=MaxRows,BE180&lt;&gt;"Yes"),'Demand background (hide)'!X171+IF(Setup!$I$15="Yes",'Demand background (hide)'!AJ171,0),"")</f>
        <v/>
      </c>
      <c r="BE180" s="209"/>
    </row>
    <row r="181" spans="1:57" x14ac:dyDescent="0.25">
      <c r="A181" t="str">
        <f t="shared" ca="1" si="8"/>
        <v/>
      </c>
      <c r="B181" s="264" t="str">
        <f t="shared" ca="1" si="9"/>
        <v xml:space="preserve"> </v>
      </c>
      <c r="C181" s="265" t="str">
        <f t="shared" ca="1" si="10"/>
        <v/>
      </c>
      <c r="D181" s="352" t="str">
        <f t="shared" ca="1" si="11"/>
        <v/>
      </c>
      <c r="E181" s="192"/>
      <c r="F181" s="192"/>
      <c r="G181" s="192"/>
      <c r="H181" s="192"/>
      <c r="I181" s="251" t="str">
        <f>IF(COUNTBLANK(E181:H181)=4,"",SUM(E181:G181)+IF(Setup!$I$15="No",0,H181))</f>
        <v/>
      </c>
      <c r="J181" s="192"/>
      <c r="K181" s="192"/>
      <c r="L181" s="192"/>
      <c r="M181" s="192"/>
      <c r="N181" s="255" t="str">
        <f>IF(COUNTBLANK(J181:M181)=4,"",SUM(J181:L181)+IF(Setup!$I$15="No",0,M181))</f>
        <v/>
      </c>
      <c r="O181" s="192"/>
      <c r="P181" s="192"/>
      <c r="Q181" s="192"/>
      <c r="R181" s="192"/>
      <c r="S181" s="255" t="str">
        <f>IF(COUNTBLANK(O181:R181)=4,"",SUM(O181:Q181)+IF(Setup!$I$15="No",0,R181))</f>
        <v/>
      </c>
      <c r="T181" s="192"/>
      <c r="U181" s="192"/>
      <c r="V181" s="192"/>
      <c r="W181" s="192"/>
      <c r="X181" s="255" t="str">
        <f>IF(COUNTBLANK(T181:W181)=4,"",SUM(T181:V181)+IF(Setup!$I$15="No",0,W181))</f>
        <v/>
      </c>
      <c r="Y181" s="192"/>
      <c r="Z181" s="192"/>
      <c r="AA181" s="192"/>
      <c r="AB181" s="192"/>
      <c r="AC181" s="255" t="str">
        <f>IF(COUNTBLANK(Y181:AB181)=4,"",SUM(Y181:AA181)+IF(Setup!$I$15="No",0,AB181))</f>
        <v/>
      </c>
      <c r="AD181" s="192"/>
      <c r="AE181" s="192"/>
      <c r="AF181" s="192"/>
      <c r="AG181" s="192"/>
      <c r="AH181" s="255" t="str">
        <f>IF(COUNTBLANK(AD181:AG181)=4,"",SUM(AD181:AF181)+IF(Setup!$I$15="No",0,AG181))</f>
        <v/>
      </c>
      <c r="AI181" s="192"/>
      <c r="AJ181" s="192"/>
      <c r="AK181" s="192"/>
      <c r="AL181" s="192"/>
      <c r="AM181" s="255" t="str">
        <f>IF(COUNTBLANK(AI181:AL181)=4,"",SUM(AI181:AK181)+IF(Setup!$I$15="No",0,AL181))</f>
        <v/>
      </c>
      <c r="AN181" s="192"/>
      <c r="AO181" s="192"/>
      <c r="AP181" s="192"/>
      <c r="AQ181" s="192"/>
      <c r="AR181" s="255" t="str">
        <f>IF(COUNTBLANK(AN181:AQ181)=4,"",SUM(AN181:AP181)+IF(Setup!$I$15="No",0,AQ181))</f>
        <v/>
      </c>
      <c r="AS181" s="192"/>
      <c r="AT181" s="192"/>
      <c r="AU181" s="192"/>
      <c r="AV181" s="192"/>
      <c r="AW181" s="255" t="str">
        <f>IF(COUNTBLANK(AS181:AV181)=4,"",SUM(AS181:AU181)+IF(Setup!$I$15="No",0,AV181))</f>
        <v/>
      </c>
      <c r="AX181" s="192"/>
      <c r="AY181" s="192"/>
      <c r="AZ181" s="192"/>
      <c r="BA181" s="192"/>
      <c r="BB181" s="255" t="str">
        <f>IF(COUNTBLANK(AX181:BA181)=4,"",SUM(AX181:AZ181)+IF(Setup!$I$15="No",0,BA181))</f>
        <v/>
      </c>
      <c r="BC181" s="259" t="str">
        <f ca="1">IF('Demand background (hide)'!A172=Num_Modalities,"",SUM(Demand!I181))</f>
        <v/>
      </c>
      <c r="BD181" s="259" t="str">
        <f ca="1">IF(AND(A181&lt;=MaxRows,BE181&lt;&gt;"Yes"),'Demand background (hide)'!X172+IF(Setup!$I$15="Yes",'Demand background (hide)'!AJ172,0),"")</f>
        <v/>
      </c>
      <c r="BE181" s="209"/>
    </row>
    <row r="182" spans="1:57" x14ac:dyDescent="0.25">
      <c r="A182" t="str">
        <f t="shared" ca="1" si="8"/>
        <v/>
      </c>
      <c r="B182" s="264" t="str">
        <f t="shared" ca="1" si="9"/>
        <v xml:space="preserve"> </v>
      </c>
      <c r="C182" s="265" t="str">
        <f t="shared" ca="1" si="10"/>
        <v/>
      </c>
      <c r="D182" s="352" t="str">
        <f t="shared" ca="1" si="11"/>
        <v/>
      </c>
      <c r="E182" s="192"/>
      <c r="F182" s="192"/>
      <c r="G182" s="192"/>
      <c r="H182" s="192"/>
      <c r="I182" s="251" t="str">
        <f>IF(COUNTBLANK(E182:H182)=4,"",SUM(E182:G182)+IF(Setup!$I$15="No",0,H182))</f>
        <v/>
      </c>
      <c r="J182" s="192"/>
      <c r="K182" s="192"/>
      <c r="L182" s="192"/>
      <c r="M182" s="192"/>
      <c r="N182" s="255" t="str">
        <f>IF(COUNTBLANK(J182:M182)=4,"",SUM(J182:L182)+IF(Setup!$I$15="No",0,M182))</f>
        <v/>
      </c>
      <c r="O182" s="192"/>
      <c r="P182" s="192"/>
      <c r="Q182" s="192"/>
      <c r="R182" s="192"/>
      <c r="S182" s="255" t="str">
        <f>IF(COUNTBLANK(O182:R182)=4,"",SUM(O182:Q182)+IF(Setup!$I$15="No",0,R182))</f>
        <v/>
      </c>
      <c r="T182" s="192"/>
      <c r="U182" s="192"/>
      <c r="V182" s="192"/>
      <c r="W182" s="192"/>
      <c r="X182" s="255" t="str">
        <f>IF(COUNTBLANK(T182:W182)=4,"",SUM(T182:V182)+IF(Setup!$I$15="No",0,W182))</f>
        <v/>
      </c>
      <c r="Y182" s="192"/>
      <c r="Z182" s="192"/>
      <c r="AA182" s="192"/>
      <c r="AB182" s="192"/>
      <c r="AC182" s="255" t="str">
        <f>IF(COUNTBLANK(Y182:AB182)=4,"",SUM(Y182:AA182)+IF(Setup!$I$15="No",0,AB182))</f>
        <v/>
      </c>
      <c r="AD182" s="192"/>
      <c r="AE182" s="192"/>
      <c r="AF182" s="192"/>
      <c r="AG182" s="192"/>
      <c r="AH182" s="255" t="str">
        <f>IF(COUNTBLANK(AD182:AG182)=4,"",SUM(AD182:AF182)+IF(Setup!$I$15="No",0,AG182))</f>
        <v/>
      </c>
      <c r="AI182" s="192"/>
      <c r="AJ182" s="192"/>
      <c r="AK182" s="192"/>
      <c r="AL182" s="192"/>
      <c r="AM182" s="255" t="str">
        <f>IF(COUNTBLANK(AI182:AL182)=4,"",SUM(AI182:AK182)+IF(Setup!$I$15="No",0,AL182))</f>
        <v/>
      </c>
      <c r="AN182" s="192"/>
      <c r="AO182" s="192"/>
      <c r="AP182" s="192"/>
      <c r="AQ182" s="192"/>
      <c r="AR182" s="255" t="str">
        <f>IF(COUNTBLANK(AN182:AQ182)=4,"",SUM(AN182:AP182)+IF(Setup!$I$15="No",0,AQ182))</f>
        <v/>
      </c>
      <c r="AS182" s="192"/>
      <c r="AT182" s="192"/>
      <c r="AU182" s="192"/>
      <c r="AV182" s="192"/>
      <c r="AW182" s="255" t="str">
        <f>IF(COUNTBLANK(AS182:AV182)=4,"",SUM(AS182:AU182)+IF(Setup!$I$15="No",0,AV182))</f>
        <v/>
      </c>
      <c r="AX182" s="192"/>
      <c r="AY182" s="192"/>
      <c r="AZ182" s="192"/>
      <c r="BA182" s="192"/>
      <c r="BB182" s="255" t="str">
        <f>IF(COUNTBLANK(AX182:BA182)=4,"",SUM(AX182:AZ182)+IF(Setup!$I$15="No",0,BA182))</f>
        <v/>
      </c>
      <c r="BC182" s="259" t="str">
        <f ca="1">IF('Demand background (hide)'!A173=Num_Modalities,"",SUM(Demand!I182))</f>
        <v/>
      </c>
      <c r="BD182" s="259" t="str">
        <f ca="1">IF(AND(A182&lt;=MaxRows,BE182&lt;&gt;"Yes"),'Demand background (hide)'!X173+IF(Setup!$I$15="Yes",'Demand background (hide)'!AJ173,0),"")</f>
        <v/>
      </c>
      <c r="BE182" s="209"/>
    </row>
    <row r="183" spans="1:57" x14ac:dyDescent="0.25">
      <c r="A183" t="str">
        <f t="shared" ca="1" si="8"/>
        <v/>
      </c>
      <c r="B183" s="264" t="str">
        <f t="shared" ca="1" si="9"/>
        <v xml:space="preserve"> </v>
      </c>
      <c r="C183" s="265" t="str">
        <f t="shared" ca="1" si="10"/>
        <v/>
      </c>
      <c r="D183" s="352" t="str">
        <f t="shared" ca="1" si="11"/>
        <v/>
      </c>
      <c r="E183" s="192"/>
      <c r="F183" s="192"/>
      <c r="G183" s="192"/>
      <c r="H183" s="192"/>
      <c r="I183" s="251" t="str">
        <f>IF(COUNTBLANK(E183:H183)=4,"",SUM(E183:G183)+IF(Setup!$I$15="No",0,H183))</f>
        <v/>
      </c>
      <c r="J183" s="192"/>
      <c r="K183" s="192"/>
      <c r="L183" s="192"/>
      <c r="M183" s="192"/>
      <c r="N183" s="255" t="str">
        <f>IF(COUNTBLANK(J183:M183)=4,"",SUM(J183:L183)+IF(Setup!$I$15="No",0,M183))</f>
        <v/>
      </c>
      <c r="O183" s="192"/>
      <c r="P183" s="192"/>
      <c r="Q183" s="192"/>
      <c r="R183" s="192"/>
      <c r="S183" s="255" t="str">
        <f>IF(COUNTBLANK(O183:R183)=4,"",SUM(O183:Q183)+IF(Setup!$I$15="No",0,R183))</f>
        <v/>
      </c>
      <c r="T183" s="192"/>
      <c r="U183" s="192"/>
      <c r="V183" s="192"/>
      <c r="W183" s="192"/>
      <c r="X183" s="255" t="str">
        <f>IF(COUNTBLANK(T183:W183)=4,"",SUM(T183:V183)+IF(Setup!$I$15="No",0,W183))</f>
        <v/>
      </c>
      <c r="Y183" s="192"/>
      <c r="Z183" s="192"/>
      <c r="AA183" s="192"/>
      <c r="AB183" s="192"/>
      <c r="AC183" s="255" t="str">
        <f>IF(COUNTBLANK(Y183:AB183)=4,"",SUM(Y183:AA183)+IF(Setup!$I$15="No",0,AB183))</f>
        <v/>
      </c>
      <c r="AD183" s="192"/>
      <c r="AE183" s="192"/>
      <c r="AF183" s="192"/>
      <c r="AG183" s="192"/>
      <c r="AH183" s="255" t="str">
        <f>IF(COUNTBLANK(AD183:AG183)=4,"",SUM(AD183:AF183)+IF(Setup!$I$15="No",0,AG183))</f>
        <v/>
      </c>
      <c r="AI183" s="192"/>
      <c r="AJ183" s="192"/>
      <c r="AK183" s="192"/>
      <c r="AL183" s="192"/>
      <c r="AM183" s="255" t="str">
        <f>IF(COUNTBLANK(AI183:AL183)=4,"",SUM(AI183:AK183)+IF(Setup!$I$15="No",0,AL183))</f>
        <v/>
      </c>
      <c r="AN183" s="192"/>
      <c r="AO183" s="192"/>
      <c r="AP183" s="192"/>
      <c r="AQ183" s="192"/>
      <c r="AR183" s="255" t="str">
        <f>IF(COUNTBLANK(AN183:AQ183)=4,"",SUM(AN183:AP183)+IF(Setup!$I$15="No",0,AQ183))</f>
        <v/>
      </c>
      <c r="AS183" s="192"/>
      <c r="AT183" s="192"/>
      <c r="AU183" s="192"/>
      <c r="AV183" s="192"/>
      <c r="AW183" s="255" t="str">
        <f>IF(COUNTBLANK(AS183:AV183)=4,"",SUM(AS183:AU183)+IF(Setup!$I$15="No",0,AV183))</f>
        <v/>
      </c>
      <c r="AX183" s="192"/>
      <c r="AY183" s="192"/>
      <c r="AZ183" s="192"/>
      <c r="BA183" s="192"/>
      <c r="BB183" s="255" t="str">
        <f>IF(COUNTBLANK(AX183:BA183)=4,"",SUM(AX183:AZ183)+IF(Setup!$I$15="No",0,BA183))</f>
        <v/>
      </c>
      <c r="BC183" s="259" t="str">
        <f ca="1">IF('Demand background (hide)'!A174=Num_Modalities,"",SUM(Demand!I183))</f>
        <v/>
      </c>
      <c r="BD183" s="259" t="str">
        <f ca="1">IF(AND(A183&lt;=MaxRows,BE183&lt;&gt;"Yes"),'Demand background (hide)'!X174+IF(Setup!$I$15="Yes",'Demand background (hide)'!AJ174,0),"")</f>
        <v/>
      </c>
      <c r="BE183" s="209"/>
    </row>
    <row r="184" spans="1:57" x14ac:dyDescent="0.25">
      <c r="A184" t="str">
        <f t="shared" ca="1" si="8"/>
        <v/>
      </c>
      <c r="B184" s="264" t="str">
        <f t="shared" ca="1" si="9"/>
        <v xml:space="preserve"> </v>
      </c>
      <c r="C184" s="265" t="str">
        <f t="shared" ca="1" si="10"/>
        <v/>
      </c>
      <c r="D184" s="352" t="str">
        <f t="shared" ca="1" si="11"/>
        <v/>
      </c>
      <c r="E184" s="192"/>
      <c r="F184" s="192"/>
      <c r="G184" s="192"/>
      <c r="H184" s="192"/>
      <c r="I184" s="251" t="str">
        <f>IF(COUNTBLANK(E184:H184)=4,"",SUM(E184:G184)+IF(Setup!$I$15="No",0,H184))</f>
        <v/>
      </c>
      <c r="J184" s="192"/>
      <c r="K184" s="192"/>
      <c r="L184" s="192"/>
      <c r="M184" s="192"/>
      <c r="N184" s="255" t="str">
        <f>IF(COUNTBLANK(J184:M184)=4,"",SUM(J184:L184)+IF(Setup!$I$15="No",0,M184))</f>
        <v/>
      </c>
      <c r="O184" s="192"/>
      <c r="P184" s="192"/>
      <c r="Q184" s="192"/>
      <c r="R184" s="192"/>
      <c r="S184" s="255" t="str">
        <f>IF(COUNTBLANK(O184:R184)=4,"",SUM(O184:Q184)+IF(Setup!$I$15="No",0,R184))</f>
        <v/>
      </c>
      <c r="T184" s="192"/>
      <c r="U184" s="192"/>
      <c r="V184" s="192"/>
      <c r="W184" s="192"/>
      <c r="X184" s="255" t="str">
        <f>IF(COUNTBLANK(T184:W184)=4,"",SUM(T184:V184)+IF(Setup!$I$15="No",0,W184))</f>
        <v/>
      </c>
      <c r="Y184" s="192"/>
      <c r="Z184" s="192"/>
      <c r="AA184" s="192"/>
      <c r="AB184" s="192"/>
      <c r="AC184" s="255" t="str">
        <f>IF(COUNTBLANK(Y184:AB184)=4,"",SUM(Y184:AA184)+IF(Setup!$I$15="No",0,AB184))</f>
        <v/>
      </c>
      <c r="AD184" s="192"/>
      <c r="AE184" s="192"/>
      <c r="AF184" s="192"/>
      <c r="AG184" s="192"/>
      <c r="AH184" s="255" t="str">
        <f>IF(COUNTBLANK(AD184:AG184)=4,"",SUM(AD184:AF184)+IF(Setup!$I$15="No",0,AG184))</f>
        <v/>
      </c>
      <c r="AI184" s="192"/>
      <c r="AJ184" s="192"/>
      <c r="AK184" s="192"/>
      <c r="AL184" s="192"/>
      <c r="AM184" s="255" t="str">
        <f>IF(COUNTBLANK(AI184:AL184)=4,"",SUM(AI184:AK184)+IF(Setup!$I$15="No",0,AL184))</f>
        <v/>
      </c>
      <c r="AN184" s="192"/>
      <c r="AO184" s="192"/>
      <c r="AP184" s="192"/>
      <c r="AQ184" s="192"/>
      <c r="AR184" s="255" t="str">
        <f>IF(COUNTBLANK(AN184:AQ184)=4,"",SUM(AN184:AP184)+IF(Setup!$I$15="No",0,AQ184))</f>
        <v/>
      </c>
      <c r="AS184" s="192"/>
      <c r="AT184" s="192"/>
      <c r="AU184" s="192"/>
      <c r="AV184" s="192"/>
      <c r="AW184" s="255" t="str">
        <f>IF(COUNTBLANK(AS184:AV184)=4,"",SUM(AS184:AU184)+IF(Setup!$I$15="No",0,AV184))</f>
        <v/>
      </c>
      <c r="AX184" s="192"/>
      <c r="AY184" s="192"/>
      <c r="AZ184" s="192"/>
      <c r="BA184" s="192"/>
      <c r="BB184" s="255" t="str">
        <f>IF(COUNTBLANK(AX184:BA184)=4,"",SUM(AX184:AZ184)+IF(Setup!$I$15="No",0,BA184))</f>
        <v/>
      </c>
      <c r="BC184" s="259" t="str">
        <f ca="1">IF('Demand background (hide)'!A175=Num_Modalities,"",SUM(Demand!I184))</f>
        <v/>
      </c>
      <c r="BD184" s="259" t="str">
        <f ca="1">IF(AND(A184&lt;=MaxRows,BE184&lt;&gt;"Yes"),'Demand background (hide)'!X175+IF(Setup!$I$15="Yes",'Demand background (hide)'!AJ175,0),"")</f>
        <v/>
      </c>
      <c r="BE184" s="209"/>
    </row>
    <row r="185" spans="1:57" x14ac:dyDescent="0.25">
      <c r="A185" t="str">
        <f t="shared" ca="1" si="8"/>
        <v/>
      </c>
      <c r="B185" s="264" t="str">
        <f t="shared" ca="1" si="9"/>
        <v xml:space="preserve"> </v>
      </c>
      <c r="C185" s="265" t="str">
        <f t="shared" ca="1" si="10"/>
        <v/>
      </c>
      <c r="D185" s="352" t="str">
        <f t="shared" ca="1" si="11"/>
        <v/>
      </c>
      <c r="E185" s="192"/>
      <c r="F185" s="192"/>
      <c r="G185" s="192"/>
      <c r="H185" s="192"/>
      <c r="I185" s="251" t="str">
        <f>IF(COUNTBLANK(E185:H185)=4,"",SUM(E185:G185)+IF(Setup!$I$15="No",0,H185))</f>
        <v/>
      </c>
      <c r="J185" s="192"/>
      <c r="K185" s="192"/>
      <c r="L185" s="192"/>
      <c r="M185" s="192"/>
      <c r="N185" s="255" t="str">
        <f>IF(COUNTBLANK(J185:M185)=4,"",SUM(J185:L185)+IF(Setup!$I$15="No",0,M185))</f>
        <v/>
      </c>
      <c r="O185" s="192"/>
      <c r="P185" s="192"/>
      <c r="Q185" s="192"/>
      <c r="R185" s="192"/>
      <c r="S185" s="255" t="str">
        <f>IF(COUNTBLANK(O185:R185)=4,"",SUM(O185:Q185)+IF(Setup!$I$15="No",0,R185))</f>
        <v/>
      </c>
      <c r="T185" s="192"/>
      <c r="U185" s="192"/>
      <c r="V185" s="192"/>
      <c r="W185" s="192"/>
      <c r="X185" s="255" t="str">
        <f>IF(COUNTBLANK(T185:W185)=4,"",SUM(T185:V185)+IF(Setup!$I$15="No",0,W185))</f>
        <v/>
      </c>
      <c r="Y185" s="192"/>
      <c r="Z185" s="192"/>
      <c r="AA185" s="192"/>
      <c r="AB185" s="192"/>
      <c r="AC185" s="255" t="str">
        <f>IF(COUNTBLANK(Y185:AB185)=4,"",SUM(Y185:AA185)+IF(Setup!$I$15="No",0,AB185))</f>
        <v/>
      </c>
      <c r="AD185" s="192"/>
      <c r="AE185" s="192"/>
      <c r="AF185" s="192"/>
      <c r="AG185" s="192"/>
      <c r="AH185" s="255" t="str">
        <f>IF(COUNTBLANK(AD185:AG185)=4,"",SUM(AD185:AF185)+IF(Setup!$I$15="No",0,AG185))</f>
        <v/>
      </c>
      <c r="AI185" s="192"/>
      <c r="AJ185" s="192"/>
      <c r="AK185" s="192"/>
      <c r="AL185" s="192"/>
      <c r="AM185" s="255" t="str">
        <f>IF(COUNTBLANK(AI185:AL185)=4,"",SUM(AI185:AK185)+IF(Setup!$I$15="No",0,AL185))</f>
        <v/>
      </c>
      <c r="AN185" s="192"/>
      <c r="AO185" s="192"/>
      <c r="AP185" s="192"/>
      <c r="AQ185" s="192"/>
      <c r="AR185" s="255" t="str">
        <f>IF(COUNTBLANK(AN185:AQ185)=4,"",SUM(AN185:AP185)+IF(Setup!$I$15="No",0,AQ185))</f>
        <v/>
      </c>
      <c r="AS185" s="192"/>
      <c r="AT185" s="192"/>
      <c r="AU185" s="192"/>
      <c r="AV185" s="192"/>
      <c r="AW185" s="255" t="str">
        <f>IF(COUNTBLANK(AS185:AV185)=4,"",SUM(AS185:AU185)+IF(Setup!$I$15="No",0,AV185))</f>
        <v/>
      </c>
      <c r="AX185" s="192"/>
      <c r="AY185" s="192"/>
      <c r="AZ185" s="192"/>
      <c r="BA185" s="192"/>
      <c r="BB185" s="255" t="str">
        <f>IF(COUNTBLANK(AX185:BA185)=4,"",SUM(AX185:AZ185)+IF(Setup!$I$15="No",0,BA185))</f>
        <v/>
      </c>
      <c r="BC185" s="259" t="str">
        <f ca="1">IF('Demand background (hide)'!A176=Num_Modalities,"",SUM(Demand!I185))</f>
        <v/>
      </c>
      <c r="BD185" s="259" t="str">
        <f ca="1">IF(AND(A185&lt;=MaxRows,BE185&lt;&gt;"Yes"),'Demand background (hide)'!X176+IF(Setup!$I$15="Yes",'Demand background (hide)'!AJ176,0),"")</f>
        <v/>
      </c>
      <c r="BE185" s="209"/>
    </row>
    <row r="186" spans="1:57" x14ac:dyDescent="0.25">
      <c r="A186" t="str">
        <f t="shared" ca="1" si="8"/>
        <v/>
      </c>
      <c r="B186" s="264" t="str">
        <f t="shared" ca="1" si="9"/>
        <v xml:space="preserve"> </v>
      </c>
      <c r="C186" s="265" t="str">
        <f t="shared" ca="1" si="10"/>
        <v/>
      </c>
      <c r="D186" s="352" t="str">
        <f t="shared" ca="1" si="11"/>
        <v/>
      </c>
      <c r="E186" s="192"/>
      <c r="F186" s="192"/>
      <c r="G186" s="192"/>
      <c r="H186" s="192"/>
      <c r="I186" s="251" t="str">
        <f>IF(COUNTBLANK(E186:H186)=4,"",SUM(E186:G186)+IF(Setup!$I$15="No",0,H186))</f>
        <v/>
      </c>
      <c r="J186" s="192"/>
      <c r="K186" s="192"/>
      <c r="L186" s="192"/>
      <c r="M186" s="192"/>
      <c r="N186" s="255" t="str">
        <f>IF(COUNTBLANK(J186:M186)=4,"",SUM(J186:L186)+IF(Setup!$I$15="No",0,M186))</f>
        <v/>
      </c>
      <c r="O186" s="192"/>
      <c r="P186" s="192"/>
      <c r="Q186" s="192"/>
      <c r="R186" s="192"/>
      <c r="S186" s="255" t="str">
        <f>IF(COUNTBLANK(O186:R186)=4,"",SUM(O186:Q186)+IF(Setup!$I$15="No",0,R186))</f>
        <v/>
      </c>
      <c r="T186" s="192"/>
      <c r="U186" s="192"/>
      <c r="V186" s="192"/>
      <c r="W186" s="192"/>
      <c r="X186" s="255" t="str">
        <f>IF(COUNTBLANK(T186:W186)=4,"",SUM(T186:V186)+IF(Setup!$I$15="No",0,W186))</f>
        <v/>
      </c>
      <c r="Y186" s="192"/>
      <c r="Z186" s="192"/>
      <c r="AA186" s="192"/>
      <c r="AB186" s="192"/>
      <c r="AC186" s="255" t="str">
        <f>IF(COUNTBLANK(Y186:AB186)=4,"",SUM(Y186:AA186)+IF(Setup!$I$15="No",0,AB186))</f>
        <v/>
      </c>
      <c r="AD186" s="192"/>
      <c r="AE186" s="192"/>
      <c r="AF186" s="192"/>
      <c r="AG186" s="192"/>
      <c r="AH186" s="255" t="str">
        <f>IF(COUNTBLANK(AD186:AG186)=4,"",SUM(AD186:AF186)+IF(Setup!$I$15="No",0,AG186))</f>
        <v/>
      </c>
      <c r="AI186" s="192"/>
      <c r="AJ186" s="192"/>
      <c r="AK186" s="192"/>
      <c r="AL186" s="192"/>
      <c r="AM186" s="255" t="str">
        <f>IF(COUNTBLANK(AI186:AL186)=4,"",SUM(AI186:AK186)+IF(Setup!$I$15="No",0,AL186))</f>
        <v/>
      </c>
      <c r="AN186" s="192"/>
      <c r="AO186" s="192"/>
      <c r="AP186" s="192"/>
      <c r="AQ186" s="192"/>
      <c r="AR186" s="255" t="str">
        <f>IF(COUNTBLANK(AN186:AQ186)=4,"",SUM(AN186:AP186)+IF(Setup!$I$15="No",0,AQ186))</f>
        <v/>
      </c>
      <c r="AS186" s="192"/>
      <c r="AT186" s="192"/>
      <c r="AU186" s="192"/>
      <c r="AV186" s="192"/>
      <c r="AW186" s="255" t="str">
        <f>IF(COUNTBLANK(AS186:AV186)=4,"",SUM(AS186:AU186)+IF(Setup!$I$15="No",0,AV186))</f>
        <v/>
      </c>
      <c r="AX186" s="192"/>
      <c r="AY186" s="192"/>
      <c r="AZ186" s="192"/>
      <c r="BA186" s="192"/>
      <c r="BB186" s="255" t="str">
        <f>IF(COUNTBLANK(AX186:BA186)=4,"",SUM(AX186:AZ186)+IF(Setup!$I$15="No",0,BA186))</f>
        <v/>
      </c>
      <c r="BC186" s="259" t="str">
        <f ca="1">IF('Demand background (hide)'!A177=Num_Modalities,"",SUM(Demand!I186))</f>
        <v/>
      </c>
      <c r="BD186" s="259" t="str">
        <f ca="1">IF(AND(A186&lt;=MaxRows,BE186&lt;&gt;"Yes"),'Demand background (hide)'!X177+IF(Setup!$I$15="Yes",'Demand background (hide)'!AJ177,0),"")</f>
        <v/>
      </c>
      <c r="BE186" s="209"/>
    </row>
    <row r="187" spans="1:57" x14ac:dyDescent="0.25">
      <c r="A187" t="str">
        <f t="shared" ca="1" si="8"/>
        <v/>
      </c>
      <c r="B187" s="264" t="str">
        <f t="shared" ca="1" si="9"/>
        <v xml:space="preserve"> </v>
      </c>
      <c r="C187" s="265" t="str">
        <f t="shared" ca="1" si="10"/>
        <v/>
      </c>
      <c r="D187" s="352" t="str">
        <f t="shared" ca="1" si="11"/>
        <v/>
      </c>
      <c r="E187" s="192"/>
      <c r="F187" s="192"/>
      <c r="G187" s="192"/>
      <c r="H187" s="192"/>
      <c r="I187" s="251" t="str">
        <f>IF(COUNTBLANK(E187:H187)=4,"",SUM(E187:G187)+IF(Setup!$I$15="No",0,H187))</f>
        <v/>
      </c>
      <c r="J187" s="192"/>
      <c r="K187" s="192"/>
      <c r="L187" s="192"/>
      <c r="M187" s="192"/>
      <c r="N187" s="255" t="str">
        <f>IF(COUNTBLANK(J187:M187)=4,"",SUM(J187:L187)+IF(Setup!$I$15="No",0,M187))</f>
        <v/>
      </c>
      <c r="O187" s="192"/>
      <c r="P187" s="192"/>
      <c r="Q187" s="192"/>
      <c r="R187" s="192"/>
      <c r="S187" s="255" t="str">
        <f>IF(COUNTBLANK(O187:R187)=4,"",SUM(O187:Q187)+IF(Setup!$I$15="No",0,R187))</f>
        <v/>
      </c>
      <c r="T187" s="192"/>
      <c r="U187" s="192"/>
      <c r="V187" s="192"/>
      <c r="W187" s="192"/>
      <c r="X187" s="255" t="str">
        <f>IF(COUNTBLANK(T187:W187)=4,"",SUM(T187:V187)+IF(Setup!$I$15="No",0,W187))</f>
        <v/>
      </c>
      <c r="Y187" s="192"/>
      <c r="Z187" s="192"/>
      <c r="AA187" s="192"/>
      <c r="AB187" s="192"/>
      <c r="AC187" s="255" t="str">
        <f>IF(COUNTBLANK(Y187:AB187)=4,"",SUM(Y187:AA187)+IF(Setup!$I$15="No",0,AB187))</f>
        <v/>
      </c>
      <c r="AD187" s="192"/>
      <c r="AE187" s="192"/>
      <c r="AF187" s="192"/>
      <c r="AG187" s="192"/>
      <c r="AH187" s="255" t="str">
        <f>IF(COUNTBLANK(AD187:AG187)=4,"",SUM(AD187:AF187)+IF(Setup!$I$15="No",0,AG187))</f>
        <v/>
      </c>
      <c r="AI187" s="192"/>
      <c r="AJ187" s="192"/>
      <c r="AK187" s="192"/>
      <c r="AL187" s="192"/>
      <c r="AM187" s="255" t="str">
        <f>IF(COUNTBLANK(AI187:AL187)=4,"",SUM(AI187:AK187)+IF(Setup!$I$15="No",0,AL187))</f>
        <v/>
      </c>
      <c r="AN187" s="192"/>
      <c r="AO187" s="192"/>
      <c r="AP187" s="192"/>
      <c r="AQ187" s="192"/>
      <c r="AR187" s="255" t="str">
        <f>IF(COUNTBLANK(AN187:AQ187)=4,"",SUM(AN187:AP187)+IF(Setup!$I$15="No",0,AQ187))</f>
        <v/>
      </c>
      <c r="AS187" s="192"/>
      <c r="AT187" s="192"/>
      <c r="AU187" s="192"/>
      <c r="AV187" s="192"/>
      <c r="AW187" s="255" t="str">
        <f>IF(COUNTBLANK(AS187:AV187)=4,"",SUM(AS187:AU187)+IF(Setup!$I$15="No",0,AV187))</f>
        <v/>
      </c>
      <c r="AX187" s="192"/>
      <c r="AY187" s="192"/>
      <c r="AZ187" s="192"/>
      <c r="BA187" s="192"/>
      <c r="BB187" s="255" t="str">
        <f>IF(COUNTBLANK(AX187:BA187)=4,"",SUM(AX187:AZ187)+IF(Setup!$I$15="No",0,BA187))</f>
        <v/>
      </c>
      <c r="BC187" s="259" t="str">
        <f ca="1">IF('Demand background (hide)'!A178=Num_Modalities,"",SUM(Demand!I187))</f>
        <v/>
      </c>
      <c r="BD187" s="259" t="str">
        <f ca="1">IF(AND(A187&lt;=MaxRows,BE187&lt;&gt;"Yes"),'Demand background (hide)'!X178+IF(Setup!$I$15="Yes",'Demand background (hide)'!AJ178,0),"")</f>
        <v/>
      </c>
      <c r="BE187" s="209"/>
    </row>
    <row r="188" spans="1:57" x14ac:dyDescent="0.25">
      <c r="A188" t="str">
        <f t="shared" ca="1" si="8"/>
        <v/>
      </c>
      <c r="B188" s="264" t="str">
        <f t="shared" ca="1" si="9"/>
        <v xml:space="preserve"> </v>
      </c>
      <c r="C188" s="265" t="str">
        <f t="shared" ca="1" si="10"/>
        <v/>
      </c>
      <c r="D188" s="352" t="str">
        <f t="shared" ca="1" si="11"/>
        <v/>
      </c>
      <c r="E188" s="192"/>
      <c r="F188" s="192"/>
      <c r="G188" s="192"/>
      <c r="H188" s="192"/>
      <c r="I188" s="251" t="str">
        <f>IF(COUNTBLANK(E188:H188)=4,"",SUM(E188:G188)+IF(Setup!$I$15="No",0,H188))</f>
        <v/>
      </c>
      <c r="J188" s="192"/>
      <c r="K188" s="192"/>
      <c r="L188" s="192"/>
      <c r="M188" s="192"/>
      <c r="N188" s="255" t="str">
        <f>IF(COUNTBLANK(J188:M188)=4,"",SUM(J188:L188)+IF(Setup!$I$15="No",0,M188))</f>
        <v/>
      </c>
      <c r="O188" s="192"/>
      <c r="P188" s="192"/>
      <c r="Q188" s="192"/>
      <c r="R188" s="192"/>
      <c r="S188" s="255" t="str">
        <f>IF(COUNTBLANK(O188:R188)=4,"",SUM(O188:Q188)+IF(Setup!$I$15="No",0,R188))</f>
        <v/>
      </c>
      <c r="T188" s="192"/>
      <c r="U188" s="192"/>
      <c r="V188" s="192"/>
      <c r="W188" s="192"/>
      <c r="X188" s="255" t="str">
        <f>IF(COUNTBLANK(T188:W188)=4,"",SUM(T188:V188)+IF(Setup!$I$15="No",0,W188))</f>
        <v/>
      </c>
      <c r="Y188" s="192"/>
      <c r="Z188" s="192"/>
      <c r="AA188" s="192"/>
      <c r="AB188" s="192"/>
      <c r="AC188" s="255" t="str">
        <f>IF(COUNTBLANK(Y188:AB188)=4,"",SUM(Y188:AA188)+IF(Setup!$I$15="No",0,AB188))</f>
        <v/>
      </c>
      <c r="AD188" s="192"/>
      <c r="AE188" s="192"/>
      <c r="AF188" s="192"/>
      <c r="AG188" s="192"/>
      <c r="AH188" s="255" t="str">
        <f>IF(COUNTBLANK(AD188:AG188)=4,"",SUM(AD188:AF188)+IF(Setup!$I$15="No",0,AG188))</f>
        <v/>
      </c>
      <c r="AI188" s="192"/>
      <c r="AJ188" s="192"/>
      <c r="AK188" s="192"/>
      <c r="AL188" s="192"/>
      <c r="AM188" s="255" t="str">
        <f>IF(COUNTBLANK(AI188:AL188)=4,"",SUM(AI188:AK188)+IF(Setup!$I$15="No",0,AL188))</f>
        <v/>
      </c>
      <c r="AN188" s="192"/>
      <c r="AO188" s="192"/>
      <c r="AP188" s="192"/>
      <c r="AQ188" s="192"/>
      <c r="AR188" s="255" t="str">
        <f>IF(COUNTBLANK(AN188:AQ188)=4,"",SUM(AN188:AP188)+IF(Setup!$I$15="No",0,AQ188))</f>
        <v/>
      </c>
      <c r="AS188" s="192"/>
      <c r="AT188" s="192"/>
      <c r="AU188" s="192"/>
      <c r="AV188" s="192"/>
      <c r="AW188" s="255" t="str">
        <f>IF(COUNTBLANK(AS188:AV188)=4,"",SUM(AS188:AU188)+IF(Setup!$I$15="No",0,AV188))</f>
        <v/>
      </c>
      <c r="AX188" s="192"/>
      <c r="AY188" s="192"/>
      <c r="AZ188" s="192"/>
      <c r="BA188" s="192"/>
      <c r="BB188" s="255" t="str">
        <f>IF(COUNTBLANK(AX188:BA188)=4,"",SUM(AX188:AZ188)+IF(Setup!$I$15="No",0,BA188))</f>
        <v/>
      </c>
      <c r="BC188" s="259" t="str">
        <f ca="1">IF('Demand background (hide)'!A179=Num_Modalities,"",SUM(Demand!I188))</f>
        <v/>
      </c>
      <c r="BD188" s="259" t="str">
        <f ca="1">IF(AND(A188&lt;=MaxRows,BE188&lt;&gt;"Yes"),'Demand background (hide)'!X179+IF(Setup!$I$15="Yes",'Demand background (hide)'!AJ179,0),"")</f>
        <v/>
      </c>
      <c r="BE188" s="209"/>
    </row>
    <row r="189" spans="1:57" x14ac:dyDescent="0.25">
      <c r="A189" t="str">
        <f t="shared" ca="1" si="8"/>
        <v/>
      </c>
      <c r="B189" s="264" t="str">
        <f t="shared" ca="1" si="9"/>
        <v xml:space="preserve"> </v>
      </c>
      <c r="C189" s="265" t="str">
        <f t="shared" ca="1" si="10"/>
        <v/>
      </c>
      <c r="D189" s="352" t="str">
        <f t="shared" ca="1" si="11"/>
        <v/>
      </c>
      <c r="E189" s="192"/>
      <c r="F189" s="192"/>
      <c r="G189" s="192"/>
      <c r="H189" s="192"/>
      <c r="I189" s="251" t="str">
        <f>IF(COUNTBLANK(E189:H189)=4,"",SUM(E189:G189)+IF(Setup!$I$15="No",0,H189))</f>
        <v/>
      </c>
      <c r="J189" s="192"/>
      <c r="K189" s="192"/>
      <c r="L189" s="192"/>
      <c r="M189" s="192"/>
      <c r="N189" s="255" t="str">
        <f>IF(COUNTBLANK(J189:M189)=4,"",SUM(J189:L189)+IF(Setup!$I$15="No",0,M189))</f>
        <v/>
      </c>
      <c r="O189" s="192"/>
      <c r="P189" s="192"/>
      <c r="Q189" s="192"/>
      <c r="R189" s="192"/>
      <c r="S189" s="255" t="str">
        <f>IF(COUNTBLANK(O189:R189)=4,"",SUM(O189:Q189)+IF(Setup!$I$15="No",0,R189))</f>
        <v/>
      </c>
      <c r="T189" s="192"/>
      <c r="U189" s="192"/>
      <c r="V189" s="192"/>
      <c r="W189" s="192"/>
      <c r="X189" s="255" t="str">
        <f>IF(COUNTBLANK(T189:W189)=4,"",SUM(T189:V189)+IF(Setup!$I$15="No",0,W189))</f>
        <v/>
      </c>
      <c r="Y189" s="192"/>
      <c r="Z189" s="192"/>
      <c r="AA189" s="192"/>
      <c r="AB189" s="192"/>
      <c r="AC189" s="255" t="str">
        <f>IF(COUNTBLANK(Y189:AB189)=4,"",SUM(Y189:AA189)+IF(Setup!$I$15="No",0,AB189))</f>
        <v/>
      </c>
      <c r="AD189" s="192"/>
      <c r="AE189" s="192"/>
      <c r="AF189" s="192"/>
      <c r="AG189" s="192"/>
      <c r="AH189" s="255" t="str">
        <f>IF(COUNTBLANK(AD189:AG189)=4,"",SUM(AD189:AF189)+IF(Setup!$I$15="No",0,AG189))</f>
        <v/>
      </c>
      <c r="AI189" s="192"/>
      <c r="AJ189" s="192"/>
      <c r="AK189" s="192"/>
      <c r="AL189" s="192"/>
      <c r="AM189" s="255" t="str">
        <f>IF(COUNTBLANK(AI189:AL189)=4,"",SUM(AI189:AK189)+IF(Setup!$I$15="No",0,AL189))</f>
        <v/>
      </c>
      <c r="AN189" s="192"/>
      <c r="AO189" s="192"/>
      <c r="AP189" s="192"/>
      <c r="AQ189" s="192"/>
      <c r="AR189" s="255" t="str">
        <f>IF(COUNTBLANK(AN189:AQ189)=4,"",SUM(AN189:AP189)+IF(Setup!$I$15="No",0,AQ189))</f>
        <v/>
      </c>
      <c r="AS189" s="192"/>
      <c r="AT189" s="192"/>
      <c r="AU189" s="192"/>
      <c r="AV189" s="192"/>
      <c r="AW189" s="255" t="str">
        <f>IF(COUNTBLANK(AS189:AV189)=4,"",SUM(AS189:AU189)+IF(Setup!$I$15="No",0,AV189))</f>
        <v/>
      </c>
      <c r="AX189" s="192"/>
      <c r="AY189" s="192"/>
      <c r="AZ189" s="192"/>
      <c r="BA189" s="192"/>
      <c r="BB189" s="255" t="str">
        <f>IF(COUNTBLANK(AX189:BA189)=4,"",SUM(AX189:AZ189)+IF(Setup!$I$15="No",0,BA189))</f>
        <v/>
      </c>
      <c r="BC189" s="259" t="str">
        <f ca="1">IF('Demand background (hide)'!A180=Num_Modalities,"",SUM(Demand!I189))</f>
        <v/>
      </c>
      <c r="BD189" s="259" t="str">
        <f ca="1">IF(AND(A189&lt;=MaxRows,BE189&lt;&gt;"Yes"),'Demand background (hide)'!X180+IF(Setup!$I$15="Yes",'Demand background (hide)'!AJ180,0),"")</f>
        <v/>
      </c>
      <c r="BE189" s="209"/>
    </row>
    <row r="190" spans="1:57" x14ac:dyDescent="0.25">
      <c r="A190" t="str">
        <f t="shared" ca="1" si="8"/>
        <v/>
      </c>
      <c r="B190" s="264" t="str">
        <f t="shared" ca="1" si="9"/>
        <v xml:space="preserve"> </v>
      </c>
      <c r="C190" s="265" t="str">
        <f t="shared" ca="1" si="10"/>
        <v/>
      </c>
      <c r="D190" s="352" t="str">
        <f t="shared" ca="1" si="11"/>
        <v/>
      </c>
      <c r="E190" s="192"/>
      <c r="F190" s="192"/>
      <c r="G190" s="192"/>
      <c r="H190" s="192"/>
      <c r="I190" s="251" t="str">
        <f>IF(COUNTBLANK(E190:H190)=4,"",SUM(E190:G190)+IF(Setup!$I$15="No",0,H190))</f>
        <v/>
      </c>
      <c r="J190" s="192"/>
      <c r="K190" s="192"/>
      <c r="L190" s="192"/>
      <c r="M190" s="192"/>
      <c r="N190" s="255" t="str">
        <f>IF(COUNTBLANK(J190:M190)=4,"",SUM(J190:L190)+IF(Setup!$I$15="No",0,M190))</f>
        <v/>
      </c>
      <c r="O190" s="192"/>
      <c r="P190" s="192"/>
      <c r="Q190" s="192"/>
      <c r="R190" s="192"/>
      <c r="S190" s="255" t="str">
        <f>IF(COUNTBLANK(O190:R190)=4,"",SUM(O190:Q190)+IF(Setup!$I$15="No",0,R190))</f>
        <v/>
      </c>
      <c r="T190" s="192"/>
      <c r="U190" s="192"/>
      <c r="V190" s="192"/>
      <c r="W190" s="192"/>
      <c r="X190" s="255" t="str">
        <f>IF(COUNTBLANK(T190:W190)=4,"",SUM(T190:V190)+IF(Setup!$I$15="No",0,W190))</f>
        <v/>
      </c>
      <c r="Y190" s="192"/>
      <c r="Z190" s="192"/>
      <c r="AA190" s="192"/>
      <c r="AB190" s="192"/>
      <c r="AC190" s="255" t="str">
        <f>IF(COUNTBLANK(Y190:AB190)=4,"",SUM(Y190:AA190)+IF(Setup!$I$15="No",0,AB190))</f>
        <v/>
      </c>
      <c r="AD190" s="192"/>
      <c r="AE190" s="192"/>
      <c r="AF190" s="192"/>
      <c r="AG190" s="192"/>
      <c r="AH190" s="255" t="str">
        <f>IF(COUNTBLANK(AD190:AG190)=4,"",SUM(AD190:AF190)+IF(Setup!$I$15="No",0,AG190))</f>
        <v/>
      </c>
      <c r="AI190" s="192"/>
      <c r="AJ190" s="192"/>
      <c r="AK190" s="192"/>
      <c r="AL190" s="192"/>
      <c r="AM190" s="255" t="str">
        <f>IF(COUNTBLANK(AI190:AL190)=4,"",SUM(AI190:AK190)+IF(Setup!$I$15="No",0,AL190))</f>
        <v/>
      </c>
      <c r="AN190" s="192"/>
      <c r="AO190" s="192"/>
      <c r="AP190" s="192"/>
      <c r="AQ190" s="192"/>
      <c r="AR190" s="255" t="str">
        <f>IF(COUNTBLANK(AN190:AQ190)=4,"",SUM(AN190:AP190)+IF(Setup!$I$15="No",0,AQ190))</f>
        <v/>
      </c>
      <c r="AS190" s="192"/>
      <c r="AT190" s="192"/>
      <c r="AU190" s="192"/>
      <c r="AV190" s="192"/>
      <c r="AW190" s="255" t="str">
        <f>IF(COUNTBLANK(AS190:AV190)=4,"",SUM(AS190:AU190)+IF(Setup!$I$15="No",0,AV190))</f>
        <v/>
      </c>
      <c r="AX190" s="192"/>
      <c r="AY190" s="192"/>
      <c r="AZ190" s="192"/>
      <c r="BA190" s="192"/>
      <c r="BB190" s="255" t="str">
        <f>IF(COUNTBLANK(AX190:BA190)=4,"",SUM(AX190:AZ190)+IF(Setup!$I$15="No",0,BA190))</f>
        <v/>
      </c>
      <c r="BC190" s="259" t="str">
        <f ca="1">IF('Demand background (hide)'!A181=Num_Modalities,"",SUM(Demand!I190))</f>
        <v/>
      </c>
      <c r="BD190" s="259" t="str">
        <f ca="1">IF(AND(A190&lt;=MaxRows,BE190&lt;&gt;"Yes"),'Demand background (hide)'!X181+IF(Setup!$I$15="Yes",'Demand background (hide)'!AJ181,0),"")</f>
        <v/>
      </c>
      <c r="BE190" s="209"/>
    </row>
    <row r="191" spans="1:57" x14ac:dyDescent="0.25">
      <c r="A191" t="str">
        <f t="shared" ca="1" si="8"/>
        <v/>
      </c>
      <c r="B191" s="264" t="str">
        <f t="shared" ca="1" si="9"/>
        <v xml:space="preserve"> </v>
      </c>
      <c r="C191" s="265" t="str">
        <f t="shared" ca="1" si="10"/>
        <v/>
      </c>
      <c r="D191" s="352" t="str">
        <f t="shared" ca="1" si="11"/>
        <v/>
      </c>
      <c r="E191" s="192"/>
      <c r="F191" s="192"/>
      <c r="G191" s="192"/>
      <c r="H191" s="192"/>
      <c r="I191" s="251" t="str">
        <f>IF(COUNTBLANK(E191:H191)=4,"",SUM(E191:G191)+IF(Setup!$I$15="No",0,H191))</f>
        <v/>
      </c>
      <c r="J191" s="192"/>
      <c r="K191" s="192"/>
      <c r="L191" s="192"/>
      <c r="M191" s="192"/>
      <c r="N191" s="255" t="str">
        <f>IF(COUNTBLANK(J191:M191)=4,"",SUM(J191:L191)+IF(Setup!$I$15="No",0,M191))</f>
        <v/>
      </c>
      <c r="O191" s="192"/>
      <c r="P191" s="192"/>
      <c r="Q191" s="192"/>
      <c r="R191" s="192"/>
      <c r="S191" s="255" t="str">
        <f>IF(COUNTBLANK(O191:R191)=4,"",SUM(O191:Q191)+IF(Setup!$I$15="No",0,R191))</f>
        <v/>
      </c>
      <c r="T191" s="192"/>
      <c r="U191" s="192"/>
      <c r="V191" s="192"/>
      <c r="W191" s="192"/>
      <c r="X191" s="255" t="str">
        <f>IF(COUNTBLANK(T191:W191)=4,"",SUM(T191:V191)+IF(Setup!$I$15="No",0,W191))</f>
        <v/>
      </c>
      <c r="Y191" s="192"/>
      <c r="Z191" s="192"/>
      <c r="AA191" s="192"/>
      <c r="AB191" s="192"/>
      <c r="AC191" s="255" t="str">
        <f>IF(COUNTBLANK(Y191:AB191)=4,"",SUM(Y191:AA191)+IF(Setup!$I$15="No",0,AB191))</f>
        <v/>
      </c>
      <c r="AD191" s="192"/>
      <c r="AE191" s="192"/>
      <c r="AF191" s="192"/>
      <c r="AG191" s="192"/>
      <c r="AH191" s="255" t="str">
        <f>IF(COUNTBLANK(AD191:AG191)=4,"",SUM(AD191:AF191)+IF(Setup!$I$15="No",0,AG191))</f>
        <v/>
      </c>
      <c r="AI191" s="192"/>
      <c r="AJ191" s="192"/>
      <c r="AK191" s="192"/>
      <c r="AL191" s="192"/>
      <c r="AM191" s="255" t="str">
        <f>IF(COUNTBLANK(AI191:AL191)=4,"",SUM(AI191:AK191)+IF(Setup!$I$15="No",0,AL191))</f>
        <v/>
      </c>
      <c r="AN191" s="192"/>
      <c r="AO191" s="192"/>
      <c r="AP191" s="192"/>
      <c r="AQ191" s="192"/>
      <c r="AR191" s="255" t="str">
        <f>IF(COUNTBLANK(AN191:AQ191)=4,"",SUM(AN191:AP191)+IF(Setup!$I$15="No",0,AQ191))</f>
        <v/>
      </c>
      <c r="AS191" s="192"/>
      <c r="AT191" s="192"/>
      <c r="AU191" s="192"/>
      <c r="AV191" s="192"/>
      <c r="AW191" s="255" t="str">
        <f>IF(COUNTBLANK(AS191:AV191)=4,"",SUM(AS191:AU191)+IF(Setup!$I$15="No",0,AV191))</f>
        <v/>
      </c>
      <c r="AX191" s="192"/>
      <c r="AY191" s="192"/>
      <c r="AZ191" s="192"/>
      <c r="BA191" s="192"/>
      <c r="BB191" s="255" t="str">
        <f>IF(COUNTBLANK(AX191:BA191)=4,"",SUM(AX191:AZ191)+IF(Setup!$I$15="No",0,BA191))</f>
        <v/>
      </c>
      <c r="BC191" s="259" t="str">
        <f ca="1">IF('Demand background (hide)'!A182=Num_Modalities,"",SUM(Demand!I191))</f>
        <v/>
      </c>
      <c r="BD191" s="259" t="str">
        <f ca="1">IF(AND(A191&lt;=MaxRows,BE191&lt;&gt;"Yes"),'Demand background (hide)'!X182+IF(Setup!$I$15="Yes",'Demand background (hide)'!AJ182,0),"")</f>
        <v/>
      </c>
      <c r="BE191" s="209"/>
    </row>
    <row r="192" spans="1:57" x14ac:dyDescent="0.25">
      <c r="A192" t="str">
        <f t="shared" ca="1" si="8"/>
        <v/>
      </c>
      <c r="B192" s="264" t="str">
        <f t="shared" ca="1" si="9"/>
        <v xml:space="preserve"> </v>
      </c>
      <c r="C192" s="265" t="str">
        <f t="shared" ca="1" si="10"/>
        <v/>
      </c>
      <c r="D192" s="352" t="str">
        <f t="shared" ca="1" si="11"/>
        <v/>
      </c>
      <c r="E192" s="192"/>
      <c r="F192" s="192"/>
      <c r="G192" s="192"/>
      <c r="H192" s="192"/>
      <c r="I192" s="251" t="str">
        <f>IF(COUNTBLANK(E192:H192)=4,"",SUM(E192:G192)+IF(Setup!$I$15="No",0,H192))</f>
        <v/>
      </c>
      <c r="J192" s="192"/>
      <c r="K192" s="192"/>
      <c r="L192" s="192"/>
      <c r="M192" s="192"/>
      <c r="N192" s="255" t="str">
        <f>IF(COUNTBLANK(J192:M192)=4,"",SUM(J192:L192)+IF(Setup!$I$15="No",0,M192))</f>
        <v/>
      </c>
      <c r="O192" s="192"/>
      <c r="P192" s="192"/>
      <c r="Q192" s="192"/>
      <c r="R192" s="192"/>
      <c r="S192" s="255" t="str">
        <f>IF(COUNTBLANK(O192:R192)=4,"",SUM(O192:Q192)+IF(Setup!$I$15="No",0,R192))</f>
        <v/>
      </c>
      <c r="T192" s="192"/>
      <c r="U192" s="192"/>
      <c r="V192" s="192"/>
      <c r="W192" s="192"/>
      <c r="X192" s="255" t="str">
        <f>IF(COUNTBLANK(T192:W192)=4,"",SUM(T192:V192)+IF(Setup!$I$15="No",0,W192))</f>
        <v/>
      </c>
      <c r="Y192" s="192"/>
      <c r="Z192" s="192"/>
      <c r="AA192" s="192"/>
      <c r="AB192" s="192"/>
      <c r="AC192" s="255" t="str">
        <f>IF(COUNTBLANK(Y192:AB192)=4,"",SUM(Y192:AA192)+IF(Setup!$I$15="No",0,AB192))</f>
        <v/>
      </c>
      <c r="AD192" s="192"/>
      <c r="AE192" s="192"/>
      <c r="AF192" s="192"/>
      <c r="AG192" s="192"/>
      <c r="AH192" s="255" t="str">
        <f>IF(COUNTBLANK(AD192:AG192)=4,"",SUM(AD192:AF192)+IF(Setup!$I$15="No",0,AG192))</f>
        <v/>
      </c>
      <c r="AI192" s="192"/>
      <c r="AJ192" s="192"/>
      <c r="AK192" s="192"/>
      <c r="AL192" s="192"/>
      <c r="AM192" s="255" t="str">
        <f>IF(COUNTBLANK(AI192:AL192)=4,"",SUM(AI192:AK192)+IF(Setup!$I$15="No",0,AL192))</f>
        <v/>
      </c>
      <c r="AN192" s="192"/>
      <c r="AO192" s="192"/>
      <c r="AP192" s="192"/>
      <c r="AQ192" s="192"/>
      <c r="AR192" s="255" t="str">
        <f>IF(COUNTBLANK(AN192:AQ192)=4,"",SUM(AN192:AP192)+IF(Setup!$I$15="No",0,AQ192))</f>
        <v/>
      </c>
      <c r="AS192" s="192"/>
      <c r="AT192" s="192"/>
      <c r="AU192" s="192"/>
      <c r="AV192" s="192"/>
      <c r="AW192" s="255" t="str">
        <f>IF(COUNTBLANK(AS192:AV192)=4,"",SUM(AS192:AU192)+IF(Setup!$I$15="No",0,AV192))</f>
        <v/>
      </c>
      <c r="AX192" s="192"/>
      <c r="AY192" s="192"/>
      <c r="AZ192" s="192"/>
      <c r="BA192" s="192"/>
      <c r="BB192" s="255" t="str">
        <f>IF(COUNTBLANK(AX192:BA192)=4,"",SUM(AX192:AZ192)+IF(Setup!$I$15="No",0,BA192))</f>
        <v/>
      </c>
      <c r="BC192" s="259" t="str">
        <f ca="1">IF('Demand background (hide)'!A183=Num_Modalities,"",SUM(Demand!I192))</f>
        <v/>
      </c>
      <c r="BD192" s="259" t="str">
        <f ca="1">IF(AND(A192&lt;=MaxRows,BE192&lt;&gt;"Yes"),'Demand background (hide)'!X183+IF(Setup!$I$15="Yes",'Demand background (hide)'!AJ183,0),"")</f>
        <v/>
      </c>
      <c r="BE192" s="209"/>
    </row>
    <row r="193" spans="1:57" x14ac:dyDescent="0.25">
      <c r="A193" t="str">
        <f t="shared" ca="1" si="8"/>
        <v/>
      </c>
      <c r="B193" s="264" t="str">
        <f t="shared" ca="1" si="9"/>
        <v xml:space="preserve"> </v>
      </c>
      <c r="C193" s="265" t="str">
        <f t="shared" ca="1" si="10"/>
        <v/>
      </c>
      <c r="D193" s="352" t="str">
        <f t="shared" ca="1" si="11"/>
        <v/>
      </c>
      <c r="E193" s="192"/>
      <c r="F193" s="192"/>
      <c r="G193" s="192"/>
      <c r="H193" s="192"/>
      <c r="I193" s="251" t="str">
        <f>IF(COUNTBLANK(E193:H193)=4,"",SUM(E193:G193)+IF(Setup!$I$15="No",0,H193))</f>
        <v/>
      </c>
      <c r="J193" s="192"/>
      <c r="K193" s="192"/>
      <c r="L193" s="192"/>
      <c r="M193" s="192"/>
      <c r="N193" s="255" t="str">
        <f>IF(COUNTBLANK(J193:M193)=4,"",SUM(J193:L193)+IF(Setup!$I$15="No",0,M193))</f>
        <v/>
      </c>
      <c r="O193" s="192"/>
      <c r="P193" s="192"/>
      <c r="Q193" s="192"/>
      <c r="R193" s="192"/>
      <c r="S193" s="255" t="str">
        <f>IF(COUNTBLANK(O193:R193)=4,"",SUM(O193:Q193)+IF(Setup!$I$15="No",0,R193))</f>
        <v/>
      </c>
      <c r="T193" s="192"/>
      <c r="U193" s="192"/>
      <c r="V193" s="192"/>
      <c r="W193" s="192"/>
      <c r="X193" s="255" t="str">
        <f>IF(COUNTBLANK(T193:W193)=4,"",SUM(T193:V193)+IF(Setup!$I$15="No",0,W193))</f>
        <v/>
      </c>
      <c r="Y193" s="192"/>
      <c r="Z193" s="192"/>
      <c r="AA193" s="192"/>
      <c r="AB193" s="192"/>
      <c r="AC193" s="255" t="str">
        <f>IF(COUNTBLANK(Y193:AB193)=4,"",SUM(Y193:AA193)+IF(Setup!$I$15="No",0,AB193))</f>
        <v/>
      </c>
      <c r="AD193" s="192"/>
      <c r="AE193" s="192"/>
      <c r="AF193" s="192"/>
      <c r="AG193" s="192"/>
      <c r="AH193" s="255" t="str">
        <f>IF(COUNTBLANK(AD193:AG193)=4,"",SUM(AD193:AF193)+IF(Setup!$I$15="No",0,AG193))</f>
        <v/>
      </c>
      <c r="AI193" s="192"/>
      <c r="AJ193" s="192"/>
      <c r="AK193" s="192"/>
      <c r="AL193" s="192"/>
      <c r="AM193" s="255" t="str">
        <f>IF(COUNTBLANK(AI193:AL193)=4,"",SUM(AI193:AK193)+IF(Setup!$I$15="No",0,AL193))</f>
        <v/>
      </c>
      <c r="AN193" s="192"/>
      <c r="AO193" s="192"/>
      <c r="AP193" s="192"/>
      <c r="AQ193" s="192"/>
      <c r="AR193" s="255" t="str">
        <f>IF(COUNTBLANK(AN193:AQ193)=4,"",SUM(AN193:AP193)+IF(Setup!$I$15="No",0,AQ193))</f>
        <v/>
      </c>
      <c r="AS193" s="192"/>
      <c r="AT193" s="192"/>
      <c r="AU193" s="192"/>
      <c r="AV193" s="192"/>
      <c r="AW193" s="255" t="str">
        <f>IF(COUNTBLANK(AS193:AV193)=4,"",SUM(AS193:AU193)+IF(Setup!$I$15="No",0,AV193))</f>
        <v/>
      </c>
      <c r="AX193" s="192"/>
      <c r="AY193" s="192"/>
      <c r="AZ193" s="192"/>
      <c r="BA193" s="192"/>
      <c r="BB193" s="255" t="str">
        <f>IF(COUNTBLANK(AX193:BA193)=4,"",SUM(AX193:AZ193)+IF(Setup!$I$15="No",0,BA193))</f>
        <v/>
      </c>
      <c r="BC193" s="259" t="str">
        <f ca="1">IF('Demand background (hide)'!A184=Num_Modalities,"",SUM(Demand!I193))</f>
        <v/>
      </c>
      <c r="BD193" s="259" t="str">
        <f ca="1">IF(AND(A193&lt;=MaxRows,BE193&lt;&gt;"Yes"),'Demand background (hide)'!X184+IF(Setup!$I$15="Yes",'Demand background (hide)'!AJ184,0),"")</f>
        <v/>
      </c>
      <c r="BE193" s="209"/>
    </row>
    <row r="194" spans="1:57" x14ac:dyDescent="0.25">
      <c r="A194" t="str">
        <f t="shared" ca="1" si="8"/>
        <v/>
      </c>
      <c r="B194" s="264" t="str">
        <f t="shared" ca="1" si="9"/>
        <v xml:space="preserve"> </v>
      </c>
      <c r="C194" s="265" t="str">
        <f t="shared" ca="1" si="10"/>
        <v/>
      </c>
      <c r="D194" s="352" t="str">
        <f t="shared" ca="1" si="11"/>
        <v/>
      </c>
      <c r="E194" s="192"/>
      <c r="F194" s="192"/>
      <c r="G194" s="192"/>
      <c r="H194" s="192"/>
      <c r="I194" s="251" t="str">
        <f>IF(COUNTBLANK(E194:H194)=4,"",SUM(E194:G194)+IF(Setup!$I$15="No",0,H194))</f>
        <v/>
      </c>
      <c r="J194" s="192"/>
      <c r="K194" s="192"/>
      <c r="L194" s="192"/>
      <c r="M194" s="192"/>
      <c r="N194" s="255" t="str">
        <f>IF(COUNTBLANK(J194:M194)=4,"",SUM(J194:L194)+IF(Setup!$I$15="No",0,M194))</f>
        <v/>
      </c>
      <c r="O194" s="192"/>
      <c r="P194" s="192"/>
      <c r="Q194" s="192"/>
      <c r="R194" s="192"/>
      <c r="S194" s="255" t="str">
        <f>IF(COUNTBLANK(O194:R194)=4,"",SUM(O194:Q194)+IF(Setup!$I$15="No",0,R194))</f>
        <v/>
      </c>
      <c r="T194" s="192"/>
      <c r="U194" s="192"/>
      <c r="V194" s="192"/>
      <c r="W194" s="192"/>
      <c r="X194" s="255" t="str">
        <f>IF(COUNTBLANK(T194:W194)=4,"",SUM(T194:V194)+IF(Setup!$I$15="No",0,W194))</f>
        <v/>
      </c>
      <c r="Y194" s="192"/>
      <c r="Z194" s="192"/>
      <c r="AA194" s="192"/>
      <c r="AB194" s="192"/>
      <c r="AC194" s="255" t="str">
        <f>IF(COUNTBLANK(Y194:AB194)=4,"",SUM(Y194:AA194)+IF(Setup!$I$15="No",0,AB194))</f>
        <v/>
      </c>
      <c r="AD194" s="192"/>
      <c r="AE194" s="192"/>
      <c r="AF194" s="192"/>
      <c r="AG194" s="192"/>
      <c r="AH194" s="255" t="str">
        <f>IF(COUNTBLANK(AD194:AG194)=4,"",SUM(AD194:AF194)+IF(Setup!$I$15="No",0,AG194))</f>
        <v/>
      </c>
      <c r="AI194" s="192"/>
      <c r="AJ194" s="192"/>
      <c r="AK194" s="192"/>
      <c r="AL194" s="192"/>
      <c r="AM194" s="255" t="str">
        <f>IF(COUNTBLANK(AI194:AL194)=4,"",SUM(AI194:AK194)+IF(Setup!$I$15="No",0,AL194))</f>
        <v/>
      </c>
      <c r="AN194" s="192"/>
      <c r="AO194" s="192"/>
      <c r="AP194" s="192"/>
      <c r="AQ194" s="192"/>
      <c r="AR194" s="255" t="str">
        <f>IF(COUNTBLANK(AN194:AQ194)=4,"",SUM(AN194:AP194)+IF(Setup!$I$15="No",0,AQ194))</f>
        <v/>
      </c>
      <c r="AS194" s="192"/>
      <c r="AT194" s="192"/>
      <c r="AU194" s="192"/>
      <c r="AV194" s="192"/>
      <c r="AW194" s="255" t="str">
        <f>IF(COUNTBLANK(AS194:AV194)=4,"",SUM(AS194:AU194)+IF(Setup!$I$15="No",0,AV194))</f>
        <v/>
      </c>
      <c r="AX194" s="192"/>
      <c r="AY194" s="192"/>
      <c r="AZ194" s="192"/>
      <c r="BA194" s="192"/>
      <c r="BB194" s="255" t="str">
        <f>IF(COUNTBLANK(AX194:BA194)=4,"",SUM(AX194:AZ194)+IF(Setup!$I$15="No",0,BA194))</f>
        <v/>
      </c>
      <c r="BC194" s="259" t="str">
        <f ca="1">IF('Demand background (hide)'!A185=Num_Modalities,"",SUM(Demand!I194))</f>
        <v/>
      </c>
      <c r="BD194" s="259" t="str">
        <f ca="1">IF(AND(A194&lt;=MaxRows,BE194&lt;&gt;"Yes"),'Demand background (hide)'!X185+IF(Setup!$I$15="Yes",'Demand background (hide)'!AJ185,0),"")</f>
        <v/>
      </c>
      <c r="BE194" s="209"/>
    </row>
    <row r="195" spans="1:57" x14ac:dyDescent="0.25">
      <c r="A195" t="str">
        <f t="shared" ca="1" si="8"/>
        <v/>
      </c>
      <c r="B195" s="264" t="str">
        <f t="shared" ca="1" si="9"/>
        <v xml:space="preserve"> </v>
      </c>
      <c r="C195" s="265" t="str">
        <f t="shared" ca="1" si="10"/>
        <v/>
      </c>
      <c r="D195" s="352" t="str">
        <f t="shared" ca="1" si="11"/>
        <v/>
      </c>
      <c r="E195" s="192"/>
      <c r="F195" s="192"/>
      <c r="G195" s="192"/>
      <c r="H195" s="192"/>
      <c r="I195" s="251" t="str">
        <f>IF(COUNTBLANK(E195:H195)=4,"",SUM(E195:G195)+IF(Setup!$I$15="No",0,H195))</f>
        <v/>
      </c>
      <c r="J195" s="192"/>
      <c r="K195" s="192"/>
      <c r="L195" s="192"/>
      <c r="M195" s="192"/>
      <c r="N195" s="255" t="str">
        <f>IF(COUNTBLANK(J195:M195)=4,"",SUM(J195:L195)+IF(Setup!$I$15="No",0,M195))</f>
        <v/>
      </c>
      <c r="O195" s="192"/>
      <c r="P195" s="192"/>
      <c r="Q195" s="192"/>
      <c r="R195" s="192"/>
      <c r="S195" s="255" t="str">
        <f>IF(COUNTBLANK(O195:R195)=4,"",SUM(O195:Q195)+IF(Setup!$I$15="No",0,R195))</f>
        <v/>
      </c>
      <c r="T195" s="192"/>
      <c r="U195" s="192"/>
      <c r="V195" s="192"/>
      <c r="W195" s="192"/>
      <c r="X195" s="255" t="str">
        <f>IF(COUNTBLANK(T195:W195)=4,"",SUM(T195:V195)+IF(Setup!$I$15="No",0,W195))</f>
        <v/>
      </c>
      <c r="Y195" s="192"/>
      <c r="Z195" s="192"/>
      <c r="AA195" s="192"/>
      <c r="AB195" s="192"/>
      <c r="AC195" s="255" t="str">
        <f>IF(COUNTBLANK(Y195:AB195)=4,"",SUM(Y195:AA195)+IF(Setup!$I$15="No",0,AB195))</f>
        <v/>
      </c>
      <c r="AD195" s="192"/>
      <c r="AE195" s="192"/>
      <c r="AF195" s="192"/>
      <c r="AG195" s="192"/>
      <c r="AH195" s="255" t="str">
        <f>IF(COUNTBLANK(AD195:AG195)=4,"",SUM(AD195:AF195)+IF(Setup!$I$15="No",0,AG195))</f>
        <v/>
      </c>
      <c r="AI195" s="192"/>
      <c r="AJ195" s="192"/>
      <c r="AK195" s="192"/>
      <c r="AL195" s="192"/>
      <c r="AM195" s="255" t="str">
        <f>IF(COUNTBLANK(AI195:AL195)=4,"",SUM(AI195:AK195)+IF(Setup!$I$15="No",0,AL195))</f>
        <v/>
      </c>
      <c r="AN195" s="192"/>
      <c r="AO195" s="192"/>
      <c r="AP195" s="192"/>
      <c r="AQ195" s="192"/>
      <c r="AR195" s="255" t="str">
        <f>IF(COUNTBLANK(AN195:AQ195)=4,"",SUM(AN195:AP195)+IF(Setup!$I$15="No",0,AQ195))</f>
        <v/>
      </c>
      <c r="AS195" s="192"/>
      <c r="AT195" s="192"/>
      <c r="AU195" s="192"/>
      <c r="AV195" s="192"/>
      <c r="AW195" s="255" t="str">
        <f>IF(COUNTBLANK(AS195:AV195)=4,"",SUM(AS195:AU195)+IF(Setup!$I$15="No",0,AV195))</f>
        <v/>
      </c>
      <c r="AX195" s="192"/>
      <c r="AY195" s="192"/>
      <c r="AZ195" s="192"/>
      <c r="BA195" s="192"/>
      <c r="BB195" s="255" t="str">
        <f>IF(COUNTBLANK(AX195:BA195)=4,"",SUM(AX195:AZ195)+IF(Setup!$I$15="No",0,BA195))</f>
        <v/>
      </c>
      <c r="BC195" s="259" t="str">
        <f ca="1">IF('Demand background (hide)'!A186=Num_Modalities,"",SUM(Demand!I195))</f>
        <v/>
      </c>
      <c r="BD195" s="259" t="str">
        <f ca="1">IF(AND(A195&lt;=MaxRows,BE195&lt;&gt;"Yes"),'Demand background (hide)'!X186+IF(Setup!$I$15="Yes",'Demand background (hide)'!AJ186,0),"")</f>
        <v/>
      </c>
      <c r="BE195" s="209"/>
    </row>
    <row r="196" spans="1:57" x14ac:dyDescent="0.25">
      <c r="A196" t="str">
        <f t="shared" ca="1" si="8"/>
        <v/>
      </c>
      <c r="B196" s="264" t="str">
        <f t="shared" ca="1" si="9"/>
        <v xml:space="preserve"> </v>
      </c>
      <c r="C196" s="265" t="str">
        <f t="shared" ca="1" si="10"/>
        <v/>
      </c>
      <c r="D196" s="352" t="str">
        <f t="shared" ca="1" si="11"/>
        <v/>
      </c>
      <c r="E196" s="192"/>
      <c r="F196" s="192"/>
      <c r="G196" s="192"/>
      <c r="H196" s="192"/>
      <c r="I196" s="251" t="str">
        <f>IF(COUNTBLANK(E196:H196)=4,"",SUM(E196:G196)+IF(Setup!$I$15="No",0,H196))</f>
        <v/>
      </c>
      <c r="J196" s="192"/>
      <c r="K196" s="192"/>
      <c r="L196" s="192"/>
      <c r="M196" s="192"/>
      <c r="N196" s="255" t="str">
        <f>IF(COUNTBLANK(J196:M196)=4,"",SUM(J196:L196)+IF(Setup!$I$15="No",0,M196))</f>
        <v/>
      </c>
      <c r="O196" s="192"/>
      <c r="P196" s="192"/>
      <c r="Q196" s="192"/>
      <c r="R196" s="192"/>
      <c r="S196" s="255" t="str">
        <f>IF(COUNTBLANK(O196:R196)=4,"",SUM(O196:Q196)+IF(Setup!$I$15="No",0,R196))</f>
        <v/>
      </c>
      <c r="T196" s="192"/>
      <c r="U196" s="192"/>
      <c r="V196" s="192"/>
      <c r="W196" s="192"/>
      <c r="X196" s="255" t="str">
        <f>IF(COUNTBLANK(T196:W196)=4,"",SUM(T196:V196)+IF(Setup!$I$15="No",0,W196))</f>
        <v/>
      </c>
      <c r="Y196" s="192"/>
      <c r="Z196" s="192"/>
      <c r="AA196" s="192"/>
      <c r="AB196" s="192"/>
      <c r="AC196" s="255" t="str">
        <f>IF(COUNTBLANK(Y196:AB196)=4,"",SUM(Y196:AA196)+IF(Setup!$I$15="No",0,AB196))</f>
        <v/>
      </c>
      <c r="AD196" s="192"/>
      <c r="AE196" s="192"/>
      <c r="AF196" s="192"/>
      <c r="AG196" s="192"/>
      <c r="AH196" s="255" t="str">
        <f>IF(COUNTBLANK(AD196:AG196)=4,"",SUM(AD196:AF196)+IF(Setup!$I$15="No",0,AG196))</f>
        <v/>
      </c>
      <c r="AI196" s="192"/>
      <c r="AJ196" s="192"/>
      <c r="AK196" s="192"/>
      <c r="AL196" s="192"/>
      <c r="AM196" s="255" t="str">
        <f>IF(COUNTBLANK(AI196:AL196)=4,"",SUM(AI196:AK196)+IF(Setup!$I$15="No",0,AL196))</f>
        <v/>
      </c>
      <c r="AN196" s="192"/>
      <c r="AO196" s="192"/>
      <c r="AP196" s="192"/>
      <c r="AQ196" s="192"/>
      <c r="AR196" s="255" t="str">
        <f>IF(COUNTBLANK(AN196:AQ196)=4,"",SUM(AN196:AP196)+IF(Setup!$I$15="No",0,AQ196))</f>
        <v/>
      </c>
      <c r="AS196" s="192"/>
      <c r="AT196" s="192"/>
      <c r="AU196" s="192"/>
      <c r="AV196" s="192"/>
      <c r="AW196" s="255" t="str">
        <f>IF(COUNTBLANK(AS196:AV196)=4,"",SUM(AS196:AU196)+IF(Setup!$I$15="No",0,AV196))</f>
        <v/>
      </c>
      <c r="AX196" s="192"/>
      <c r="AY196" s="192"/>
      <c r="AZ196" s="192"/>
      <c r="BA196" s="192"/>
      <c r="BB196" s="255" t="str">
        <f>IF(COUNTBLANK(AX196:BA196)=4,"",SUM(AX196:AZ196)+IF(Setup!$I$15="No",0,BA196))</f>
        <v/>
      </c>
      <c r="BC196" s="259" t="str">
        <f ca="1">IF('Demand background (hide)'!A187=Num_Modalities,"",SUM(Demand!I196))</f>
        <v/>
      </c>
      <c r="BD196" s="259" t="str">
        <f ca="1">IF(AND(A196&lt;=MaxRows,BE196&lt;&gt;"Yes"),'Demand background (hide)'!X187+IF(Setup!$I$15="Yes",'Demand background (hide)'!AJ187,0),"")</f>
        <v/>
      </c>
      <c r="BE196" s="209"/>
    </row>
    <row r="197" spans="1:57" x14ac:dyDescent="0.25">
      <c r="A197" t="str">
        <f t="shared" ca="1" si="8"/>
        <v/>
      </c>
      <c r="B197" s="264" t="str">
        <f t="shared" ca="1" si="9"/>
        <v xml:space="preserve"> </v>
      </c>
      <c r="C197" s="265" t="str">
        <f t="shared" ca="1" si="10"/>
        <v/>
      </c>
      <c r="D197" s="352" t="str">
        <f t="shared" ca="1" si="11"/>
        <v/>
      </c>
      <c r="E197" s="192"/>
      <c r="F197" s="192"/>
      <c r="G197" s="192"/>
      <c r="H197" s="192"/>
      <c r="I197" s="251" t="str">
        <f>IF(COUNTBLANK(E197:H197)=4,"",SUM(E197:G197)+IF(Setup!$I$15="No",0,H197))</f>
        <v/>
      </c>
      <c r="J197" s="192"/>
      <c r="K197" s="192"/>
      <c r="L197" s="192"/>
      <c r="M197" s="192"/>
      <c r="N197" s="255" t="str">
        <f>IF(COUNTBLANK(J197:M197)=4,"",SUM(J197:L197)+IF(Setup!$I$15="No",0,M197))</f>
        <v/>
      </c>
      <c r="O197" s="192"/>
      <c r="P197" s="192"/>
      <c r="Q197" s="192"/>
      <c r="R197" s="192"/>
      <c r="S197" s="255" t="str">
        <f>IF(COUNTBLANK(O197:R197)=4,"",SUM(O197:Q197)+IF(Setup!$I$15="No",0,R197))</f>
        <v/>
      </c>
      <c r="T197" s="192"/>
      <c r="U197" s="192"/>
      <c r="V197" s="192"/>
      <c r="W197" s="192"/>
      <c r="X197" s="255" t="str">
        <f>IF(COUNTBLANK(T197:W197)=4,"",SUM(T197:V197)+IF(Setup!$I$15="No",0,W197))</f>
        <v/>
      </c>
      <c r="Y197" s="192"/>
      <c r="Z197" s="192"/>
      <c r="AA197" s="192"/>
      <c r="AB197" s="192"/>
      <c r="AC197" s="255" t="str">
        <f>IF(COUNTBLANK(Y197:AB197)=4,"",SUM(Y197:AA197)+IF(Setup!$I$15="No",0,AB197))</f>
        <v/>
      </c>
      <c r="AD197" s="192"/>
      <c r="AE197" s="192"/>
      <c r="AF197" s="192"/>
      <c r="AG197" s="192"/>
      <c r="AH197" s="255" t="str">
        <f>IF(COUNTBLANK(AD197:AG197)=4,"",SUM(AD197:AF197)+IF(Setup!$I$15="No",0,AG197))</f>
        <v/>
      </c>
      <c r="AI197" s="192"/>
      <c r="AJ197" s="192"/>
      <c r="AK197" s="192"/>
      <c r="AL197" s="192"/>
      <c r="AM197" s="255" t="str">
        <f>IF(COUNTBLANK(AI197:AL197)=4,"",SUM(AI197:AK197)+IF(Setup!$I$15="No",0,AL197))</f>
        <v/>
      </c>
      <c r="AN197" s="192"/>
      <c r="AO197" s="192"/>
      <c r="AP197" s="192"/>
      <c r="AQ197" s="192"/>
      <c r="AR197" s="255" t="str">
        <f>IF(COUNTBLANK(AN197:AQ197)=4,"",SUM(AN197:AP197)+IF(Setup!$I$15="No",0,AQ197))</f>
        <v/>
      </c>
      <c r="AS197" s="192"/>
      <c r="AT197" s="192"/>
      <c r="AU197" s="192"/>
      <c r="AV197" s="192"/>
      <c r="AW197" s="255" t="str">
        <f>IF(COUNTBLANK(AS197:AV197)=4,"",SUM(AS197:AU197)+IF(Setup!$I$15="No",0,AV197))</f>
        <v/>
      </c>
      <c r="AX197" s="192"/>
      <c r="AY197" s="192"/>
      <c r="AZ197" s="192"/>
      <c r="BA197" s="192"/>
      <c r="BB197" s="255" t="str">
        <f>IF(COUNTBLANK(AX197:BA197)=4,"",SUM(AX197:AZ197)+IF(Setup!$I$15="No",0,BA197))</f>
        <v/>
      </c>
      <c r="BC197" s="259" t="str">
        <f ca="1">IF('Demand background (hide)'!A188=Num_Modalities,"",SUM(Demand!I197))</f>
        <v/>
      </c>
      <c r="BD197" s="259" t="str">
        <f ca="1">IF(AND(A197&lt;=MaxRows,BE197&lt;&gt;"Yes"),'Demand background (hide)'!X188+IF(Setup!$I$15="Yes",'Demand background (hide)'!AJ188,0),"")</f>
        <v/>
      </c>
      <c r="BE197" s="209"/>
    </row>
    <row r="198" spans="1:57" x14ac:dyDescent="0.25">
      <c r="A198" t="str">
        <f t="shared" ca="1" si="8"/>
        <v/>
      </c>
      <c r="B198" s="264" t="str">
        <f t="shared" ca="1" si="9"/>
        <v xml:space="preserve"> </v>
      </c>
      <c r="C198" s="265" t="str">
        <f t="shared" ca="1" si="10"/>
        <v/>
      </c>
      <c r="D198" s="352" t="str">
        <f t="shared" ca="1" si="11"/>
        <v/>
      </c>
      <c r="E198" s="192"/>
      <c r="F198" s="192"/>
      <c r="G198" s="192"/>
      <c r="H198" s="192"/>
      <c r="I198" s="251" t="str">
        <f>IF(COUNTBLANK(E198:H198)=4,"",SUM(E198:G198)+IF(Setup!$I$15="No",0,H198))</f>
        <v/>
      </c>
      <c r="J198" s="192"/>
      <c r="K198" s="192"/>
      <c r="L198" s="192"/>
      <c r="M198" s="192"/>
      <c r="N198" s="255" t="str">
        <f>IF(COUNTBLANK(J198:M198)=4,"",SUM(J198:L198)+IF(Setup!$I$15="No",0,M198))</f>
        <v/>
      </c>
      <c r="O198" s="192"/>
      <c r="P198" s="192"/>
      <c r="Q198" s="192"/>
      <c r="R198" s="192"/>
      <c r="S198" s="255" t="str">
        <f>IF(COUNTBLANK(O198:R198)=4,"",SUM(O198:Q198)+IF(Setup!$I$15="No",0,R198))</f>
        <v/>
      </c>
      <c r="T198" s="192"/>
      <c r="U198" s="192"/>
      <c r="V198" s="192"/>
      <c r="W198" s="192"/>
      <c r="X198" s="255" t="str">
        <f>IF(COUNTBLANK(T198:W198)=4,"",SUM(T198:V198)+IF(Setup!$I$15="No",0,W198))</f>
        <v/>
      </c>
      <c r="Y198" s="192"/>
      <c r="Z198" s="192"/>
      <c r="AA198" s="192"/>
      <c r="AB198" s="192"/>
      <c r="AC198" s="255" t="str">
        <f>IF(COUNTBLANK(Y198:AB198)=4,"",SUM(Y198:AA198)+IF(Setup!$I$15="No",0,AB198))</f>
        <v/>
      </c>
      <c r="AD198" s="192"/>
      <c r="AE198" s="192"/>
      <c r="AF198" s="192"/>
      <c r="AG198" s="192"/>
      <c r="AH198" s="255" t="str">
        <f>IF(COUNTBLANK(AD198:AG198)=4,"",SUM(AD198:AF198)+IF(Setup!$I$15="No",0,AG198))</f>
        <v/>
      </c>
      <c r="AI198" s="192"/>
      <c r="AJ198" s="192"/>
      <c r="AK198" s="192"/>
      <c r="AL198" s="192"/>
      <c r="AM198" s="255" t="str">
        <f>IF(COUNTBLANK(AI198:AL198)=4,"",SUM(AI198:AK198)+IF(Setup!$I$15="No",0,AL198))</f>
        <v/>
      </c>
      <c r="AN198" s="192"/>
      <c r="AO198" s="192"/>
      <c r="AP198" s="192"/>
      <c r="AQ198" s="192"/>
      <c r="AR198" s="255" t="str">
        <f>IF(COUNTBLANK(AN198:AQ198)=4,"",SUM(AN198:AP198)+IF(Setup!$I$15="No",0,AQ198))</f>
        <v/>
      </c>
      <c r="AS198" s="192"/>
      <c r="AT198" s="192"/>
      <c r="AU198" s="192"/>
      <c r="AV198" s="192"/>
      <c r="AW198" s="255" t="str">
        <f>IF(COUNTBLANK(AS198:AV198)=4,"",SUM(AS198:AU198)+IF(Setup!$I$15="No",0,AV198))</f>
        <v/>
      </c>
      <c r="AX198" s="192"/>
      <c r="AY198" s="192"/>
      <c r="AZ198" s="192"/>
      <c r="BA198" s="192"/>
      <c r="BB198" s="255" t="str">
        <f>IF(COUNTBLANK(AX198:BA198)=4,"",SUM(AX198:AZ198)+IF(Setup!$I$15="No",0,BA198))</f>
        <v/>
      </c>
      <c r="BC198" s="259" t="str">
        <f ca="1">IF('Demand background (hide)'!A189=Num_Modalities,"",SUM(Demand!I198))</f>
        <v/>
      </c>
      <c r="BD198" s="259" t="str">
        <f ca="1">IF(AND(A198&lt;=MaxRows,BE198&lt;&gt;"Yes"),'Demand background (hide)'!X189+IF(Setup!$I$15="Yes",'Demand background (hide)'!AJ189,0),"")</f>
        <v/>
      </c>
      <c r="BE198" s="209"/>
    </row>
    <row r="199" spans="1:57" x14ac:dyDescent="0.25">
      <c r="A199" t="str">
        <f t="shared" ca="1" si="8"/>
        <v/>
      </c>
      <c r="B199" s="264" t="str">
        <f t="shared" ca="1" si="9"/>
        <v xml:space="preserve"> </v>
      </c>
      <c r="C199" s="265" t="str">
        <f t="shared" ca="1" si="10"/>
        <v/>
      </c>
      <c r="D199" s="352" t="str">
        <f t="shared" ca="1" si="11"/>
        <v/>
      </c>
      <c r="E199" s="192"/>
      <c r="F199" s="192"/>
      <c r="G199" s="192"/>
      <c r="H199" s="192"/>
      <c r="I199" s="251" t="str">
        <f>IF(COUNTBLANK(E199:H199)=4,"",SUM(E199:G199)+IF(Setup!$I$15="No",0,H199))</f>
        <v/>
      </c>
      <c r="J199" s="192"/>
      <c r="K199" s="192"/>
      <c r="L199" s="192"/>
      <c r="M199" s="192"/>
      <c r="N199" s="255" t="str">
        <f>IF(COUNTBLANK(J199:M199)=4,"",SUM(J199:L199)+IF(Setup!$I$15="No",0,M199))</f>
        <v/>
      </c>
      <c r="O199" s="192"/>
      <c r="P199" s="192"/>
      <c r="Q199" s="192"/>
      <c r="R199" s="192"/>
      <c r="S199" s="255" t="str">
        <f>IF(COUNTBLANK(O199:R199)=4,"",SUM(O199:Q199)+IF(Setup!$I$15="No",0,R199))</f>
        <v/>
      </c>
      <c r="T199" s="192"/>
      <c r="U199" s="192"/>
      <c r="V199" s="192"/>
      <c r="W199" s="192"/>
      <c r="X199" s="255" t="str">
        <f>IF(COUNTBLANK(T199:W199)=4,"",SUM(T199:V199)+IF(Setup!$I$15="No",0,W199))</f>
        <v/>
      </c>
      <c r="Y199" s="192"/>
      <c r="Z199" s="192"/>
      <c r="AA199" s="192"/>
      <c r="AB199" s="192"/>
      <c r="AC199" s="255" t="str">
        <f>IF(COUNTBLANK(Y199:AB199)=4,"",SUM(Y199:AA199)+IF(Setup!$I$15="No",0,AB199))</f>
        <v/>
      </c>
      <c r="AD199" s="192"/>
      <c r="AE199" s="192"/>
      <c r="AF199" s="192"/>
      <c r="AG199" s="192"/>
      <c r="AH199" s="255" t="str">
        <f>IF(COUNTBLANK(AD199:AG199)=4,"",SUM(AD199:AF199)+IF(Setup!$I$15="No",0,AG199))</f>
        <v/>
      </c>
      <c r="AI199" s="192"/>
      <c r="AJ199" s="192"/>
      <c r="AK199" s="192"/>
      <c r="AL199" s="192"/>
      <c r="AM199" s="255" t="str">
        <f>IF(COUNTBLANK(AI199:AL199)=4,"",SUM(AI199:AK199)+IF(Setup!$I$15="No",0,AL199))</f>
        <v/>
      </c>
      <c r="AN199" s="192"/>
      <c r="AO199" s="192"/>
      <c r="AP199" s="192"/>
      <c r="AQ199" s="192"/>
      <c r="AR199" s="255" t="str">
        <f>IF(COUNTBLANK(AN199:AQ199)=4,"",SUM(AN199:AP199)+IF(Setup!$I$15="No",0,AQ199))</f>
        <v/>
      </c>
      <c r="AS199" s="192"/>
      <c r="AT199" s="192"/>
      <c r="AU199" s="192"/>
      <c r="AV199" s="192"/>
      <c r="AW199" s="255" t="str">
        <f>IF(COUNTBLANK(AS199:AV199)=4,"",SUM(AS199:AU199)+IF(Setup!$I$15="No",0,AV199))</f>
        <v/>
      </c>
      <c r="AX199" s="192"/>
      <c r="AY199" s="192"/>
      <c r="AZ199" s="192"/>
      <c r="BA199" s="192"/>
      <c r="BB199" s="255" t="str">
        <f>IF(COUNTBLANK(AX199:BA199)=4,"",SUM(AX199:AZ199)+IF(Setup!$I$15="No",0,BA199))</f>
        <v/>
      </c>
      <c r="BC199" s="259" t="str">
        <f ca="1">IF('Demand background (hide)'!A190=Num_Modalities,"",SUM(Demand!I199))</f>
        <v/>
      </c>
      <c r="BD199" s="259" t="str">
        <f ca="1">IF(AND(A199&lt;=MaxRows,BE199&lt;&gt;"Yes"),'Demand background (hide)'!X190+IF(Setup!$I$15="Yes",'Demand background (hide)'!AJ190,0),"")</f>
        <v/>
      </c>
      <c r="BE199" s="209"/>
    </row>
    <row r="200" spans="1:57" x14ac:dyDescent="0.25">
      <c r="A200" t="str">
        <f t="shared" ca="1" si="8"/>
        <v/>
      </c>
      <c r="B200" s="264" t="str">
        <f t="shared" ca="1" si="9"/>
        <v xml:space="preserve"> </v>
      </c>
      <c r="C200" s="265" t="str">
        <f t="shared" ca="1" si="10"/>
        <v/>
      </c>
      <c r="D200" s="352" t="str">
        <f t="shared" ca="1" si="11"/>
        <v/>
      </c>
      <c r="E200" s="192"/>
      <c r="F200" s="192"/>
      <c r="G200" s="192"/>
      <c r="H200" s="192"/>
      <c r="I200" s="251" t="str">
        <f>IF(COUNTBLANK(E200:H200)=4,"",SUM(E200:G200)+IF(Setup!$I$15="No",0,H200))</f>
        <v/>
      </c>
      <c r="J200" s="192"/>
      <c r="K200" s="192"/>
      <c r="L200" s="192"/>
      <c r="M200" s="192"/>
      <c r="N200" s="255" t="str">
        <f>IF(COUNTBLANK(J200:M200)=4,"",SUM(J200:L200)+IF(Setup!$I$15="No",0,M200))</f>
        <v/>
      </c>
      <c r="O200" s="192"/>
      <c r="P200" s="192"/>
      <c r="Q200" s="192"/>
      <c r="R200" s="192"/>
      <c r="S200" s="255" t="str">
        <f>IF(COUNTBLANK(O200:R200)=4,"",SUM(O200:Q200)+IF(Setup!$I$15="No",0,R200))</f>
        <v/>
      </c>
      <c r="T200" s="192"/>
      <c r="U200" s="192"/>
      <c r="V200" s="192"/>
      <c r="W200" s="192"/>
      <c r="X200" s="255" t="str">
        <f>IF(COUNTBLANK(T200:W200)=4,"",SUM(T200:V200)+IF(Setup!$I$15="No",0,W200))</f>
        <v/>
      </c>
      <c r="Y200" s="192"/>
      <c r="Z200" s="192"/>
      <c r="AA200" s="192"/>
      <c r="AB200" s="192"/>
      <c r="AC200" s="255" t="str">
        <f>IF(COUNTBLANK(Y200:AB200)=4,"",SUM(Y200:AA200)+IF(Setup!$I$15="No",0,AB200))</f>
        <v/>
      </c>
      <c r="AD200" s="192"/>
      <c r="AE200" s="192"/>
      <c r="AF200" s="192"/>
      <c r="AG200" s="192"/>
      <c r="AH200" s="255" t="str">
        <f>IF(COUNTBLANK(AD200:AG200)=4,"",SUM(AD200:AF200)+IF(Setup!$I$15="No",0,AG200))</f>
        <v/>
      </c>
      <c r="AI200" s="192"/>
      <c r="AJ200" s="192"/>
      <c r="AK200" s="192"/>
      <c r="AL200" s="192"/>
      <c r="AM200" s="255" t="str">
        <f>IF(COUNTBLANK(AI200:AL200)=4,"",SUM(AI200:AK200)+IF(Setup!$I$15="No",0,AL200))</f>
        <v/>
      </c>
      <c r="AN200" s="192"/>
      <c r="AO200" s="192"/>
      <c r="AP200" s="192"/>
      <c r="AQ200" s="192"/>
      <c r="AR200" s="255" t="str">
        <f>IF(COUNTBLANK(AN200:AQ200)=4,"",SUM(AN200:AP200)+IF(Setup!$I$15="No",0,AQ200))</f>
        <v/>
      </c>
      <c r="AS200" s="192"/>
      <c r="AT200" s="192"/>
      <c r="AU200" s="192"/>
      <c r="AV200" s="192"/>
      <c r="AW200" s="255" t="str">
        <f>IF(COUNTBLANK(AS200:AV200)=4,"",SUM(AS200:AU200)+IF(Setup!$I$15="No",0,AV200))</f>
        <v/>
      </c>
      <c r="AX200" s="192"/>
      <c r="AY200" s="192"/>
      <c r="AZ200" s="192"/>
      <c r="BA200" s="192"/>
      <c r="BB200" s="255" t="str">
        <f>IF(COUNTBLANK(AX200:BA200)=4,"",SUM(AX200:AZ200)+IF(Setup!$I$15="No",0,BA200))</f>
        <v/>
      </c>
      <c r="BC200" s="259" t="str">
        <f ca="1">IF('Demand background (hide)'!A191=Num_Modalities,"",SUM(Demand!I200))</f>
        <v/>
      </c>
      <c r="BD200" s="259" t="str">
        <f ca="1">IF(AND(A200&lt;=MaxRows,BE200&lt;&gt;"Yes"),'Demand background (hide)'!X191+IF(Setup!$I$15="Yes",'Demand background (hide)'!AJ191,0),"")</f>
        <v/>
      </c>
      <c r="BE200" s="209"/>
    </row>
    <row r="201" spans="1:57" x14ac:dyDescent="0.25">
      <c r="A201" t="str">
        <f t="shared" ca="1" si="8"/>
        <v/>
      </c>
      <c r="B201" s="264" t="str">
        <f t="shared" ca="1" si="9"/>
        <v xml:space="preserve"> </v>
      </c>
      <c r="C201" s="265" t="str">
        <f t="shared" ca="1" si="10"/>
        <v/>
      </c>
      <c r="D201" s="352" t="str">
        <f t="shared" ca="1" si="11"/>
        <v/>
      </c>
      <c r="E201" s="192"/>
      <c r="F201" s="192"/>
      <c r="G201" s="192"/>
      <c r="H201" s="192"/>
      <c r="I201" s="251" t="str">
        <f>IF(COUNTBLANK(E201:H201)=4,"",SUM(E201:G201)+IF(Setup!$I$15="No",0,H201))</f>
        <v/>
      </c>
      <c r="J201" s="192"/>
      <c r="K201" s="192"/>
      <c r="L201" s="192"/>
      <c r="M201" s="192"/>
      <c r="N201" s="255" t="str">
        <f>IF(COUNTBLANK(J201:M201)=4,"",SUM(J201:L201)+IF(Setup!$I$15="No",0,M201))</f>
        <v/>
      </c>
      <c r="O201" s="192"/>
      <c r="P201" s="192"/>
      <c r="Q201" s="192"/>
      <c r="R201" s="192"/>
      <c r="S201" s="255" t="str">
        <f>IF(COUNTBLANK(O201:R201)=4,"",SUM(O201:Q201)+IF(Setup!$I$15="No",0,R201))</f>
        <v/>
      </c>
      <c r="T201" s="192"/>
      <c r="U201" s="192"/>
      <c r="V201" s="192"/>
      <c r="W201" s="192"/>
      <c r="X201" s="255" t="str">
        <f>IF(COUNTBLANK(T201:W201)=4,"",SUM(T201:V201)+IF(Setup!$I$15="No",0,W201))</f>
        <v/>
      </c>
      <c r="Y201" s="192"/>
      <c r="Z201" s="192"/>
      <c r="AA201" s="192"/>
      <c r="AB201" s="192"/>
      <c r="AC201" s="255" t="str">
        <f>IF(COUNTBLANK(Y201:AB201)=4,"",SUM(Y201:AA201)+IF(Setup!$I$15="No",0,AB201))</f>
        <v/>
      </c>
      <c r="AD201" s="192"/>
      <c r="AE201" s="192"/>
      <c r="AF201" s="192"/>
      <c r="AG201" s="192"/>
      <c r="AH201" s="255" t="str">
        <f>IF(COUNTBLANK(AD201:AG201)=4,"",SUM(AD201:AF201)+IF(Setup!$I$15="No",0,AG201))</f>
        <v/>
      </c>
      <c r="AI201" s="192"/>
      <c r="AJ201" s="192"/>
      <c r="AK201" s="192"/>
      <c r="AL201" s="192"/>
      <c r="AM201" s="255" t="str">
        <f>IF(COUNTBLANK(AI201:AL201)=4,"",SUM(AI201:AK201)+IF(Setup!$I$15="No",0,AL201))</f>
        <v/>
      </c>
      <c r="AN201" s="192"/>
      <c r="AO201" s="192"/>
      <c r="AP201" s="192"/>
      <c r="AQ201" s="192"/>
      <c r="AR201" s="255" t="str">
        <f>IF(COUNTBLANK(AN201:AQ201)=4,"",SUM(AN201:AP201)+IF(Setup!$I$15="No",0,AQ201))</f>
        <v/>
      </c>
      <c r="AS201" s="192"/>
      <c r="AT201" s="192"/>
      <c r="AU201" s="192"/>
      <c r="AV201" s="192"/>
      <c r="AW201" s="255" t="str">
        <f>IF(COUNTBLANK(AS201:AV201)=4,"",SUM(AS201:AU201)+IF(Setup!$I$15="No",0,AV201))</f>
        <v/>
      </c>
      <c r="AX201" s="192"/>
      <c r="AY201" s="192"/>
      <c r="AZ201" s="192"/>
      <c r="BA201" s="192"/>
      <c r="BB201" s="255" t="str">
        <f>IF(COUNTBLANK(AX201:BA201)=4,"",SUM(AX201:AZ201)+IF(Setup!$I$15="No",0,BA201))</f>
        <v/>
      </c>
      <c r="BC201" s="259" t="str">
        <f ca="1">IF('Demand background (hide)'!A192=Num_Modalities,"",SUM(Demand!I201))</f>
        <v/>
      </c>
      <c r="BD201" s="259" t="str">
        <f ca="1">IF(AND(A201&lt;=MaxRows,BE201&lt;&gt;"Yes"),'Demand background (hide)'!X192+IF(Setup!$I$15="Yes",'Demand background (hide)'!AJ192,0),"")</f>
        <v/>
      </c>
      <c r="BE201" s="209"/>
    </row>
    <row r="202" spans="1:57" x14ac:dyDescent="0.25">
      <c r="A202" t="str">
        <f t="shared" ca="1" si="8"/>
        <v/>
      </c>
      <c r="B202" s="264" t="str">
        <f t="shared" ca="1" si="9"/>
        <v xml:space="preserve"> </v>
      </c>
      <c r="C202" s="265" t="str">
        <f t="shared" ca="1" si="10"/>
        <v/>
      </c>
      <c r="D202" s="352" t="str">
        <f t="shared" ca="1" si="11"/>
        <v/>
      </c>
      <c r="E202" s="192"/>
      <c r="F202" s="192"/>
      <c r="G202" s="192"/>
      <c r="H202" s="192"/>
      <c r="I202" s="251" t="str">
        <f>IF(COUNTBLANK(E202:H202)=4,"",SUM(E202:G202)+IF(Setup!$I$15="No",0,H202))</f>
        <v/>
      </c>
      <c r="J202" s="192"/>
      <c r="K202" s="192"/>
      <c r="L202" s="192"/>
      <c r="M202" s="192"/>
      <c r="N202" s="255" t="str">
        <f>IF(COUNTBLANK(J202:M202)=4,"",SUM(J202:L202)+IF(Setup!$I$15="No",0,M202))</f>
        <v/>
      </c>
      <c r="O202" s="192"/>
      <c r="P202" s="192"/>
      <c r="Q202" s="192"/>
      <c r="R202" s="192"/>
      <c r="S202" s="255" t="str">
        <f>IF(COUNTBLANK(O202:R202)=4,"",SUM(O202:Q202)+IF(Setup!$I$15="No",0,R202))</f>
        <v/>
      </c>
      <c r="T202" s="192"/>
      <c r="U202" s="192"/>
      <c r="V202" s="192"/>
      <c r="W202" s="192"/>
      <c r="X202" s="255" t="str">
        <f>IF(COUNTBLANK(T202:W202)=4,"",SUM(T202:V202)+IF(Setup!$I$15="No",0,W202))</f>
        <v/>
      </c>
      <c r="Y202" s="192"/>
      <c r="Z202" s="192"/>
      <c r="AA202" s="192"/>
      <c r="AB202" s="192"/>
      <c r="AC202" s="255" t="str">
        <f>IF(COUNTBLANK(Y202:AB202)=4,"",SUM(Y202:AA202)+IF(Setup!$I$15="No",0,AB202))</f>
        <v/>
      </c>
      <c r="AD202" s="192"/>
      <c r="AE202" s="192"/>
      <c r="AF202" s="192"/>
      <c r="AG202" s="192"/>
      <c r="AH202" s="255" t="str">
        <f>IF(COUNTBLANK(AD202:AG202)=4,"",SUM(AD202:AF202)+IF(Setup!$I$15="No",0,AG202))</f>
        <v/>
      </c>
      <c r="AI202" s="192"/>
      <c r="AJ202" s="192"/>
      <c r="AK202" s="192"/>
      <c r="AL202" s="192"/>
      <c r="AM202" s="255" t="str">
        <f>IF(COUNTBLANK(AI202:AL202)=4,"",SUM(AI202:AK202)+IF(Setup!$I$15="No",0,AL202))</f>
        <v/>
      </c>
      <c r="AN202" s="192"/>
      <c r="AO202" s="192"/>
      <c r="AP202" s="192"/>
      <c r="AQ202" s="192"/>
      <c r="AR202" s="255" t="str">
        <f>IF(COUNTBLANK(AN202:AQ202)=4,"",SUM(AN202:AP202)+IF(Setup!$I$15="No",0,AQ202))</f>
        <v/>
      </c>
      <c r="AS202" s="192"/>
      <c r="AT202" s="192"/>
      <c r="AU202" s="192"/>
      <c r="AV202" s="192"/>
      <c r="AW202" s="255" t="str">
        <f>IF(COUNTBLANK(AS202:AV202)=4,"",SUM(AS202:AU202)+IF(Setup!$I$15="No",0,AV202))</f>
        <v/>
      </c>
      <c r="AX202" s="192"/>
      <c r="AY202" s="192"/>
      <c r="AZ202" s="192"/>
      <c r="BA202" s="192"/>
      <c r="BB202" s="255" t="str">
        <f>IF(COUNTBLANK(AX202:BA202)=4,"",SUM(AX202:AZ202)+IF(Setup!$I$15="No",0,BA202))</f>
        <v/>
      </c>
      <c r="BC202" s="259" t="str">
        <f ca="1">IF('Demand background (hide)'!A193=Num_Modalities,"",SUM(Demand!I202))</f>
        <v/>
      </c>
      <c r="BD202" s="259" t="str">
        <f ca="1">IF(AND(A202&lt;=MaxRows,BE202&lt;&gt;"Yes"),'Demand background (hide)'!X193+IF(Setup!$I$15="Yes",'Demand background (hide)'!AJ193,0),"")</f>
        <v/>
      </c>
      <c r="BE202" s="209"/>
    </row>
    <row r="203" spans="1:57" x14ac:dyDescent="0.25">
      <c r="A203" t="str">
        <f t="shared" ca="1" si="8"/>
        <v/>
      </c>
      <c r="B203" s="264" t="str">
        <f t="shared" ca="1" si="9"/>
        <v xml:space="preserve"> </v>
      </c>
      <c r="C203" s="265" t="str">
        <f t="shared" ca="1" si="10"/>
        <v/>
      </c>
      <c r="D203" s="352" t="str">
        <f t="shared" ca="1" si="11"/>
        <v/>
      </c>
      <c r="E203" s="192"/>
      <c r="F203" s="192"/>
      <c r="G203" s="192"/>
      <c r="H203" s="192"/>
      <c r="I203" s="251" t="str">
        <f>IF(COUNTBLANK(E203:H203)=4,"",SUM(E203:G203)+IF(Setup!$I$15="No",0,H203))</f>
        <v/>
      </c>
      <c r="J203" s="192"/>
      <c r="K203" s="192"/>
      <c r="L203" s="192"/>
      <c r="M203" s="192"/>
      <c r="N203" s="255" t="str">
        <f>IF(COUNTBLANK(J203:M203)=4,"",SUM(J203:L203)+IF(Setup!$I$15="No",0,M203))</f>
        <v/>
      </c>
      <c r="O203" s="192"/>
      <c r="P203" s="192"/>
      <c r="Q203" s="192"/>
      <c r="R203" s="192"/>
      <c r="S203" s="255" t="str">
        <f>IF(COUNTBLANK(O203:R203)=4,"",SUM(O203:Q203)+IF(Setup!$I$15="No",0,R203))</f>
        <v/>
      </c>
      <c r="T203" s="192"/>
      <c r="U203" s="192"/>
      <c r="V203" s="192"/>
      <c r="W203" s="192"/>
      <c r="X203" s="255" t="str">
        <f>IF(COUNTBLANK(T203:W203)=4,"",SUM(T203:V203)+IF(Setup!$I$15="No",0,W203))</f>
        <v/>
      </c>
      <c r="Y203" s="192"/>
      <c r="Z203" s="192"/>
      <c r="AA203" s="192"/>
      <c r="AB203" s="192"/>
      <c r="AC203" s="255" t="str">
        <f>IF(COUNTBLANK(Y203:AB203)=4,"",SUM(Y203:AA203)+IF(Setup!$I$15="No",0,AB203))</f>
        <v/>
      </c>
      <c r="AD203" s="192"/>
      <c r="AE203" s="192"/>
      <c r="AF203" s="192"/>
      <c r="AG203" s="192"/>
      <c r="AH203" s="255" t="str">
        <f>IF(COUNTBLANK(AD203:AG203)=4,"",SUM(AD203:AF203)+IF(Setup!$I$15="No",0,AG203))</f>
        <v/>
      </c>
      <c r="AI203" s="192"/>
      <c r="AJ203" s="192"/>
      <c r="AK203" s="192"/>
      <c r="AL203" s="192"/>
      <c r="AM203" s="255" t="str">
        <f>IF(COUNTBLANK(AI203:AL203)=4,"",SUM(AI203:AK203)+IF(Setup!$I$15="No",0,AL203))</f>
        <v/>
      </c>
      <c r="AN203" s="192"/>
      <c r="AO203" s="192"/>
      <c r="AP203" s="192"/>
      <c r="AQ203" s="192"/>
      <c r="AR203" s="255" t="str">
        <f>IF(COUNTBLANK(AN203:AQ203)=4,"",SUM(AN203:AP203)+IF(Setup!$I$15="No",0,AQ203))</f>
        <v/>
      </c>
      <c r="AS203" s="192"/>
      <c r="AT203" s="192"/>
      <c r="AU203" s="192"/>
      <c r="AV203" s="192"/>
      <c r="AW203" s="255" t="str">
        <f>IF(COUNTBLANK(AS203:AV203)=4,"",SUM(AS203:AU203)+IF(Setup!$I$15="No",0,AV203))</f>
        <v/>
      </c>
      <c r="AX203" s="192"/>
      <c r="AY203" s="192"/>
      <c r="AZ203" s="192"/>
      <c r="BA203" s="192"/>
      <c r="BB203" s="255" t="str">
        <f>IF(COUNTBLANK(AX203:BA203)=4,"",SUM(AX203:AZ203)+IF(Setup!$I$15="No",0,BA203))</f>
        <v/>
      </c>
      <c r="BC203" s="259" t="str">
        <f ca="1">IF('Demand background (hide)'!A194=Num_Modalities,"",SUM(Demand!I203))</f>
        <v/>
      </c>
      <c r="BD203" s="259" t="str">
        <f ca="1">IF(AND(A203&lt;=MaxRows,BE203&lt;&gt;"Yes"),'Demand background (hide)'!X194+IF(Setup!$I$15="Yes",'Demand background (hide)'!AJ194,0),"")</f>
        <v/>
      </c>
      <c r="BE203" s="209"/>
    </row>
    <row r="204" spans="1:57" x14ac:dyDescent="0.25">
      <c r="A204" t="str">
        <f t="shared" ca="1" si="8"/>
        <v/>
      </c>
      <c r="B204" s="264" t="str">
        <f t="shared" ca="1" si="9"/>
        <v xml:space="preserve"> </v>
      </c>
      <c r="C204" s="265" t="str">
        <f t="shared" ca="1" si="10"/>
        <v/>
      </c>
      <c r="D204" s="352" t="str">
        <f t="shared" ca="1" si="11"/>
        <v/>
      </c>
      <c r="E204" s="192"/>
      <c r="F204" s="192"/>
      <c r="G204" s="192"/>
      <c r="H204" s="192"/>
      <c r="I204" s="251" t="str">
        <f>IF(COUNTBLANK(E204:H204)=4,"",SUM(E204:G204)+IF(Setup!$I$15="No",0,H204))</f>
        <v/>
      </c>
      <c r="J204" s="192"/>
      <c r="K204" s="192"/>
      <c r="L204" s="192"/>
      <c r="M204" s="192"/>
      <c r="N204" s="255" t="str">
        <f>IF(COUNTBLANK(J204:M204)=4,"",SUM(J204:L204)+IF(Setup!$I$15="No",0,M204))</f>
        <v/>
      </c>
      <c r="O204" s="192"/>
      <c r="P204" s="192"/>
      <c r="Q204" s="192"/>
      <c r="R204" s="192"/>
      <c r="S204" s="255" t="str">
        <f>IF(COUNTBLANK(O204:R204)=4,"",SUM(O204:Q204)+IF(Setup!$I$15="No",0,R204))</f>
        <v/>
      </c>
      <c r="T204" s="192"/>
      <c r="U204" s="192"/>
      <c r="V204" s="192"/>
      <c r="W204" s="192"/>
      <c r="X204" s="255" t="str">
        <f>IF(COUNTBLANK(T204:W204)=4,"",SUM(T204:V204)+IF(Setup!$I$15="No",0,W204))</f>
        <v/>
      </c>
      <c r="Y204" s="192"/>
      <c r="Z204" s="192"/>
      <c r="AA204" s="192"/>
      <c r="AB204" s="192"/>
      <c r="AC204" s="255" t="str">
        <f>IF(COUNTBLANK(Y204:AB204)=4,"",SUM(Y204:AA204)+IF(Setup!$I$15="No",0,AB204))</f>
        <v/>
      </c>
      <c r="AD204" s="192"/>
      <c r="AE204" s="192"/>
      <c r="AF204" s="192"/>
      <c r="AG204" s="192"/>
      <c r="AH204" s="255" t="str">
        <f>IF(COUNTBLANK(AD204:AG204)=4,"",SUM(AD204:AF204)+IF(Setup!$I$15="No",0,AG204))</f>
        <v/>
      </c>
      <c r="AI204" s="192"/>
      <c r="AJ204" s="192"/>
      <c r="AK204" s="192"/>
      <c r="AL204" s="192"/>
      <c r="AM204" s="255" t="str">
        <f>IF(COUNTBLANK(AI204:AL204)=4,"",SUM(AI204:AK204)+IF(Setup!$I$15="No",0,AL204))</f>
        <v/>
      </c>
      <c r="AN204" s="192"/>
      <c r="AO204" s="192"/>
      <c r="AP204" s="192"/>
      <c r="AQ204" s="192"/>
      <c r="AR204" s="255" t="str">
        <f>IF(COUNTBLANK(AN204:AQ204)=4,"",SUM(AN204:AP204)+IF(Setup!$I$15="No",0,AQ204))</f>
        <v/>
      </c>
      <c r="AS204" s="192"/>
      <c r="AT204" s="192"/>
      <c r="AU204" s="192"/>
      <c r="AV204" s="192"/>
      <c r="AW204" s="255" t="str">
        <f>IF(COUNTBLANK(AS204:AV204)=4,"",SUM(AS204:AU204)+IF(Setup!$I$15="No",0,AV204))</f>
        <v/>
      </c>
      <c r="AX204" s="192"/>
      <c r="AY204" s="192"/>
      <c r="AZ204" s="192"/>
      <c r="BA204" s="192"/>
      <c r="BB204" s="255" t="str">
        <f>IF(COUNTBLANK(AX204:BA204)=4,"",SUM(AX204:AZ204)+IF(Setup!$I$15="No",0,BA204))</f>
        <v/>
      </c>
      <c r="BC204" s="259" t="str">
        <f ca="1">IF('Demand background (hide)'!A195=Num_Modalities,"",SUM(Demand!I204))</f>
        <v/>
      </c>
      <c r="BD204" s="259" t="str">
        <f ca="1">IF(AND(A204&lt;=MaxRows,BE204&lt;&gt;"Yes"),'Demand background (hide)'!X195+IF(Setup!$I$15="Yes",'Demand background (hide)'!AJ195,0),"")</f>
        <v/>
      </c>
      <c r="BE204" s="209"/>
    </row>
    <row r="205" spans="1:57" x14ac:dyDescent="0.25">
      <c r="A205" t="str">
        <f t="shared" ref="A205:A268" ca="1" si="12">IF(BC205&lt;&gt;"",ROW(A193),"")</f>
        <v/>
      </c>
      <c r="B205" s="264" t="str">
        <f t="shared" ca="1" si="9"/>
        <v xml:space="preserve"> </v>
      </c>
      <c r="C205" s="265" t="str">
        <f t="shared" ca="1" si="10"/>
        <v/>
      </c>
      <c r="D205" s="352" t="str">
        <f t="shared" ca="1" si="11"/>
        <v/>
      </c>
      <c r="E205" s="192"/>
      <c r="F205" s="192"/>
      <c r="G205" s="192"/>
      <c r="H205" s="192"/>
      <c r="I205" s="251" t="str">
        <f>IF(COUNTBLANK(E205:H205)=4,"",SUM(E205:G205)+IF(Setup!$I$15="No",0,H205))</f>
        <v/>
      </c>
      <c r="J205" s="192"/>
      <c r="K205" s="192"/>
      <c r="L205" s="192"/>
      <c r="M205" s="192"/>
      <c r="N205" s="255" t="str">
        <f>IF(COUNTBLANK(J205:M205)=4,"",SUM(J205:L205)+IF(Setup!$I$15="No",0,M205))</f>
        <v/>
      </c>
      <c r="O205" s="192"/>
      <c r="P205" s="192"/>
      <c r="Q205" s="192"/>
      <c r="R205" s="192"/>
      <c r="S205" s="255" t="str">
        <f>IF(COUNTBLANK(O205:R205)=4,"",SUM(O205:Q205)+IF(Setup!$I$15="No",0,R205))</f>
        <v/>
      </c>
      <c r="T205" s="192"/>
      <c r="U205" s="192"/>
      <c r="V205" s="192"/>
      <c r="W205" s="192"/>
      <c r="X205" s="255" t="str">
        <f>IF(COUNTBLANK(T205:W205)=4,"",SUM(T205:V205)+IF(Setup!$I$15="No",0,W205))</f>
        <v/>
      </c>
      <c r="Y205" s="192"/>
      <c r="Z205" s="192"/>
      <c r="AA205" s="192"/>
      <c r="AB205" s="192"/>
      <c r="AC205" s="255" t="str">
        <f>IF(COUNTBLANK(Y205:AB205)=4,"",SUM(Y205:AA205)+IF(Setup!$I$15="No",0,AB205))</f>
        <v/>
      </c>
      <c r="AD205" s="192"/>
      <c r="AE205" s="192"/>
      <c r="AF205" s="192"/>
      <c r="AG205" s="192"/>
      <c r="AH205" s="255" t="str">
        <f>IF(COUNTBLANK(AD205:AG205)=4,"",SUM(AD205:AF205)+IF(Setup!$I$15="No",0,AG205))</f>
        <v/>
      </c>
      <c r="AI205" s="192"/>
      <c r="AJ205" s="192"/>
      <c r="AK205" s="192"/>
      <c r="AL205" s="192"/>
      <c r="AM205" s="255" t="str">
        <f>IF(COUNTBLANK(AI205:AL205)=4,"",SUM(AI205:AK205)+IF(Setup!$I$15="No",0,AL205))</f>
        <v/>
      </c>
      <c r="AN205" s="192"/>
      <c r="AO205" s="192"/>
      <c r="AP205" s="192"/>
      <c r="AQ205" s="192"/>
      <c r="AR205" s="255" t="str">
        <f>IF(COUNTBLANK(AN205:AQ205)=4,"",SUM(AN205:AP205)+IF(Setup!$I$15="No",0,AQ205))</f>
        <v/>
      </c>
      <c r="AS205" s="192"/>
      <c r="AT205" s="192"/>
      <c r="AU205" s="192"/>
      <c r="AV205" s="192"/>
      <c r="AW205" s="255" t="str">
        <f>IF(COUNTBLANK(AS205:AV205)=4,"",SUM(AS205:AU205)+IF(Setup!$I$15="No",0,AV205))</f>
        <v/>
      </c>
      <c r="AX205" s="192"/>
      <c r="AY205" s="192"/>
      <c r="AZ205" s="192"/>
      <c r="BA205" s="192"/>
      <c r="BB205" s="255" t="str">
        <f>IF(COUNTBLANK(AX205:BA205)=4,"",SUM(AX205:AZ205)+IF(Setup!$I$15="No",0,BA205))</f>
        <v/>
      </c>
      <c r="BC205" s="259" t="str">
        <f ca="1">IF('Demand background (hide)'!A196=Num_Modalities,"",SUM(Demand!I205))</f>
        <v/>
      </c>
      <c r="BD205" s="259" t="str">
        <f ca="1">IF(AND(A205&lt;=MaxRows,BE205&lt;&gt;"Yes"),'Demand background (hide)'!X196+IF(Setup!$I$15="Yes",'Demand background (hide)'!AJ196,0),"")</f>
        <v/>
      </c>
      <c r="BE205" s="209"/>
    </row>
    <row r="206" spans="1:57" x14ac:dyDescent="0.25">
      <c r="A206" t="str">
        <f t="shared" ca="1" si="12"/>
        <v/>
      </c>
      <c r="B206" s="264" t="str">
        <f t="shared" ref="B206:B269" ca="1" si="13">IF(A206&lt;=MaxRows,IF($C$6&lt;&gt;"",IF(YEAR(D206)&lt;&gt;YEAR(D205),YEAR(D206)," "),IF(C206&lt;&gt;1,"",OFFSET(B206,-C205,0,1,1)+1))," ")</f>
        <v xml:space="preserve"> </v>
      </c>
      <c r="C206" s="265" t="str">
        <f t="shared" ref="C206:C269" ca="1" si="14">IF(ROW(A194)&lt;=MaxRows,IF($C$6&lt;&gt;"",WEEKNUM(D206,21),IF(MOD((C205+1),52)&gt;0,MOD((C205+1),52),52)),"")</f>
        <v/>
      </c>
      <c r="D206" s="352" t="str">
        <f t="shared" ref="D206:D269" ca="1" si="15">IF(OR(AND(ROW(A194)&lt;=MaxRows,$C$6&lt;&gt;""),AND(ROW(A206)&lt;=64,LEFT($C$8,1)&lt;&gt;"H")),D205+7,"")</f>
        <v/>
      </c>
      <c r="E206" s="192"/>
      <c r="F206" s="192"/>
      <c r="G206" s="192"/>
      <c r="H206" s="192"/>
      <c r="I206" s="251" t="str">
        <f>IF(COUNTBLANK(E206:H206)=4,"",SUM(E206:G206)+IF(Setup!$I$15="No",0,H206))</f>
        <v/>
      </c>
      <c r="J206" s="192"/>
      <c r="K206" s="192"/>
      <c r="L206" s="192"/>
      <c r="M206" s="192"/>
      <c r="N206" s="255" t="str">
        <f>IF(COUNTBLANK(J206:M206)=4,"",SUM(J206:L206)+IF(Setup!$I$15="No",0,M206))</f>
        <v/>
      </c>
      <c r="O206" s="192"/>
      <c r="P206" s="192"/>
      <c r="Q206" s="192"/>
      <c r="R206" s="192"/>
      <c r="S206" s="255" t="str">
        <f>IF(COUNTBLANK(O206:R206)=4,"",SUM(O206:Q206)+IF(Setup!$I$15="No",0,R206))</f>
        <v/>
      </c>
      <c r="T206" s="192"/>
      <c r="U206" s="192"/>
      <c r="V206" s="192"/>
      <c r="W206" s="192"/>
      <c r="X206" s="255" t="str">
        <f>IF(COUNTBLANK(T206:W206)=4,"",SUM(T206:V206)+IF(Setup!$I$15="No",0,W206))</f>
        <v/>
      </c>
      <c r="Y206" s="192"/>
      <c r="Z206" s="192"/>
      <c r="AA206" s="192"/>
      <c r="AB206" s="192"/>
      <c r="AC206" s="255" t="str">
        <f>IF(COUNTBLANK(Y206:AB206)=4,"",SUM(Y206:AA206)+IF(Setup!$I$15="No",0,AB206))</f>
        <v/>
      </c>
      <c r="AD206" s="192"/>
      <c r="AE206" s="192"/>
      <c r="AF206" s="192"/>
      <c r="AG206" s="192"/>
      <c r="AH206" s="255" t="str">
        <f>IF(COUNTBLANK(AD206:AG206)=4,"",SUM(AD206:AF206)+IF(Setup!$I$15="No",0,AG206))</f>
        <v/>
      </c>
      <c r="AI206" s="192"/>
      <c r="AJ206" s="192"/>
      <c r="AK206" s="192"/>
      <c r="AL206" s="192"/>
      <c r="AM206" s="255" t="str">
        <f>IF(COUNTBLANK(AI206:AL206)=4,"",SUM(AI206:AK206)+IF(Setup!$I$15="No",0,AL206))</f>
        <v/>
      </c>
      <c r="AN206" s="192"/>
      <c r="AO206" s="192"/>
      <c r="AP206" s="192"/>
      <c r="AQ206" s="192"/>
      <c r="AR206" s="255" t="str">
        <f>IF(COUNTBLANK(AN206:AQ206)=4,"",SUM(AN206:AP206)+IF(Setup!$I$15="No",0,AQ206))</f>
        <v/>
      </c>
      <c r="AS206" s="192"/>
      <c r="AT206" s="192"/>
      <c r="AU206" s="192"/>
      <c r="AV206" s="192"/>
      <c r="AW206" s="255" t="str">
        <f>IF(COUNTBLANK(AS206:AV206)=4,"",SUM(AS206:AU206)+IF(Setup!$I$15="No",0,AV206))</f>
        <v/>
      </c>
      <c r="AX206" s="192"/>
      <c r="AY206" s="192"/>
      <c r="AZ206" s="192"/>
      <c r="BA206" s="192"/>
      <c r="BB206" s="255" t="str">
        <f>IF(COUNTBLANK(AX206:BA206)=4,"",SUM(AX206:AZ206)+IF(Setup!$I$15="No",0,BA206))</f>
        <v/>
      </c>
      <c r="BC206" s="259" t="str">
        <f ca="1">IF('Demand background (hide)'!A197=Num_Modalities,"",SUM(Demand!I206))</f>
        <v/>
      </c>
      <c r="BD206" s="259" t="str">
        <f ca="1">IF(AND(A206&lt;=MaxRows,BE206&lt;&gt;"Yes"),'Demand background (hide)'!X197+IF(Setup!$I$15="Yes",'Demand background (hide)'!AJ197,0),"")</f>
        <v/>
      </c>
      <c r="BE206" s="209"/>
    </row>
    <row r="207" spans="1:57" x14ac:dyDescent="0.25">
      <c r="A207" t="str">
        <f t="shared" ca="1" si="12"/>
        <v/>
      </c>
      <c r="B207" s="264" t="str">
        <f t="shared" ca="1" si="13"/>
        <v xml:space="preserve"> </v>
      </c>
      <c r="C207" s="265" t="str">
        <f t="shared" ca="1" si="14"/>
        <v/>
      </c>
      <c r="D207" s="352" t="str">
        <f t="shared" ca="1" si="15"/>
        <v/>
      </c>
      <c r="E207" s="192"/>
      <c r="F207" s="192"/>
      <c r="G207" s="192"/>
      <c r="H207" s="192"/>
      <c r="I207" s="251" t="str">
        <f>IF(COUNTBLANK(E207:H207)=4,"",SUM(E207:G207)+IF(Setup!$I$15="No",0,H207))</f>
        <v/>
      </c>
      <c r="J207" s="192"/>
      <c r="K207" s="192"/>
      <c r="L207" s="192"/>
      <c r="M207" s="192"/>
      <c r="N207" s="255" t="str">
        <f>IF(COUNTBLANK(J207:M207)=4,"",SUM(J207:L207)+IF(Setup!$I$15="No",0,M207))</f>
        <v/>
      </c>
      <c r="O207" s="192"/>
      <c r="P207" s="192"/>
      <c r="Q207" s="192"/>
      <c r="R207" s="192"/>
      <c r="S207" s="255" t="str">
        <f>IF(COUNTBLANK(O207:R207)=4,"",SUM(O207:Q207)+IF(Setup!$I$15="No",0,R207))</f>
        <v/>
      </c>
      <c r="T207" s="192"/>
      <c r="U207" s="192"/>
      <c r="V207" s="192"/>
      <c r="W207" s="192"/>
      <c r="X207" s="255" t="str">
        <f>IF(COUNTBLANK(T207:W207)=4,"",SUM(T207:V207)+IF(Setup!$I$15="No",0,W207))</f>
        <v/>
      </c>
      <c r="Y207" s="192"/>
      <c r="Z207" s="192"/>
      <c r="AA207" s="192"/>
      <c r="AB207" s="192"/>
      <c r="AC207" s="255" t="str">
        <f>IF(COUNTBLANK(Y207:AB207)=4,"",SUM(Y207:AA207)+IF(Setup!$I$15="No",0,AB207))</f>
        <v/>
      </c>
      <c r="AD207" s="192"/>
      <c r="AE207" s="192"/>
      <c r="AF207" s="192"/>
      <c r="AG207" s="192"/>
      <c r="AH207" s="255" t="str">
        <f>IF(COUNTBLANK(AD207:AG207)=4,"",SUM(AD207:AF207)+IF(Setup!$I$15="No",0,AG207))</f>
        <v/>
      </c>
      <c r="AI207" s="192"/>
      <c r="AJ207" s="192"/>
      <c r="AK207" s="192"/>
      <c r="AL207" s="192"/>
      <c r="AM207" s="255" t="str">
        <f>IF(COUNTBLANK(AI207:AL207)=4,"",SUM(AI207:AK207)+IF(Setup!$I$15="No",0,AL207))</f>
        <v/>
      </c>
      <c r="AN207" s="192"/>
      <c r="AO207" s="192"/>
      <c r="AP207" s="192"/>
      <c r="AQ207" s="192"/>
      <c r="AR207" s="255" t="str">
        <f>IF(COUNTBLANK(AN207:AQ207)=4,"",SUM(AN207:AP207)+IF(Setup!$I$15="No",0,AQ207))</f>
        <v/>
      </c>
      <c r="AS207" s="192"/>
      <c r="AT207" s="192"/>
      <c r="AU207" s="192"/>
      <c r="AV207" s="192"/>
      <c r="AW207" s="255" t="str">
        <f>IF(COUNTBLANK(AS207:AV207)=4,"",SUM(AS207:AU207)+IF(Setup!$I$15="No",0,AV207))</f>
        <v/>
      </c>
      <c r="AX207" s="192"/>
      <c r="AY207" s="192"/>
      <c r="AZ207" s="192"/>
      <c r="BA207" s="192"/>
      <c r="BB207" s="255" t="str">
        <f>IF(COUNTBLANK(AX207:BA207)=4,"",SUM(AX207:AZ207)+IF(Setup!$I$15="No",0,BA207))</f>
        <v/>
      </c>
      <c r="BC207" s="259" t="str">
        <f ca="1">IF('Demand background (hide)'!A198=Num_Modalities,"",SUM(Demand!I207))</f>
        <v/>
      </c>
      <c r="BD207" s="259" t="str">
        <f ca="1">IF(AND(A207&lt;=MaxRows,BE207&lt;&gt;"Yes"),'Demand background (hide)'!X198+IF(Setup!$I$15="Yes",'Demand background (hide)'!AJ198,0),"")</f>
        <v/>
      </c>
      <c r="BE207" s="209"/>
    </row>
    <row r="208" spans="1:57" x14ac:dyDescent="0.25">
      <c r="A208" t="str">
        <f t="shared" ca="1" si="12"/>
        <v/>
      </c>
      <c r="B208" s="264" t="str">
        <f t="shared" ca="1" si="13"/>
        <v xml:space="preserve"> </v>
      </c>
      <c r="C208" s="265" t="str">
        <f t="shared" ca="1" si="14"/>
        <v/>
      </c>
      <c r="D208" s="352" t="str">
        <f t="shared" ca="1" si="15"/>
        <v/>
      </c>
      <c r="E208" s="192"/>
      <c r="F208" s="192"/>
      <c r="G208" s="192"/>
      <c r="H208" s="192"/>
      <c r="I208" s="251" t="str">
        <f>IF(COUNTBLANK(E208:H208)=4,"",SUM(E208:G208)+IF(Setup!$I$15="No",0,H208))</f>
        <v/>
      </c>
      <c r="J208" s="192"/>
      <c r="K208" s="192"/>
      <c r="L208" s="192"/>
      <c r="M208" s="192"/>
      <c r="N208" s="255" t="str">
        <f>IF(COUNTBLANK(J208:M208)=4,"",SUM(J208:L208)+IF(Setup!$I$15="No",0,M208))</f>
        <v/>
      </c>
      <c r="O208" s="192"/>
      <c r="P208" s="192"/>
      <c r="Q208" s="192"/>
      <c r="R208" s="192"/>
      <c r="S208" s="255" t="str">
        <f>IF(COUNTBLANK(O208:R208)=4,"",SUM(O208:Q208)+IF(Setup!$I$15="No",0,R208))</f>
        <v/>
      </c>
      <c r="T208" s="192"/>
      <c r="U208" s="192"/>
      <c r="V208" s="192"/>
      <c r="W208" s="192"/>
      <c r="X208" s="255" t="str">
        <f>IF(COUNTBLANK(T208:W208)=4,"",SUM(T208:V208)+IF(Setup!$I$15="No",0,W208))</f>
        <v/>
      </c>
      <c r="Y208" s="192"/>
      <c r="Z208" s="192"/>
      <c r="AA208" s="192"/>
      <c r="AB208" s="192"/>
      <c r="AC208" s="255" t="str">
        <f>IF(COUNTBLANK(Y208:AB208)=4,"",SUM(Y208:AA208)+IF(Setup!$I$15="No",0,AB208))</f>
        <v/>
      </c>
      <c r="AD208" s="192"/>
      <c r="AE208" s="192"/>
      <c r="AF208" s="192"/>
      <c r="AG208" s="192"/>
      <c r="AH208" s="255" t="str">
        <f>IF(COUNTBLANK(AD208:AG208)=4,"",SUM(AD208:AF208)+IF(Setup!$I$15="No",0,AG208))</f>
        <v/>
      </c>
      <c r="AI208" s="192"/>
      <c r="AJ208" s="192"/>
      <c r="AK208" s="192"/>
      <c r="AL208" s="192"/>
      <c r="AM208" s="255" t="str">
        <f>IF(COUNTBLANK(AI208:AL208)=4,"",SUM(AI208:AK208)+IF(Setup!$I$15="No",0,AL208))</f>
        <v/>
      </c>
      <c r="AN208" s="192"/>
      <c r="AO208" s="192"/>
      <c r="AP208" s="192"/>
      <c r="AQ208" s="192"/>
      <c r="AR208" s="255" t="str">
        <f>IF(COUNTBLANK(AN208:AQ208)=4,"",SUM(AN208:AP208)+IF(Setup!$I$15="No",0,AQ208))</f>
        <v/>
      </c>
      <c r="AS208" s="192"/>
      <c r="AT208" s="192"/>
      <c r="AU208" s="192"/>
      <c r="AV208" s="192"/>
      <c r="AW208" s="255" t="str">
        <f>IF(COUNTBLANK(AS208:AV208)=4,"",SUM(AS208:AU208)+IF(Setup!$I$15="No",0,AV208))</f>
        <v/>
      </c>
      <c r="AX208" s="192"/>
      <c r="AY208" s="192"/>
      <c r="AZ208" s="192"/>
      <c r="BA208" s="192"/>
      <c r="BB208" s="255" t="str">
        <f>IF(COUNTBLANK(AX208:BA208)=4,"",SUM(AX208:AZ208)+IF(Setup!$I$15="No",0,BA208))</f>
        <v/>
      </c>
      <c r="BC208" s="259" t="str">
        <f ca="1">IF('Demand background (hide)'!A199=Num_Modalities,"",SUM(Demand!I208))</f>
        <v/>
      </c>
      <c r="BD208" s="259" t="str">
        <f ca="1">IF(AND(A208&lt;=MaxRows,BE208&lt;&gt;"Yes"),'Demand background (hide)'!X199+IF(Setup!$I$15="Yes",'Demand background (hide)'!AJ199,0),"")</f>
        <v/>
      </c>
      <c r="BE208" s="209"/>
    </row>
    <row r="209" spans="1:57" x14ac:dyDescent="0.25">
      <c r="A209" t="str">
        <f t="shared" ca="1" si="12"/>
        <v/>
      </c>
      <c r="B209" s="264" t="str">
        <f t="shared" ca="1" si="13"/>
        <v xml:space="preserve"> </v>
      </c>
      <c r="C209" s="265" t="str">
        <f t="shared" ca="1" si="14"/>
        <v/>
      </c>
      <c r="D209" s="352" t="str">
        <f t="shared" ca="1" si="15"/>
        <v/>
      </c>
      <c r="E209" s="192"/>
      <c r="F209" s="192"/>
      <c r="G209" s="192"/>
      <c r="H209" s="192"/>
      <c r="I209" s="251" t="str">
        <f>IF(COUNTBLANK(E209:H209)=4,"",SUM(E209:G209)+IF(Setup!$I$15="No",0,H209))</f>
        <v/>
      </c>
      <c r="J209" s="192"/>
      <c r="K209" s="192"/>
      <c r="L209" s="192"/>
      <c r="M209" s="192"/>
      <c r="N209" s="255" t="str">
        <f>IF(COUNTBLANK(J209:M209)=4,"",SUM(J209:L209)+IF(Setup!$I$15="No",0,M209))</f>
        <v/>
      </c>
      <c r="O209" s="192"/>
      <c r="P209" s="192"/>
      <c r="Q209" s="192"/>
      <c r="R209" s="192"/>
      <c r="S209" s="255" t="str">
        <f>IF(COUNTBLANK(O209:R209)=4,"",SUM(O209:Q209)+IF(Setup!$I$15="No",0,R209))</f>
        <v/>
      </c>
      <c r="T209" s="192"/>
      <c r="U209" s="192"/>
      <c r="V209" s="192"/>
      <c r="W209" s="192"/>
      <c r="X209" s="255" t="str">
        <f>IF(COUNTBLANK(T209:W209)=4,"",SUM(T209:V209)+IF(Setup!$I$15="No",0,W209))</f>
        <v/>
      </c>
      <c r="Y209" s="192"/>
      <c r="Z209" s="192"/>
      <c r="AA209" s="192"/>
      <c r="AB209" s="192"/>
      <c r="AC209" s="255" t="str">
        <f>IF(COUNTBLANK(Y209:AB209)=4,"",SUM(Y209:AA209)+IF(Setup!$I$15="No",0,AB209))</f>
        <v/>
      </c>
      <c r="AD209" s="192"/>
      <c r="AE209" s="192"/>
      <c r="AF209" s="192"/>
      <c r="AG209" s="192"/>
      <c r="AH209" s="255" t="str">
        <f>IF(COUNTBLANK(AD209:AG209)=4,"",SUM(AD209:AF209)+IF(Setup!$I$15="No",0,AG209))</f>
        <v/>
      </c>
      <c r="AI209" s="192"/>
      <c r="AJ209" s="192"/>
      <c r="AK209" s="192"/>
      <c r="AL209" s="192"/>
      <c r="AM209" s="255" t="str">
        <f>IF(COUNTBLANK(AI209:AL209)=4,"",SUM(AI209:AK209)+IF(Setup!$I$15="No",0,AL209))</f>
        <v/>
      </c>
      <c r="AN209" s="192"/>
      <c r="AO209" s="192"/>
      <c r="AP209" s="192"/>
      <c r="AQ209" s="192"/>
      <c r="AR209" s="255" t="str">
        <f>IF(COUNTBLANK(AN209:AQ209)=4,"",SUM(AN209:AP209)+IF(Setup!$I$15="No",0,AQ209))</f>
        <v/>
      </c>
      <c r="AS209" s="192"/>
      <c r="AT209" s="192"/>
      <c r="AU209" s="192"/>
      <c r="AV209" s="192"/>
      <c r="AW209" s="255" t="str">
        <f>IF(COUNTBLANK(AS209:AV209)=4,"",SUM(AS209:AU209)+IF(Setup!$I$15="No",0,AV209))</f>
        <v/>
      </c>
      <c r="AX209" s="192"/>
      <c r="AY209" s="192"/>
      <c r="AZ209" s="192"/>
      <c r="BA209" s="192"/>
      <c r="BB209" s="255" t="str">
        <f>IF(COUNTBLANK(AX209:BA209)=4,"",SUM(AX209:AZ209)+IF(Setup!$I$15="No",0,BA209))</f>
        <v/>
      </c>
      <c r="BC209" s="259" t="str">
        <f ca="1">IF('Demand background (hide)'!A200=Num_Modalities,"",SUM(Demand!I209))</f>
        <v/>
      </c>
      <c r="BD209" s="259" t="str">
        <f ca="1">IF(AND(A209&lt;=MaxRows,BE209&lt;&gt;"Yes"),'Demand background (hide)'!X200+IF(Setup!$I$15="Yes",'Demand background (hide)'!AJ200,0),"")</f>
        <v/>
      </c>
      <c r="BE209" s="209"/>
    </row>
    <row r="210" spans="1:57" x14ac:dyDescent="0.25">
      <c r="A210" t="str">
        <f t="shared" ca="1" si="12"/>
        <v/>
      </c>
      <c r="B210" s="264" t="str">
        <f t="shared" ca="1" si="13"/>
        <v xml:space="preserve"> </v>
      </c>
      <c r="C210" s="265" t="str">
        <f t="shared" ca="1" si="14"/>
        <v/>
      </c>
      <c r="D210" s="352" t="str">
        <f t="shared" ca="1" si="15"/>
        <v/>
      </c>
      <c r="E210" s="192"/>
      <c r="F210" s="192"/>
      <c r="G210" s="192"/>
      <c r="H210" s="192"/>
      <c r="I210" s="251" t="str">
        <f>IF(COUNTBLANK(E210:H210)=4,"",SUM(E210:G210)+IF(Setup!$I$15="No",0,H210))</f>
        <v/>
      </c>
      <c r="J210" s="192"/>
      <c r="K210" s="192"/>
      <c r="L210" s="192"/>
      <c r="M210" s="192"/>
      <c r="N210" s="255" t="str">
        <f>IF(COUNTBLANK(J210:M210)=4,"",SUM(J210:L210)+IF(Setup!$I$15="No",0,M210))</f>
        <v/>
      </c>
      <c r="O210" s="192"/>
      <c r="P210" s="192"/>
      <c r="Q210" s="192"/>
      <c r="R210" s="192"/>
      <c r="S210" s="255" t="str">
        <f>IF(COUNTBLANK(O210:R210)=4,"",SUM(O210:Q210)+IF(Setup!$I$15="No",0,R210))</f>
        <v/>
      </c>
      <c r="T210" s="192"/>
      <c r="U210" s="192"/>
      <c r="V210" s="192"/>
      <c r="W210" s="192"/>
      <c r="X210" s="255" t="str">
        <f>IF(COUNTBLANK(T210:W210)=4,"",SUM(T210:V210)+IF(Setup!$I$15="No",0,W210))</f>
        <v/>
      </c>
      <c r="Y210" s="192"/>
      <c r="Z210" s="192"/>
      <c r="AA210" s="192"/>
      <c r="AB210" s="192"/>
      <c r="AC210" s="255" t="str">
        <f>IF(COUNTBLANK(Y210:AB210)=4,"",SUM(Y210:AA210)+IF(Setup!$I$15="No",0,AB210))</f>
        <v/>
      </c>
      <c r="AD210" s="192"/>
      <c r="AE210" s="192"/>
      <c r="AF210" s="192"/>
      <c r="AG210" s="192"/>
      <c r="AH210" s="255" t="str">
        <f>IF(COUNTBLANK(AD210:AG210)=4,"",SUM(AD210:AF210)+IF(Setup!$I$15="No",0,AG210))</f>
        <v/>
      </c>
      <c r="AI210" s="192"/>
      <c r="AJ210" s="192"/>
      <c r="AK210" s="192"/>
      <c r="AL210" s="192"/>
      <c r="AM210" s="255" t="str">
        <f>IF(COUNTBLANK(AI210:AL210)=4,"",SUM(AI210:AK210)+IF(Setup!$I$15="No",0,AL210))</f>
        <v/>
      </c>
      <c r="AN210" s="192"/>
      <c r="AO210" s="192"/>
      <c r="AP210" s="192"/>
      <c r="AQ210" s="192"/>
      <c r="AR210" s="255" t="str">
        <f>IF(COUNTBLANK(AN210:AQ210)=4,"",SUM(AN210:AP210)+IF(Setup!$I$15="No",0,AQ210))</f>
        <v/>
      </c>
      <c r="AS210" s="192"/>
      <c r="AT210" s="192"/>
      <c r="AU210" s="192"/>
      <c r="AV210" s="192"/>
      <c r="AW210" s="255" t="str">
        <f>IF(COUNTBLANK(AS210:AV210)=4,"",SUM(AS210:AU210)+IF(Setup!$I$15="No",0,AV210))</f>
        <v/>
      </c>
      <c r="AX210" s="192"/>
      <c r="AY210" s="192"/>
      <c r="AZ210" s="192"/>
      <c r="BA210" s="192"/>
      <c r="BB210" s="255" t="str">
        <f>IF(COUNTBLANK(AX210:BA210)=4,"",SUM(AX210:AZ210)+IF(Setup!$I$15="No",0,BA210))</f>
        <v/>
      </c>
      <c r="BC210" s="259" t="str">
        <f ca="1">IF('Demand background (hide)'!A201=Num_Modalities,"",SUM(Demand!I210))</f>
        <v/>
      </c>
      <c r="BD210" s="259" t="str">
        <f ca="1">IF(AND(A210&lt;=MaxRows,BE210&lt;&gt;"Yes"),'Demand background (hide)'!X201+IF(Setup!$I$15="Yes",'Demand background (hide)'!AJ201,0),"")</f>
        <v/>
      </c>
      <c r="BE210" s="209"/>
    </row>
    <row r="211" spans="1:57" x14ac:dyDescent="0.25">
      <c r="A211" t="str">
        <f t="shared" ca="1" si="12"/>
        <v/>
      </c>
      <c r="B211" s="264" t="str">
        <f t="shared" ca="1" si="13"/>
        <v xml:space="preserve"> </v>
      </c>
      <c r="C211" s="265" t="str">
        <f t="shared" ca="1" si="14"/>
        <v/>
      </c>
      <c r="D211" s="352" t="str">
        <f t="shared" ca="1" si="15"/>
        <v/>
      </c>
      <c r="E211" s="192"/>
      <c r="F211" s="192"/>
      <c r="G211" s="192"/>
      <c r="H211" s="192"/>
      <c r="I211" s="251" t="str">
        <f>IF(COUNTBLANK(E211:H211)=4,"",SUM(E211:G211)+IF(Setup!$I$15="No",0,H211))</f>
        <v/>
      </c>
      <c r="J211" s="192"/>
      <c r="K211" s="192"/>
      <c r="L211" s="192"/>
      <c r="M211" s="192"/>
      <c r="N211" s="255" t="str">
        <f>IF(COUNTBLANK(J211:M211)=4,"",SUM(J211:L211)+IF(Setup!$I$15="No",0,M211))</f>
        <v/>
      </c>
      <c r="O211" s="192"/>
      <c r="P211" s="192"/>
      <c r="Q211" s="192"/>
      <c r="R211" s="192"/>
      <c r="S211" s="255" t="str">
        <f>IF(COUNTBLANK(O211:R211)=4,"",SUM(O211:Q211)+IF(Setup!$I$15="No",0,R211))</f>
        <v/>
      </c>
      <c r="T211" s="192"/>
      <c r="U211" s="192"/>
      <c r="V211" s="192"/>
      <c r="W211" s="192"/>
      <c r="X211" s="255" t="str">
        <f>IF(COUNTBLANK(T211:W211)=4,"",SUM(T211:V211)+IF(Setup!$I$15="No",0,W211))</f>
        <v/>
      </c>
      <c r="Y211" s="192"/>
      <c r="Z211" s="192"/>
      <c r="AA211" s="192"/>
      <c r="AB211" s="192"/>
      <c r="AC211" s="255" t="str">
        <f>IF(COUNTBLANK(Y211:AB211)=4,"",SUM(Y211:AA211)+IF(Setup!$I$15="No",0,AB211))</f>
        <v/>
      </c>
      <c r="AD211" s="192"/>
      <c r="AE211" s="192"/>
      <c r="AF211" s="192"/>
      <c r="AG211" s="192"/>
      <c r="AH211" s="255" t="str">
        <f>IF(COUNTBLANK(AD211:AG211)=4,"",SUM(AD211:AF211)+IF(Setup!$I$15="No",0,AG211))</f>
        <v/>
      </c>
      <c r="AI211" s="192"/>
      <c r="AJ211" s="192"/>
      <c r="AK211" s="192"/>
      <c r="AL211" s="192"/>
      <c r="AM211" s="255" t="str">
        <f>IF(COUNTBLANK(AI211:AL211)=4,"",SUM(AI211:AK211)+IF(Setup!$I$15="No",0,AL211))</f>
        <v/>
      </c>
      <c r="AN211" s="192"/>
      <c r="AO211" s="192"/>
      <c r="AP211" s="192"/>
      <c r="AQ211" s="192"/>
      <c r="AR211" s="255" t="str">
        <f>IF(COUNTBLANK(AN211:AQ211)=4,"",SUM(AN211:AP211)+IF(Setup!$I$15="No",0,AQ211))</f>
        <v/>
      </c>
      <c r="AS211" s="192"/>
      <c r="AT211" s="192"/>
      <c r="AU211" s="192"/>
      <c r="AV211" s="192"/>
      <c r="AW211" s="255" t="str">
        <f>IF(COUNTBLANK(AS211:AV211)=4,"",SUM(AS211:AU211)+IF(Setup!$I$15="No",0,AV211))</f>
        <v/>
      </c>
      <c r="AX211" s="192"/>
      <c r="AY211" s="192"/>
      <c r="AZ211" s="192"/>
      <c r="BA211" s="192"/>
      <c r="BB211" s="255" t="str">
        <f>IF(COUNTBLANK(AX211:BA211)=4,"",SUM(AX211:AZ211)+IF(Setup!$I$15="No",0,BA211))</f>
        <v/>
      </c>
      <c r="BC211" s="259" t="str">
        <f ca="1">IF('Demand background (hide)'!A202=Num_Modalities,"",SUM(Demand!I211))</f>
        <v/>
      </c>
      <c r="BD211" s="259" t="str">
        <f ca="1">IF(AND(A211&lt;=MaxRows,BE211&lt;&gt;"Yes"),'Demand background (hide)'!X202+IF(Setup!$I$15="Yes",'Demand background (hide)'!AJ202,0),"")</f>
        <v/>
      </c>
      <c r="BE211" s="209"/>
    </row>
    <row r="212" spans="1:57" x14ac:dyDescent="0.25">
      <c r="A212" t="str">
        <f t="shared" ca="1" si="12"/>
        <v/>
      </c>
      <c r="B212" s="264" t="str">
        <f t="shared" ca="1" si="13"/>
        <v xml:space="preserve"> </v>
      </c>
      <c r="C212" s="265" t="str">
        <f t="shared" ca="1" si="14"/>
        <v/>
      </c>
      <c r="D212" s="352" t="str">
        <f t="shared" ca="1" si="15"/>
        <v/>
      </c>
      <c r="E212" s="192"/>
      <c r="F212" s="192"/>
      <c r="G212" s="192"/>
      <c r="H212" s="192"/>
      <c r="I212" s="251" t="str">
        <f>IF(COUNTBLANK(E212:H212)=4,"",SUM(E212:G212)+IF(Setup!$I$15="No",0,H212))</f>
        <v/>
      </c>
      <c r="J212" s="192"/>
      <c r="K212" s="192"/>
      <c r="L212" s="192"/>
      <c r="M212" s="192"/>
      <c r="N212" s="255" t="str">
        <f>IF(COUNTBLANK(J212:M212)=4,"",SUM(J212:L212)+IF(Setup!$I$15="No",0,M212))</f>
        <v/>
      </c>
      <c r="O212" s="192"/>
      <c r="P212" s="192"/>
      <c r="Q212" s="192"/>
      <c r="R212" s="192"/>
      <c r="S212" s="255" t="str">
        <f>IF(COUNTBLANK(O212:R212)=4,"",SUM(O212:Q212)+IF(Setup!$I$15="No",0,R212))</f>
        <v/>
      </c>
      <c r="T212" s="192"/>
      <c r="U212" s="192"/>
      <c r="V212" s="192"/>
      <c r="W212" s="192"/>
      <c r="X212" s="255" t="str">
        <f>IF(COUNTBLANK(T212:W212)=4,"",SUM(T212:V212)+IF(Setup!$I$15="No",0,W212))</f>
        <v/>
      </c>
      <c r="Y212" s="192"/>
      <c r="Z212" s="192"/>
      <c r="AA212" s="192"/>
      <c r="AB212" s="192"/>
      <c r="AC212" s="255" t="str">
        <f>IF(COUNTBLANK(Y212:AB212)=4,"",SUM(Y212:AA212)+IF(Setup!$I$15="No",0,AB212))</f>
        <v/>
      </c>
      <c r="AD212" s="192"/>
      <c r="AE212" s="192"/>
      <c r="AF212" s="192"/>
      <c r="AG212" s="192"/>
      <c r="AH212" s="255" t="str">
        <f>IF(COUNTBLANK(AD212:AG212)=4,"",SUM(AD212:AF212)+IF(Setup!$I$15="No",0,AG212))</f>
        <v/>
      </c>
      <c r="AI212" s="192"/>
      <c r="AJ212" s="192"/>
      <c r="AK212" s="192"/>
      <c r="AL212" s="192"/>
      <c r="AM212" s="255" t="str">
        <f>IF(COUNTBLANK(AI212:AL212)=4,"",SUM(AI212:AK212)+IF(Setup!$I$15="No",0,AL212))</f>
        <v/>
      </c>
      <c r="AN212" s="192"/>
      <c r="AO212" s="192"/>
      <c r="AP212" s="192"/>
      <c r="AQ212" s="192"/>
      <c r="AR212" s="255" t="str">
        <f>IF(COUNTBLANK(AN212:AQ212)=4,"",SUM(AN212:AP212)+IF(Setup!$I$15="No",0,AQ212))</f>
        <v/>
      </c>
      <c r="AS212" s="192"/>
      <c r="AT212" s="192"/>
      <c r="AU212" s="192"/>
      <c r="AV212" s="192"/>
      <c r="AW212" s="255" t="str">
        <f>IF(COUNTBLANK(AS212:AV212)=4,"",SUM(AS212:AU212)+IF(Setup!$I$15="No",0,AV212))</f>
        <v/>
      </c>
      <c r="AX212" s="192"/>
      <c r="AY212" s="192"/>
      <c r="AZ212" s="192"/>
      <c r="BA212" s="192"/>
      <c r="BB212" s="255" t="str">
        <f>IF(COUNTBLANK(AX212:BA212)=4,"",SUM(AX212:AZ212)+IF(Setup!$I$15="No",0,BA212))</f>
        <v/>
      </c>
      <c r="BC212" s="259" t="str">
        <f ca="1">IF('Demand background (hide)'!A203=Num_Modalities,"",SUM(Demand!I212))</f>
        <v/>
      </c>
      <c r="BD212" s="259" t="str">
        <f ca="1">IF(AND(A212&lt;=MaxRows,BE212&lt;&gt;"Yes"),'Demand background (hide)'!X203+IF(Setup!$I$15="Yes",'Demand background (hide)'!AJ203,0),"")</f>
        <v/>
      </c>
      <c r="BE212" s="209"/>
    </row>
    <row r="213" spans="1:57" x14ac:dyDescent="0.25">
      <c r="A213" t="str">
        <f t="shared" ca="1" si="12"/>
        <v/>
      </c>
      <c r="B213" s="264" t="str">
        <f t="shared" ca="1" si="13"/>
        <v xml:space="preserve"> </v>
      </c>
      <c r="C213" s="265" t="str">
        <f t="shared" ca="1" si="14"/>
        <v/>
      </c>
      <c r="D213" s="352" t="str">
        <f t="shared" ca="1" si="15"/>
        <v/>
      </c>
      <c r="E213" s="192"/>
      <c r="F213" s="192"/>
      <c r="G213" s="192"/>
      <c r="H213" s="192"/>
      <c r="I213" s="251" t="str">
        <f>IF(COUNTBLANK(E213:H213)=4,"",SUM(E213:G213)+IF(Setup!$I$15="No",0,H213))</f>
        <v/>
      </c>
      <c r="J213" s="192"/>
      <c r="K213" s="192"/>
      <c r="L213" s="192"/>
      <c r="M213" s="192"/>
      <c r="N213" s="255" t="str">
        <f>IF(COUNTBLANK(J213:M213)=4,"",SUM(J213:L213)+IF(Setup!$I$15="No",0,M213))</f>
        <v/>
      </c>
      <c r="O213" s="192"/>
      <c r="P213" s="192"/>
      <c r="Q213" s="192"/>
      <c r="R213" s="192"/>
      <c r="S213" s="255" t="str">
        <f>IF(COUNTBLANK(O213:R213)=4,"",SUM(O213:Q213)+IF(Setup!$I$15="No",0,R213))</f>
        <v/>
      </c>
      <c r="T213" s="192"/>
      <c r="U213" s="192"/>
      <c r="V213" s="192"/>
      <c r="W213" s="192"/>
      <c r="X213" s="255" t="str">
        <f>IF(COUNTBLANK(T213:W213)=4,"",SUM(T213:V213)+IF(Setup!$I$15="No",0,W213))</f>
        <v/>
      </c>
      <c r="Y213" s="192"/>
      <c r="Z213" s="192"/>
      <c r="AA213" s="192"/>
      <c r="AB213" s="192"/>
      <c r="AC213" s="255" t="str">
        <f>IF(COUNTBLANK(Y213:AB213)=4,"",SUM(Y213:AA213)+IF(Setup!$I$15="No",0,AB213))</f>
        <v/>
      </c>
      <c r="AD213" s="192"/>
      <c r="AE213" s="192"/>
      <c r="AF213" s="192"/>
      <c r="AG213" s="192"/>
      <c r="AH213" s="255" t="str">
        <f>IF(COUNTBLANK(AD213:AG213)=4,"",SUM(AD213:AF213)+IF(Setup!$I$15="No",0,AG213))</f>
        <v/>
      </c>
      <c r="AI213" s="192"/>
      <c r="AJ213" s="192"/>
      <c r="AK213" s="192"/>
      <c r="AL213" s="192"/>
      <c r="AM213" s="255" t="str">
        <f>IF(COUNTBLANK(AI213:AL213)=4,"",SUM(AI213:AK213)+IF(Setup!$I$15="No",0,AL213))</f>
        <v/>
      </c>
      <c r="AN213" s="192"/>
      <c r="AO213" s="192"/>
      <c r="AP213" s="192"/>
      <c r="AQ213" s="192"/>
      <c r="AR213" s="255" t="str">
        <f>IF(COUNTBLANK(AN213:AQ213)=4,"",SUM(AN213:AP213)+IF(Setup!$I$15="No",0,AQ213))</f>
        <v/>
      </c>
      <c r="AS213" s="192"/>
      <c r="AT213" s="192"/>
      <c r="AU213" s="192"/>
      <c r="AV213" s="192"/>
      <c r="AW213" s="255" t="str">
        <f>IF(COUNTBLANK(AS213:AV213)=4,"",SUM(AS213:AU213)+IF(Setup!$I$15="No",0,AV213))</f>
        <v/>
      </c>
      <c r="AX213" s="192"/>
      <c r="AY213" s="192"/>
      <c r="AZ213" s="192"/>
      <c r="BA213" s="192"/>
      <c r="BB213" s="255" t="str">
        <f>IF(COUNTBLANK(AX213:BA213)=4,"",SUM(AX213:AZ213)+IF(Setup!$I$15="No",0,BA213))</f>
        <v/>
      </c>
      <c r="BC213" s="259" t="str">
        <f ca="1">IF('Demand background (hide)'!A204=Num_Modalities,"",SUM(Demand!I213))</f>
        <v/>
      </c>
      <c r="BD213" s="259" t="str">
        <f ca="1">IF(AND(A213&lt;=MaxRows,BE213&lt;&gt;"Yes"),'Demand background (hide)'!X204+IF(Setup!$I$15="Yes",'Demand background (hide)'!AJ204,0),"")</f>
        <v/>
      </c>
      <c r="BE213" s="209"/>
    </row>
    <row r="214" spans="1:57" x14ac:dyDescent="0.25">
      <c r="A214" t="str">
        <f t="shared" ca="1" si="12"/>
        <v/>
      </c>
      <c r="B214" s="264" t="str">
        <f t="shared" ca="1" si="13"/>
        <v xml:space="preserve"> </v>
      </c>
      <c r="C214" s="265" t="str">
        <f t="shared" ca="1" si="14"/>
        <v/>
      </c>
      <c r="D214" s="352" t="str">
        <f t="shared" ca="1" si="15"/>
        <v/>
      </c>
      <c r="E214" s="192"/>
      <c r="F214" s="192"/>
      <c r="G214" s="192"/>
      <c r="H214" s="192"/>
      <c r="I214" s="251" t="str">
        <f>IF(COUNTBLANK(E214:H214)=4,"",SUM(E214:G214)+IF(Setup!$I$15="No",0,H214))</f>
        <v/>
      </c>
      <c r="J214" s="192"/>
      <c r="K214" s="192"/>
      <c r="L214" s="192"/>
      <c r="M214" s="192"/>
      <c r="N214" s="255" t="str">
        <f>IF(COUNTBLANK(J214:M214)=4,"",SUM(J214:L214)+IF(Setup!$I$15="No",0,M214))</f>
        <v/>
      </c>
      <c r="O214" s="192"/>
      <c r="P214" s="192"/>
      <c r="Q214" s="192"/>
      <c r="R214" s="192"/>
      <c r="S214" s="255" t="str">
        <f>IF(COUNTBLANK(O214:R214)=4,"",SUM(O214:Q214)+IF(Setup!$I$15="No",0,R214))</f>
        <v/>
      </c>
      <c r="T214" s="192"/>
      <c r="U214" s="192"/>
      <c r="V214" s="192"/>
      <c r="W214" s="192"/>
      <c r="X214" s="255" t="str">
        <f>IF(COUNTBLANK(T214:W214)=4,"",SUM(T214:V214)+IF(Setup!$I$15="No",0,W214))</f>
        <v/>
      </c>
      <c r="Y214" s="192"/>
      <c r="Z214" s="192"/>
      <c r="AA214" s="192"/>
      <c r="AB214" s="192"/>
      <c r="AC214" s="255" t="str">
        <f>IF(COUNTBLANK(Y214:AB214)=4,"",SUM(Y214:AA214)+IF(Setup!$I$15="No",0,AB214))</f>
        <v/>
      </c>
      <c r="AD214" s="192"/>
      <c r="AE214" s="192"/>
      <c r="AF214" s="192"/>
      <c r="AG214" s="192"/>
      <c r="AH214" s="255" t="str">
        <f>IF(COUNTBLANK(AD214:AG214)=4,"",SUM(AD214:AF214)+IF(Setup!$I$15="No",0,AG214))</f>
        <v/>
      </c>
      <c r="AI214" s="192"/>
      <c r="AJ214" s="192"/>
      <c r="AK214" s="192"/>
      <c r="AL214" s="192"/>
      <c r="AM214" s="255" t="str">
        <f>IF(COUNTBLANK(AI214:AL214)=4,"",SUM(AI214:AK214)+IF(Setup!$I$15="No",0,AL214))</f>
        <v/>
      </c>
      <c r="AN214" s="192"/>
      <c r="AO214" s="192"/>
      <c r="AP214" s="192"/>
      <c r="AQ214" s="192"/>
      <c r="AR214" s="255" t="str">
        <f>IF(COUNTBLANK(AN214:AQ214)=4,"",SUM(AN214:AP214)+IF(Setup!$I$15="No",0,AQ214))</f>
        <v/>
      </c>
      <c r="AS214" s="192"/>
      <c r="AT214" s="192"/>
      <c r="AU214" s="192"/>
      <c r="AV214" s="192"/>
      <c r="AW214" s="255" t="str">
        <f>IF(COUNTBLANK(AS214:AV214)=4,"",SUM(AS214:AU214)+IF(Setup!$I$15="No",0,AV214))</f>
        <v/>
      </c>
      <c r="AX214" s="192"/>
      <c r="AY214" s="192"/>
      <c r="AZ214" s="192"/>
      <c r="BA214" s="192"/>
      <c r="BB214" s="255" t="str">
        <f>IF(COUNTBLANK(AX214:BA214)=4,"",SUM(AX214:AZ214)+IF(Setup!$I$15="No",0,BA214))</f>
        <v/>
      </c>
      <c r="BC214" s="259" t="str">
        <f ca="1">IF('Demand background (hide)'!A205=Num_Modalities,"",SUM(Demand!I214))</f>
        <v/>
      </c>
      <c r="BD214" s="259" t="str">
        <f ca="1">IF(AND(A214&lt;=MaxRows,BE214&lt;&gt;"Yes"),'Demand background (hide)'!X205+IF(Setup!$I$15="Yes",'Demand background (hide)'!AJ205,0),"")</f>
        <v/>
      </c>
      <c r="BE214" s="209"/>
    </row>
    <row r="215" spans="1:57" x14ac:dyDescent="0.25">
      <c r="A215" t="str">
        <f t="shared" ca="1" si="12"/>
        <v/>
      </c>
      <c r="B215" s="264" t="str">
        <f t="shared" ca="1" si="13"/>
        <v xml:space="preserve"> </v>
      </c>
      <c r="C215" s="265" t="str">
        <f t="shared" ca="1" si="14"/>
        <v/>
      </c>
      <c r="D215" s="352" t="str">
        <f t="shared" ca="1" si="15"/>
        <v/>
      </c>
      <c r="E215" s="192"/>
      <c r="F215" s="192"/>
      <c r="G215" s="192"/>
      <c r="H215" s="192"/>
      <c r="I215" s="251" t="str">
        <f>IF(COUNTBLANK(E215:H215)=4,"",SUM(E215:G215)+IF(Setup!$I$15="No",0,H215))</f>
        <v/>
      </c>
      <c r="J215" s="192"/>
      <c r="K215" s="192"/>
      <c r="L215" s="192"/>
      <c r="M215" s="192"/>
      <c r="N215" s="255" t="str">
        <f>IF(COUNTBLANK(J215:M215)=4,"",SUM(J215:L215)+IF(Setup!$I$15="No",0,M215))</f>
        <v/>
      </c>
      <c r="O215" s="192"/>
      <c r="P215" s="192"/>
      <c r="Q215" s="192"/>
      <c r="R215" s="192"/>
      <c r="S215" s="255" t="str">
        <f>IF(COUNTBLANK(O215:R215)=4,"",SUM(O215:Q215)+IF(Setup!$I$15="No",0,R215))</f>
        <v/>
      </c>
      <c r="T215" s="192"/>
      <c r="U215" s="192"/>
      <c r="V215" s="192"/>
      <c r="W215" s="192"/>
      <c r="X215" s="255" t="str">
        <f>IF(COUNTBLANK(T215:W215)=4,"",SUM(T215:V215)+IF(Setup!$I$15="No",0,W215))</f>
        <v/>
      </c>
      <c r="Y215" s="192"/>
      <c r="Z215" s="192"/>
      <c r="AA215" s="192"/>
      <c r="AB215" s="192"/>
      <c r="AC215" s="255" t="str">
        <f>IF(COUNTBLANK(Y215:AB215)=4,"",SUM(Y215:AA215)+IF(Setup!$I$15="No",0,AB215))</f>
        <v/>
      </c>
      <c r="AD215" s="192"/>
      <c r="AE215" s="192"/>
      <c r="AF215" s="192"/>
      <c r="AG215" s="192"/>
      <c r="AH215" s="255" t="str">
        <f>IF(COUNTBLANK(AD215:AG215)=4,"",SUM(AD215:AF215)+IF(Setup!$I$15="No",0,AG215))</f>
        <v/>
      </c>
      <c r="AI215" s="192"/>
      <c r="AJ215" s="192"/>
      <c r="AK215" s="192"/>
      <c r="AL215" s="192"/>
      <c r="AM215" s="255" t="str">
        <f>IF(COUNTBLANK(AI215:AL215)=4,"",SUM(AI215:AK215)+IF(Setup!$I$15="No",0,AL215))</f>
        <v/>
      </c>
      <c r="AN215" s="192"/>
      <c r="AO215" s="192"/>
      <c r="AP215" s="192"/>
      <c r="AQ215" s="192"/>
      <c r="AR215" s="255" t="str">
        <f>IF(COUNTBLANK(AN215:AQ215)=4,"",SUM(AN215:AP215)+IF(Setup!$I$15="No",0,AQ215))</f>
        <v/>
      </c>
      <c r="AS215" s="192"/>
      <c r="AT215" s="192"/>
      <c r="AU215" s="192"/>
      <c r="AV215" s="192"/>
      <c r="AW215" s="255" t="str">
        <f>IF(COUNTBLANK(AS215:AV215)=4,"",SUM(AS215:AU215)+IF(Setup!$I$15="No",0,AV215))</f>
        <v/>
      </c>
      <c r="AX215" s="192"/>
      <c r="AY215" s="192"/>
      <c r="AZ215" s="192"/>
      <c r="BA215" s="192"/>
      <c r="BB215" s="255" t="str">
        <f>IF(COUNTBLANK(AX215:BA215)=4,"",SUM(AX215:AZ215)+IF(Setup!$I$15="No",0,BA215))</f>
        <v/>
      </c>
      <c r="BC215" s="259" t="str">
        <f ca="1">IF('Demand background (hide)'!A206=Num_Modalities,"",SUM(Demand!I215))</f>
        <v/>
      </c>
      <c r="BD215" s="259" t="str">
        <f ca="1">IF(AND(A215&lt;=MaxRows,BE215&lt;&gt;"Yes"),'Demand background (hide)'!X206+IF(Setup!$I$15="Yes",'Demand background (hide)'!AJ206,0),"")</f>
        <v/>
      </c>
      <c r="BE215" s="209"/>
    </row>
    <row r="216" spans="1:57" x14ac:dyDescent="0.25">
      <c r="A216" t="str">
        <f t="shared" ca="1" si="12"/>
        <v/>
      </c>
      <c r="B216" s="264" t="str">
        <f t="shared" ca="1" si="13"/>
        <v xml:space="preserve"> </v>
      </c>
      <c r="C216" s="265" t="str">
        <f t="shared" ca="1" si="14"/>
        <v/>
      </c>
      <c r="D216" s="352" t="str">
        <f t="shared" ca="1" si="15"/>
        <v/>
      </c>
      <c r="E216" s="192"/>
      <c r="F216" s="192"/>
      <c r="G216" s="192"/>
      <c r="H216" s="192"/>
      <c r="I216" s="251" t="str">
        <f>IF(COUNTBLANK(E216:H216)=4,"",SUM(E216:G216)+IF(Setup!$I$15="No",0,H216))</f>
        <v/>
      </c>
      <c r="J216" s="192"/>
      <c r="K216" s="192"/>
      <c r="L216" s="192"/>
      <c r="M216" s="192"/>
      <c r="N216" s="255" t="str">
        <f>IF(COUNTBLANK(J216:M216)=4,"",SUM(J216:L216)+IF(Setup!$I$15="No",0,M216))</f>
        <v/>
      </c>
      <c r="O216" s="192"/>
      <c r="P216" s="192"/>
      <c r="Q216" s="192"/>
      <c r="R216" s="192"/>
      <c r="S216" s="255" t="str">
        <f>IF(COUNTBLANK(O216:R216)=4,"",SUM(O216:Q216)+IF(Setup!$I$15="No",0,R216))</f>
        <v/>
      </c>
      <c r="T216" s="192"/>
      <c r="U216" s="192"/>
      <c r="V216" s="192"/>
      <c r="W216" s="192"/>
      <c r="X216" s="255" t="str">
        <f>IF(COUNTBLANK(T216:W216)=4,"",SUM(T216:V216)+IF(Setup!$I$15="No",0,W216))</f>
        <v/>
      </c>
      <c r="Y216" s="192"/>
      <c r="Z216" s="192"/>
      <c r="AA216" s="192"/>
      <c r="AB216" s="192"/>
      <c r="AC216" s="255" t="str">
        <f>IF(COUNTBLANK(Y216:AB216)=4,"",SUM(Y216:AA216)+IF(Setup!$I$15="No",0,AB216))</f>
        <v/>
      </c>
      <c r="AD216" s="192"/>
      <c r="AE216" s="192"/>
      <c r="AF216" s="192"/>
      <c r="AG216" s="192"/>
      <c r="AH216" s="255" t="str">
        <f>IF(COUNTBLANK(AD216:AG216)=4,"",SUM(AD216:AF216)+IF(Setup!$I$15="No",0,AG216))</f>
        <v/>
      </c>
      <c r="AI216" s="192"/>
      <c r="AJ216" s="192"/>
      <c r="AK216" s="192"/>
      <c r="AL216" s="192"/>
      <c r="AM216" s="255" t="str">
        <f>IF(COUNTBLANK(AI216:AL216)=4,"",SUM(AI216:AK216)+IF(Setup!$I$15="No",0,AL216))</f>
        <v/>
      </c>
      <c r="AN216" s="192"/>
      <c r="AO216" s="192"/>
      <c r="AP216" s="192"/>
      <c r="AQ216" s="192"/>
      <c r="AR216" s="255" t="str">
        <f>IF(COUNTBLANK(AN216:AQ216)=4,"",SUM(AN216:AP216)+IF(Setup!$I$15="No",0,AQ216))</f>
        <v/>
      </c>
      <c r="AS216" s="192"/>
      <c r="AT216" s="192"/>
      <c r="AU216" s="192"/>
      <c r="AV216" s="192"/>
      <c r="AW216" s="255" t="str">
        <f>IF(COUNTBLANK(AS216:AV216)=4,"",SUM(AS216:AU216)+IF(Setup!$I$15="No",0,AV216))</f>
        <v/>
      </c>
      <c r="AX216" s="192"/>
      <c r="AY216" s="192"/>
      <c r="AZ216" s="192"/>
      <c r="BA216" s="192"/>
      <c r="BB216" s="255" t="str">
        <f>IF(COUNTBLANK(AX216:BA216)=4,"",SUM(AX216:AZ216)+IF(Setup!$I$15="No",0,BA216))</f>
        <v/>
      </c>
      <c r="BC216" s="259" t="str">
        <f ca="1">IF('Demand background (hide)'!A207=Num_Modalities,"",SUM(Demand!I216))</f>
        <v/>
      </c>
      <c r="BD216" s="259" t="str">
        <f ca="1">IF(AND(A216&lt;=MaxRows,BE216&lt;&gt;"Yes"),'Demand background (hide)'!X207+IF(Setup!$I$15="Yes",'Demand background (hide)'!AJ207,0),"")</f>
        <v/>
      </c>
      <c r="BE216" s="209"/>
    </row>
    <row r="217" spans="1:57" x14ac:dyDescent="0.25">
      <c r="A217" t="str">
        <f t="shared" ca="1" si="12"/>
        <v/>
      </c>
      <c r="B217" s="264" t="str">
        <f t="shared" ca="1" si="13"/>
        <v xml:space="preserve"> </v>
      </c>
      <c r="C217" s="265" t="str">
        <f t="shared" ca="1" si="14"/>
        <v/>
      </c>
      <c r="D217" s="352" t="str">
        <f t="shared" ca="1" si="15"/>
        <v/>
      </c>
      <c r="E217" s="192"/>
      <c r="F217" s="192"/>
      <c r="G217" s="192"/>
      <c r="H217" s="192"/>
      <c r="I217" s="251" t="str">
        <f>IF(COUNTBLANK(E217:H217)=4,"",SUM(E217:G217)+IF(Setup!$I$15="No",0,H217))</f>
        <v/>
      </c>
      <c r="J217" s="192"/>
      <c r="K217" s="192"/>
      <c r="L217" s="192"/>
      <c r="M217" s="192"/>
      <c r="N217" s="255" t="str">
        <f>IF(COUNTBLANK(J217:M217)=4,"",SUM(J217:L217)+IF(Setup!$I$15="No",0,M217))</f>
        <v/>
      </c>
      <c r="O217" s="192"/>
      <c r="P217" s="192"/>
      <c r="Q217" s="192"/>
      <c r="R217" s="192"/>
      <c r="S217" s="255" t="str">
        <f>IF(COUNTBLANK(O217:R217)=4,"",SUM(O217:Q217)+IF(Setup!$I$15="No",0,R217))</f>
        <v/>
      </c>
      <c r="T217" s="192"/>
      <c r="U217" s="192"/>
      <c r="V217" s="192"/>
      <c r="W217" s="192"/>
      <c r="X217" s="255" t="str">
        <f>IF(COUNTBLANK(T217:W217)=4,"",SUM(T217:V217)+IF(Setup!$I$15="No",0,W217))</f>
        <v/>
      </c>
      <c r="Y217" s="192"/>
      <c r="Z217" s="192"/>
      <c r="AA217" s="192"/>
      <c r="AB217" s="192"/>
      <c r="AC217" s="255" t="str">
        <f>IF(COUNTBLANK(Y217:AB217)=4,"",SUM(Y217:AA217)+IF(Setup!$I$15="No",0,AB217))</f>
        <v/>
      </c>
      <c r="AD217" s="192"/>
      <c r="AE217" s="192"/>
      <c r="AF217" s="192"/>
      <c r="AG217" s="192"/>
      <c r="AH217" s="255" t="str">
        <f>IF(COUNTBLANK(AD217:AG217)=4,"",SUM(AD217:AF217)+IF(Setup!$I$15="No",0,AG217))</f>
        <v/>
      </c>
      <c r="AI217" s="192"/>
      <c r="AJ217" s="192"/>
      <c r="AK217" s="192"/>
      <c r="AL217" s="192"/>
      <c r="AM217" s="255" t="str">
        <f>IF(COUNTBLANK(AI217:AL217)=4,"",SUM(AI217:AK217)+IF(Setup!$I$15="No",0,AL217))</f>
        <v/>
      </c>
      <c r="AN217" s="192"/>
      <c r="AO217" s="192"/>
      <c r="AP217" s="192"/>
      <c r="AQ217" s="192"/>
      <c r="AR217" s="255" t="str">
        <f>IF(COUNTBLANK(AN217:AQ217)=4,"",SUM(AN217:AP217)+IF(Setup!$I$15="No",0,AQ217))</f>
        <v/>
      </c>
      <c r="AS217" s="192"/>
      <c r="AT217" s="192"/>
      <c r="AU217" s="192"/>
      <c r="AV217" s="192"/>
      <c r="AW217" s="255" t="str">
        <f>IF(COUNTBLANK(AS217:AV217)=4,"",SUM(AS217:AU217)+IF(Setup!$I$15="No",0,AV217))</f>
        <v/>
      </c>
      <c r="AX217" s="192"/>
      <c r="AY217" s="192"/>
      <c r="AZ217" s="192"/>
      <c r="BA217" s="192"/>
      <c r="BB217" s="255" t="str">
        <f>IF(COUNTBLANK(AX217:BA217)=4,"",SUM(AX217:AZ217)+IF(Setup!$I$15="No",0,BA217))</f>
        <v/>
      </c>
      <c r="BC217" s="259" t="str">
        <f ca="1">IF('Demand background (hide)'!A208=Num_Modalities,"",SUM(Demand!I217))</f>
        <v/>
      </c>
      <c r="BD217" s="259" t="str">
        <f ca="1">IF(AND(A217&lt;=MaxRows,BE217&lt;&gt;"Yes"),'Demand background (hide)'!X208+IF(Setup!$I$15="Yes",'Demand background (hide)'!AJ208,0),"")</f>
        <v/>
      </c>
      <c r="BE217" s="209"/>
    </row>
    <row r="218" spans="1:57" x14ac:dyDescent="0.25">
      <c r="A218" t="str">
        <f t="shared" ca="1" si="12"/>
        <v/>
      </c>
      <c r="B218" s="264" t="str">
        <f t="shared" ca="1" si="13"/>
        <v xml:space="preserve"> </v>
      </c>
      <c r="C218" s="265" t="str">
        <f t="shared" ca="1" si="14"/>
        <v/>
      </c>
      <c r="D218" s="352" t="str">
        <f t="shared" ca="1" si="15"/>
        <v/>
      </c>
      <c r="E218" s="192"/>
      <c r="F218" s="192"/>
      <c r="G218" s="192"/>
      <c r="H218" s="192"/>
      <c r="I218" s="251" t="str">
        <f>IF(COUNTBLANK(E218:H218)=4,"",SUM(E218:G218)+IF(Setup!$I$15="No",0,H218))</f>
        <v/>
      </c>
      <c r="J218" s="192"/>
      <c r="K218" s="192"/>
      <c r="L218" s="192"/>
      <c r="M218" s="192"/>
      <c r="N218" s="255" t="str">
        <f>IF(COUNTBLANK(J218:M218)=4,"",SUM(J218:L218)+IF(Setup!$I$15="No",0,M218))</f>
        <v/>
      </c>
      <c r="O218" s="192"/>
      <c r="P218" s="192"/>
      <c r="Q218" s="192"/>
      <c r="R218" s="192"/>
      <c r="S218" s="255" t="str">
        <f>IF(COUNTBLANK(O218:R218)=4,"",SUM(O218:Q218)+IF(Setup!$I$15="No",0,R218))</f>
        <v/>
      </c>
      <c r="T218" s="192"/>
      <c r="U218" s="192"/>
      <c r="V218" s="192"/>
      <c r="W218" s="192"/>
      <c r="X218" s="255" t="str">
        <f>IF(COUNTBLANK(T218:W218)=4,"",SUM(T218:V218)+IF(Setup!$I$15="No",0,W218))</f>
        <v/>
      </c>
      <c r="Y218" s="192"/>
      <c r="Z218" s="192"/>
      <c r="AA218" s="192"/>
      <c r="AB218" s="192"/>
      <c r="AC218" s="255" t="str">
        <f>IF(COUNTBLANK(Y218:AB218)=4,"",SUM(Y218:AA218)+IF(Setup!$I$15="No",0,AB218))</f>
        <v/>
      </c>
      <c r="AD218" s="192"/>
      <c r="AE218" s="192"/>
      <c r="AF218" s="192"/>
      <c r="AG218" s="192"/>
      <c r="AH218" s="255" t="str">
        <f>IF(COUNTBLANK(AD218:AG218)=4,"",SUM(AD218:AF218)+IF(Setup!$I$15="No",0,AG218))</f>
        <v/>
      </c>
      <c r="AI218" s="192"/>
      <c r="AJ218" s="192"/>
      <c r="AK218" s="192"/>
      <c r="AL218" s="192"/>
      <c r="AM218" s="255" t="str">
        <f>IF(COUNTBLANK(AI218:AL218)=4,"",SUM(AI218:AK218)+IF(Setup!$I$15="No",0,AL218))</f>
        <v/>
      </c>
      <c r="AN218" s="192"/>
      <c r="AO218" s="192"/>
      <c r="AP218" s="192"/>
      <c r="AQ218" s="192"/>
      <c r="AR218" s="255" t="str">
        <f>IF(COUNTBLANK(AN218:AQ218)=4,"",SUM(AN218:AP218)+IF(Setup!$I$15="No",0,AQ218))</f>
        <v/>
      </c>
      <c r="AS218" s="192"/>
      <c r="AT218" s="192"/>
      <c r="AU218" s="192"/>
      <c r="AV218" s="192"/>
      <c r="AW218" s="255" t="str">
        <f>IF(COUNTBLANK(AS218:AV218)=4,"",SUM(AS218:AU218)+IF(Setup!$I$15="No",0,AV218))</f>
        <v/>
      </c>
      <c r="AX218" s="192"/>
      <c r="AY218" s="192"/>
      <c r="AZ218" s="192"/>
      <c r="BA218" s="192"/>
      <c r="BB218" s="255" t="str">
        <f>IF(COUNTBLANK(AX218:BA218)=4,"",SUM(AX218:AZ218)+IF(Setup!$I$15="No",0,BA218))</f>
        <v/>
      </c>
      <c r="BC218" s="259" t="str">
        <f ca="1">IF('Demand background (hide)'!A209=Num_Modalities,"",SUM(Demand!I218))</f>
        <v/>
      </c>
      <c r="BD218" s="259" t="str">
        <f ca="1">IF(AND(A218&lt;=MaxRows,BE218&lt;&gt;"Yes"),'Demand background (hide)'!X209+IF(Setup!$I$15="Yes",'Demand background (hide)'!AJ209,0),"")</f>
        <v/>
      </c>
      <c r="BE218" s="209"/>
    </row>
    <row r="219" spans="1:57" x14ac:dyDescent="0.25">
      <c r="A219" t="str">
        <f t="shared" ca="1" si="12"/>
        <v/>
      </c>
      <c r="B219" s="264" t="str">
        <f t="shared" ca="1" si="13"/>
        <v xml:space="preserve"> </v>
      </c>
      <c r="C219" s="265" t="str">
        <f t="shared" ca="1" si="14"/>
        <v/>
      </c>
      <c r="D219" s="352" t="str">
        <f t="shared" ca="1" si="15"/>
        <v/>
      </c>
      <c r="E219" s="192"/>
      <c r="F219" s="192"/>
      <c r="G219" s="192"/>
      <c r="H219" s="192"/>
      <c r="I219" s="251" t="str">
        <f>IF(COUNTBLANK(E219:H219)=4,"",SUM(E219:G219)+IF(Setup!$I$15="No",0,H219))</f>
        <v/>
      </c>
      <c r="J219" s="192"/>
      <c r="K219" s="192"/>
      <c r="L219" s="192"/>
      <c r="M219" s="192"/>
      <c r="N219" s="255" t="str">
        <f>IF(COUNTBLANK(J219:M219)=4,"",SUM(J219:L219)+IF(Setup!$I$15="No",0,M219))</f>
        <v/>
      </c>
      <c r="O219" s="192"/>
      <c r="P219" s="192"/>
      <c r="Q219" s="192"/>
      <c r="R219" s="192"/>
      <c r="S219" s="255" t="str">
        <f>IF(COUNTBLANK(O219:R219)=4,"",SUM(O219:Q219)+IF(Setup!$I$15="No",0,R219))</f>
        <v/>
      </c>
      <c r="T219" s="192"/>
      <c r="U219" s="192"/>
      <c r="V219" s="192"/>
      <c r="W219" s="192"/>
      <c r="X219" s="255" t="str">
        <f>IF(COUNTBLANK(T219:W219)=4,"",SUM(T219:V219)+IF(Setup!$I$15="No",0,W219))</f>
        <v/>
      </c>
      <c r="Y219" s="192"/>
      <c r="Z219" s="192"/>
      <c r="AA219" s="192"/>
      <c r="AB219" s="192"/>
      <c r="AC219" s="255" t="str">
        <f>IF(COUNTBLANK(Y219:AB219)=4,"",SUM(Y219:AA219)+IF(Setup!$I$15="No",0,AB219))</f>
        <v/>
      </c>
      <c r="AD219" s="192"/>
      <c r="AE219" s="192"/>
      <c r="AF219" s="192"/>
      <c r="AG219" s="192"/>
      <c r="AH219" s="255" t="str">
        <f>IF(COUNTBLANK(AD219:AG219)=4,"",SUM(AD219:AF219)+IF(Setup!$I$15="No",0,AG219))</f>
        <v/>
      </c>
      <c r="AI219" s="192"/>
      <c r="AJ219" s="192"/>
      <c r="AK219" s="192"/>
      <c r="AL219" s="192"/>
      <c r="AM219" s="255" t="str">
        <f>IF(COUNTBLANK(AI219:AL219)=4,"",SUM(AI219:AK219)+IF(Setup!$I$15="No",0,AL219))</f>
        <v/>
      </c>
      <c r="AN219" s="192"/>
      <c r="AO219" s="192"/>
      <c r="AP219" s="192"/>
      <c r="AQ219" s="192"/>
      <c r="AR219" s="255" t="str">
        <f>IF(COUNTBLANK(AN219:AQ219)=4,"",SUM(AN219:AP219)+IF(Setup!$I$15="No",0,AQ219))</f>
        <v/>
      </c>
      <c r="AS219" s="192"/>
      <c r="AT219" s="192"/>
      <c r="AU219" s="192"/>
      <c r="AV219" s="192"/>
      <c r="AW219" s="255" t="str">
        <f>IF(COUNTBLANK(AS219:AV219)=4,"",SUM(AS219:AU219)+IF(Setup!$I$15="No",0,AV219))</f>
        <v/>
      </c>
      <c r="AX219" s="192"/>
      <c r="AY219" s="192"/>
      <c r="AZ219" s="192"/>
      <c r="BA219" s="192"/>
      <c r="BB219" s="255" t="str">
        <f>IF(COUNTBLANK(AX219:BA219)=4,"",SUM(AX219:AZ219)+IF(Setup!$I$15="No",0,BA219))</f>
        <v/>
      </c>
      <c r="BC219" s="259" t="str">
        <f ca="1">IF('Demand background (hide)'!A210=Num_Modalities,"",SUM(Demand!I219))</f>
        <v/>
      </c>
      <c r="BD219" s="259" t="str">
        <f ca="1">IF(AND(A219&lt;=MaxRows,BE219&lt;&gt;"Yes"),'Demand background (hide)'!X210+IF(Setup!$I$15="Yes",'Demand background (hide)'!AJ210,0),"")</f>
        <v/>
      </c>
      <c r="BE219" s="209"/>
    </row>
    <row r="220" spans="1:57" x14ac:dyDescent="0.25">
      <c r="A220" t="str">
        <f t="shared" ca="1" si="12"/>
        <v/>
      </c>
      <c r="B220" s="264" t="str">
        <f t="shared" ca="1" si="13"/>
        <v xml:space="preserve"> </v>
      </c>
      <c r="C220" s="265" t="str">
        <f t="shared" ca="1" si="14"/>
        <v/>
      </c>
      <c r="D220" s="352" t="str">
        <f t="shared" ca="1" si="15"/>
        <v/>
      </c>
      <c r="E220" s="192"/>
      <c r="F220" s="192"/>
      <c r="G220" s="192"/>
      <c r="H220" s="192"/>
      <c r="I220" s="251" t="str">
        <f>IF(COUNTBLANK(E220:H220)=4,"",SUM(E220:G220)+IF(Setup!$I$15="No",0,H220))</f>
        <v/>
      </c>
      <c r="J220" s="192"/>
      <c r="K220" s="192"/>
      <c r="L220" s="192"/>
      <c r="M220" s="192"/>
      <c r="N220" s="255" t="str">
        <f>IF(COUNTBLANK(J220:M220)=4,"",SUM(J220:L220)+IF(Setup!$I$15="No",0,M220))</f>
        <v/>
      </c>
      <c r="O220" s="192"/>
      <c r="P220" s="192"/>
      <c r="Q220" s="192"/>
      <c r="R220" s="192"/>
      <c r="S220" s="255" t="str">
        <f>IF(COUNTBLANK(O220:R220)=4,"",SUM(O220:Q220)+IF(Setup!$I$15="No",0,R220))</f>
        <v/>
      </c>
      <c r="T220" s="192"/>
      <c r="U220" s="192"/>
      <c r="V220" s="192"/>
      <c r="W220" s="192"/>
      <c r="X220" s="255" t="str">
        <f>IF(COUNTBLANK(T220:W220)=4,"",SUM(T220:V220)+IF(Setup!$I$15="No",0,W220))</f>
        <v/>
      </c>
      <c r="Y220" s="192"/>
      <c r="Z220" s="192"/>
      <c r="AA220" s="192"/>
      <c r="AB220" s="192"/>
      <c r="AC220" s="255" t="str">
        <f>IF(COUNTBLANK(Y220:AB220)=4,"",SUM(Y220:AA220)+IF(Setup!$I$15="No",0,AB220))</f>
        <v/>
      </c>
      <c r="AD220" s="192"/>
      <c r="AE220" s="192"/>
      <c r="AF220" s="192"/>
      <c r="AG220" s="192"/>
      <c r="AH220" s="255" t="str">
        <f>IF(COUNTBLANK(AD220:AG220)=4,"",SUM(AD220:AF220)+IF(Setup!$I$15="No",0,AG220))</f>
        <v/>
      </c>
      <c r="AI220" s="192"/>
      <c r="AJ220" s="192"/>
      <c r="AK220" s="192"/>
      <c r="AL220" s="192"/>
      <c r="AM220" s="255" t="str">
        <f>IF(COUNTBLANK(AI220:AL220)=4,"",SUM(AI220:AK220)+IF(Setup!$I$15="No",0,AL220))</f>
        <v/>
      </c>
      <c r="AN220" s="192"/>
      <c r="AO220" s="192"/>
      <c r="AP220" s="192"/>
      <c r="AQ220" s="192"/>
      <c r="AR220" s="255" t="str">
        <f>IF(COUNTBLANK(AN220:AQ220)=4,"",SUM(AN220:AP220)+IF(Setup!$I$15="No",0,AQ220))</f>
        <v/>
      </c>
      <c r="AS220" s="192"/>
      <c r="AT220" s="192"/>
      <c r="AU220" s="192"/>
      <c r="AV220" s="192"/>
      <c r="AW220" s="255" t="str">
        <f>IF(COUNTBLANK(AS220:AV220)=4,"",SUM(AS220:AU220)+IF(Setup!$I$15="No",0,AV220))</f>
        <v/>
      </c>
      <c r="AX220" s="192"/>
      <c r="AY220" s="192"/>
      <c r="AZ220" s="192"/>
      <c r="BA220" s="192"/>
      <c r="BB220" s="255" t="str">
        <f>IF(COUNTBLANK(AX220:BA220)=4,"",SUM(AX220:AZ220)+IF(Setup!$I$15="No",0,BA220))</f>
        <v/>
      </c>
      <c r="BC220" s="259" t="str">
        <f ca="1">IF('Demand background (hide)'!A211=Num_Modalities,"",SUM(Demand!I220))</f>
        <v/>
      </c>
      <c r="BD220" s="259" t="str">
        <f ca="1">IF(AND(A220&lt;=MaxRows,BE220&lt;&gt;"Yes"),'Demand background (hide)'!X211+IF(Setup!$I$15="Yes",'Demand background (hide)'!AJ211,0),"")</f>
        <v/>
      </c>
      <c r="BE220" s="209"/>
    </row>
    <row r="221" spans="1:57" x14ac:dyDescent="0.25">
      <c r="A221" t="str">
        <f t="shared" ca="1" si="12"/>
        <v/>
      </c>
      <c r="B221" s="264" t="str">
        <f t="shared" ca="1" si="13"/>
        <v xml:space="preserve"> </v>
      </c>
      <c r="C221" s="265" t="str">
        <f t="shared" ca="1" si="14"/>
        <v/>
      </c>
      <c r="D221" s="352" t="str">
        <f t="shared" ca="1" si="15"/>
        <v/>
      </c>
      <c r="E221" s="192"/>
      <c r="F221" s="192"/>
      <c r="G221" s="192"/>
      <c r="H221" s="192"/>
      <c r="I221" s="251" t="str">
        <f>IF(COUNTBLANK(E221:H221)=4,"",SUM(E221:G221)+IF(Setup!$I$15="No",0,H221))</f>
        <v/>
      </c>
      <c r="J221" s="192"/>
      <c r="K221" s="192"/>
      <c r="L221" s="192"/>
      <c r="M221" s="192"/>
      <c r="N221" s="255" t="str">
        <f>IF(COUNTBLANK(J221:M221)=4,"",SUM(J221:L221)+IF(Setup!$I$15="No",0,M221))</f>
        <v/>
      </c>
      <c r="O221" s="192"/>
      <c r="P221" s="192"/>
      <c r="Q221" s="192"/>
      <c r="R221" s="192"/>
      <c r="S221" s="255" t="str">
        <f>IF(COUNTBLANK(O221:R221)=4,"",SUM(O221:Q221)+IF(Setup!$I$15="No",0,R221))</f>
        <v/>
      </c>
      <c r="T221" s="192"/>
      <c r="U221" s="192"/>
      <c r="V221" s="192"/>
      <c r="W221" s="192"/>
      <c r="X221" s="255" t="str">
        <f>IF(COUNTBLANK(T221:W221)=4,"",SUM(T221:V221)+IF(Setup!$I$15="No",0,W221))</f>
        <v/>
      </c>
      <c r="Y221" s="192"/>
      <c r="Z221" s="192"/>
      <c r="AA221" s="192"/>
      <c r="AB221" s="192"/>
      <c r="AC221" s="255" t="str">
        <f>IF(COUNTBLANK(Y221:AB221)=4,"",SUM(Y221:AA221)+IF(Setup!$I$15="No",0,AB221))</f>
        <v/>
      </c>
      <c r="AD221" s="192"/>
      <c r="AE221" s="192"/>
      <c r="AF221" s="192"/>
      <c r="AG221" s="192"/>
      <c r="AH221" s="255" t="str">
        <f>IF(COUNTBLANK(AD221:AG221)=4,"",SUM(AD221:AF221)+IF(Setup!$I$15="No",0,AG221))</f>
        <v/>
      </c>
      <c r="AI221" s="192"/>
      <c r="AJ221" s="192"/>
      <c r="AK221" s="192"/>
      <c r="AL221" s="192"/>
      <c r="AM221" s="255" t="str">
        <f>IF(COUNTBLANK(AI221:AL221)=4,"",SUM(AI221:AK221)+IF(Setup!$I$15="No",0,AL221))</f>
        <v/>
      </c>
      <c r="AN221" s="192"/>
      <c r="AO221" s="192"/>
      <c r="AP221" s="192"/>
      <c r="AQ221" s="192"/>
      <c r="AR221" s="255" t="str">
        <f>IF(COUNTBLANK(AN221:AQ221)=4,"",SUM(AN221:AP221)+IF(Setup!$I$15="No",0,AQ221))</f>
        <v/>
      </c>
      <c r="AS221" s="192"/>
      <c r="AT221" s="192"/>
      <c r="AU221" s="192"/>
      <c r="AV221" s="192"/>
      <c r="AW221" s="255" t="str">
        <f>IF(COUNTBLANK(AS221:AV221)=4,"",SUM(AS221:AU221)+IF(Setup!$I$15="No",0,AV221))</f>
        <v/>
      </c>
      <c r="AX221" s="192"/>
      <c r="AY221" s="192"/>
      <c r="AZ221" s="192"/>
      <c r="BA221" s="192"/>
      <c r="BB221" s="255" t="str">
        <f>IF(COUNTBLANK(AX221:BA221)=4,"",SUM(AX221:AZ221)+IF(Setup!$I$15="No",0,BA221))</f>
        <v/>
      </c>
      <c r="BC221" s="259" t="str">
        <f ca="1">IF('Demand background (hide)'!A212=Num_Modalities,"",SUM(Demand!I221))</f>
        <v/>
      </c>
      <c r="BD221" s="259" t="str">
        <f ca="1">IF(AND(A221&lt;=MaxRows,BE221&lt;&gt;"Yes"),'Demand background (hide)'!X212+IF(Setup!$I$15="Yes",'Demand background (hide)'!AJ212,0),"")</f>
        <v/>
      </c>
      <c r="BE221" s="209"/>
    </row>
    <row r="222" spans="1:57" x14ac:dyDescent="0.25">
      <c r="A222" t="str">
        <f t="shared" ca="1" si="12"/>
        <v/>
      </c>
      <c r="B222" s="264" t="str">
        <f t="shared" ca="1" si="13"/>
        <v xml:space="preserve"> </v>
      </c>
      <c r="C222" s="265" t="str">
        <f t="shared" ca="1" si="14"/>
        <v/>
      </c>
      <c r="D222" s="352" t="str">
        <f t="shared" ca="1" si="15"/>
        <v/>
      </c>
      <c r="E222" s="192"/>
      <c r="F222" s="192"/>
      <c r="G222" s="192"/>
      <c r="H222" s="192"/>
      <c r="I222" s="251" t="str">
        <f>IF(COUNTBLANK(E222:H222)=4,"",SUM(E222:G222)+IF(Setup!$I$15="No",0,H222))</f>
        <v/>
      </c>
      <c r="J222" s="192"/>
      <c r="K222" s="192"/>
      <c r="L222" s="192"/>
      <c r="M222" s="192"/>
      <c r="N222" s="255" t="str">
        <f>IF(COUNTBLANK(J222:M222)=4,"",SUM(J222:L222)+IF(Setup!$I$15="No",0,M222))</f>
        <v/>
      </c>
      <c r="O222" s="192"/>
      <c r="P222" s="192"/>
      <c r="Q222" s="192"/>
      <c r="R222" s="192"/>
      <c r="S222" s="255" t="str">
        <f>IF(COUNTBLANK(O222:R222)=4,"",SUM(O222:Q222)+IF(Setup!$I$15="No",0,R222))</f>
        <v/>
      </c>
      <c r="T222" s="192"/>
      <c r="U222" s="192"/>
      <c r="V222" s="192"/>
      <c r="W222" s="192"/>
      <c r="X222" s="255" t="str">
        <f>IF(COUNTBLANK(T222:W222)=4,"",SUM(T222:V222)+IF(Setup!$I$15="No",0,W222))</f>
        <v/>
      </c>
      <c r="Y222" s="192"/>
      <c r="Z222" s="192"/>
      <c r="AA222" s="192"/>
      <c r="AB222" s="192"/>
      <c r="AC222" s="255" t="str">
        <f>IF(COUNTBLANK(Y222:AB222)=4,"",SUM(Y222:AA222)+IF(Setup!$I$15="No",0,AB222))</f>
        <v/>
      </c>
      <c r="AD222" s="192"/>
      <c r="AE222" s="192"/>
      <c r="AF222" s="192"/>
      <c r="AG222" s="192"/>
      <c r="AH222" s="255" t="str">
        <f>IF(COUNTBLANK(AD222:AG222)=4,"",SUM(AD222:AF222)+IF(Setup!$I$15="No",0,AG222))</f>
        <v/>
      </c>
      <c r="AI222" s="192"/>
      <c r="AJ222" s="192"/>
      <c r="AK222" s="192"/>
      <c r="AL222" s="192"/>
      <c r="AM222" s="255" t="str">
        <f>IF(COUNTBLANK(AI222:AL222)=4,"",SUM(AI222:AK222)+IF(Setup!$I$15="No",0,AL222))</f>
        <v/>
      </c>
      <c r="AN222" s="192"/>
      <c r="AO222" s="192"/>
      <c r="AP222" s="192"/>
      <c r="AQ222" s="192"/>
      <c r="AR222" s="255" t="str">
        <f>IF(COUNTBLANK(AN222:AQ222)=4,"",SUM(AN222:AP222)+IF(Setup!$I$15="No",0,AQ222))</f>
        <v/>
      </c>
      <c r="AS222" s="192"/>
      <c r="AT222" s="192"/>
      <c r="AU222" s="192"/>
      <c r="AV222" s="192"/>
      <c r="AW222" s="255" t="str">
        <f>IF(COUNTBLANK(AS222:AV222)=4,"",SUM(AS222:AU222)+IF(Setup!$I$15="No",0,AV222))</f>
        <v/>
      </c>
      <c r="AX222" s="192"/>
      <c r="AY222" s="192"/>
      <c r="AZ222" s="192"/>
      <c r="BA222" s="192"/>
      <c r="BB222" s="255" t="str">
        <f>IF(COUNTBLANK(AX222:BA222)=4,"",SUM(AX222:AZ222)+IF(Setup!$I$15="No",0,BA222))</f>
        <v/>
      </c>
      <c r="BC222" s="259" t="str">
        <f ca="1">IF('Demand background (hide)'!A213=Num_Modalities,"",SUM(Demand!I222))</f>
        <v/>
      </c>
      <c r="BD222" s="259" t="str">
        <f ca="1">IF(AND(A222&lt;=MaxRows,BE222&lt;&gt;"Yes"),'Demand background (hide)'!X213+IF(Setup!$I$15="Yes",'Demand background (hide)'!AJ213,0),"")</f>
        <v/>
      </c>
      <c r="BE222" s="209"/>
    </row>
    <row r="223" spans="1:57" x14ac:dyDescent="0.25">
      <c r="A223" t="str">
        <f t="shared" ca="1" si="12"/>
        <v/>
      </c>
      <c r="B223" s="264" t="str">
        <f t="shared" ca="1" si="13"/>
        <v xml:space="preserve"> </v>
      </c>
      <c r="C223" s="265" t="str">
        <f t="shared" ca="1" si="14"/>
        <v/>
      </c>
      <c r="D223" s="352" t="str">
        <f t="shared" ca="1" si="15"/>
        <v/>
      </c>
      <c r="E223" s="192"/>
      <c r="F223" s="192"/>
      <c r="G223" s="192"/>
      <c r="H223" s="192"/>
      <c r="I223" s="251" t="str">
        <f>IF(COUNTBLANK(E223:H223)=4,"",SUM(E223:G223)+IF(Setup!$I$15="No",0,H223))</f>
        <v/>
      </c>
      <c r="J223" s="192"/>
      <c r="K223" s="192"/>
      <c r="L223" s="192"/>
      <c r="M223" s="192"/>
      <c r="N223" s="255" t="str">
        <f>IF(COUNTBLANK(J223:M223)=4,"",SUM(J223:L223)+IF(Setup!$I$15="No",0,M223))</f>
        <v/>
      </c>
      <c r="O223" s="192"/>
      <c r="P223" s="192"/>
      <c r="Q223" s="192"/>
      <c r="R223" s="192"/>
      <c r="S223" s="255" t="str">
        <f>IF(COUNTBLANK(O223:R223)=4,"",SUM(O223:Q223)+IF(Setup!$I$15="No",0,R223))</f>
        <v/>
      </c>
      <c r="T223" s="192"/>
      <c r="U223" s="192"/>
      <c r="V223" s="192"/>
      <c r="W223" s="192"/>
      <c r="X223" s="255" t="str">
        <f>IF(COUNTBLANK(T223:W223)=4,"",SUM(T223:V223)+IF(Setup!$I$15="No",0,W223))</f>
        <v/>
      </c>
      <c r="Y223" s="192"/>
      <c r="Z223" s="192"/>
      <c r="AA223" s="192"/>
      <c r="AB223" s="192"/>
      <c r="AC223" s="255" t="str">
        <f>IF(COUNTBLANK(Y223:AB223)=4,"",SUM(Y223:AA223)+IF(Setup!$I$15="No",0,AB223))</f>
        <v/>
      </c>
      <c r="AD223" s="192"/>
      <c r="AE223" s="192"/>
      <c r="AF223" s="192"/>
      <c r="AG223" s="192"/>
      <c r="AH223" s="255" t="str">
        <f>IF(COUNTBLANK(AD223:AG223)=4,"",SUM(AD223:AF223)+IF(Setup!$I$15="No",0,AG223))</f>
        <v/>
      </c>
      <c r="AI223" s="192"/>
      <c r="AJ223" s="192"/>
      <c r="AK223" s="192"/>
      <c r="AL223" s="192"/>
      <c r="AM223" s="255" t="str">
        <f>IF(COUNTBLANK(AI223:AL223)=4,"",SUM(AI223:AK223)+IF(Setup!$I$15="No",0,AL223))</f>
        <v/>
      </c>
      <c r="AN223" s="192"/>
      <c r="AO223" s="192"/>
      <c r="AP223" s="192"/>
      <c r="AQ223" s="192"/>
      <c r="AR223" s="255" t="str">
        <f>IF(COUNTBLANK(AN223:AQ223)=4,"",SUM(AN223:AP223)+IF(Setup!$I$15="No",0,AQ223))</f>
        <v/>
      </c>
      <c r="AS223" s="192"/>
      <c r="AT223" s="192"/>
      <c r="AU223" s="192"/>
      <c r="AV223" s="192"/>
      <c r="AW223" s="255" t="str">
        <f>IF(COUNTBLANK(AS223:AV223)=4,"",SUM(AS223:AU223)+IF(Setup!$I$15="No",0,AV223))</f>
        <v/>
      </c>
      <c r="AX223" s="192"/>
      <c r="AY223" s="192"/>
      <c r="AZ223" s="192"/>
      <c r="BA223" s="192"/>
      <c r="BB223" s="255" t="str">
        <f>IF(COUNTBLANK(AX223:BA223)=4,"",SUM(AX223:AZ223)+IF(Setup!$I$15="No",0,BA223))</f>
        <v/>
      </c>
      <c r="BC223" s="259" t="str">
        <f ca="1">IF('Demand background (hide)'!A214=Num_Modalities,"",SUM(Demand!I223))</f>
        <v/>
      </c>
      <c r="BD223" s="259" t="str">
        <f ca="1">IF(AND(A223&lt;=MaxRows,BE223&lt;&gt;"Yes"),'Demand background (hide)'!X214+IF(Setup!$I$15="Yes",'Demand background (hide)'!AJ214,0),"")</f>
        <v/>
      </c>
      <c r="BE223" s="209"/>
    </row>
    <row r="224" spans="1:57" x14ac:dyDescent="0.25">
      <c r="A224" t="str">
        <f t="shared" ca="1" si="12"/>
        <v/>
      </c>
      <c r="B224" s="264" t="str">
        <f t="shared" ca="1" si="13"/>
        <v xml:space="preserve"> </v>
      </c>
      <c r="C224" s="265" t="str">
        <f t="shared" ca="1" si="14"/>
        <v/>
      </c>
      <c r="D224" s="352" t="str">
        <f t="shared" ca="1" si="15"/>
        <v/>
      </c>
      <c r="E224" s="192"/>
      <c r="F224" s="192"/>
      <c r="G224" s="192"/>
      <c r="H224" s="192"/>
      <c r="I224" s="251" t="str">
        <f>IF(COUNTBLANK(E224:H224)=4,"",SUM(E224:G224)+IF(Setup!$I$15="No",0,H224))</f>
        <v/>
      </c>
      <c r="J224" s="192"/>
      <c r="K224" s="192"/>
      <c r="L224" s="192"/>
      <c r="M224" s="192"/>
      <c r="N224" s="255" t="str">
        <f>IF(COUNTBLANK(J224:M224)=4,"",SUM(J224:L224)+IF(Setup!$I$15="No",0,M224))</f>
        <v/>
      </c>
      <c r="O224" s="192"/>
      <c r="P224" s="192"/>
      <c r="Q224" s="192"/>
      <c r="R224" s="192"/>
      <c r="S224" s="255" t="str">
        <f>IF(COUNTBLANK(O224:R224)=4,"",SUM(O224:Q224)+IF(Setup!$I$15="No",0,R224))</f>
        <v/>
      </c>
      <c r="T224" s="192"/>
      <c r="U224" s="192"/>
      <c r="V224" s="192"/>
      <c r="W224" s="192"/>
      <c r="X224" s="255" t="str">
        <f>IF(COUNTBLANK(T224:W224)=4,"",SUM(T224:V224)+IF(Setup!$I$15="No",0,W224))</f>
        <v/>
      </c>
      <c r="Y224" s="192"/>
      <c r="Z224" s="192"/>
      <c r="AA224" s="192"/>
      <c r="AB224" s="192"/>
      <c r="AC224" s="255" t="str">
        <f>IF(COUNTBLANK(Y224:AB224)=4,"",SUM(Y224:AA224)+IF(Setup!$I$15="No",0,AB224))</f>
        <v/>
      </c>
      <c r="AD224" s="192"/>
      <c r="AE224" s="192"/>
      <c r="AF224" s="192"/>
      <c r="AG224" s="192"/>
      <c r="AH224" s="255" t="str">
        <f>IF(COUNTBLANK(AD224:AG224)=4,"",SUM(AD224:AF224)+IF(Setup!$I$15="No",0,AG224))</f>
        <v/>
      </c>
      <c r="AI224" s="192"/>
      <c r="AJ224" s="192"/>
      <c r="AK224" s="192"/>
      <c r="AL224" s="192"/>
      <c r="AM224" s="255" t="str">
        <f>IF(COUNTBLANK(AI224:AL224)=4,"",SUM(AI224:AK224)+IF(Setup!$I$15="No",0,AL224))</f>
        <v/>
      </c>
      <c r="AN224" s="192"/>
      <c r="AO224" s="192"/>
      <c r="AP224" s="192"/>
      <c r="AQ224" s="192"/>
      <c r="AR224" s="255" t="str">
        <f>IF(COUNTBLANK(AN224:AQ224)=4,"",SUM(AN224:AP224)+IF(Setup!$I$15="No",0,AQ224))</f>
        <v/>
      </c>
      <c r="AS224" s="192"/>
      <c r="AT224" s="192"/>
      <c r="AU224" s="192"/>
      <c r="AV224" s="192"/>
      <c r="AW224" s="255" t="str">
        <f>IF(COUNTBLANK(AS224:AV224)=4,"",SUM(AS224:AU224)+IF(Setup!$I$15="No",0,AV224))</f>
        <v/>
      </c>
      <c r="AX224" s="192"/>
      <c r="AY224" s="192"/>
      <c r="AZ224" s="192"/>
      <c r="BA224" s="192"/>
      <c r="BB224" s="255" t="str">
        <f>IF(COUNTBLANK(AX224:BA224)=4,"",SUM(AX224:AZ224)+IF(Setup!$I$15="No",0,BA224))</f>
        <v/>
      </c>
      <c r="BC224" s="259" t="str">
        <f ca="1">IF('Demand background (hide)'!A215=Num_Modalities,"",SUM(Demand!I224))</f>
        <v/>
      </c>
      <c r="BD224" s="259" t="str">
        <f ca="1">IF(AND(A224&lt;=MaxRows,BE224&lt;&gt;"Yes"),'Demand background (hide)'!X215+IF(Setup!$I$15="Yes",'Demand background (hide)'!AJ215,0),"")</f>
        <v/>
      </c>
      <c r="BE224" s="209"/>
    </row>
    <row r="225" spans="1:57" x14ac:dyDescent="0.25">
      <c r="A225" t="str">
        <f t="shared" ca="1" si="12"/>
        <v/>
      </c>
      <c r="B225" s="264" t="str">
        <f t="shared" ca="1" si="13"/>
        <v xml:space="preserve"> </v>
      </c>
      <c r="C225" s="265" t="str">
        <f t="shared" ca="1" si="14"/>
        <v/>
      </c>
      <c r="D225" s="352" t="str">
        <f t="shared" ca="1" si="15"/>
        <v/>
      </c>
      <c r="E225" s="192"/>
      <c r="F225" s="192"/>
      <c r="G225" s="192"/>
      <c r="H225" s="192"/>
      <c r="I225" s="251" t="str">
        <f>IF(COUNTBLANK(E225:H225)=4,"",SUM(E225:G225)+IF(Setup!$I$15="No",0,H225))</f>
        <v/>
      </c>
      <c r="J225" s="192"/>
      <c r="K225" s="192"/>
      <c r="L225" s="192"/>
      <c r="M225" s="192"/>
      <c r="N225" s="255" t="str">
        <f>IF(COUNTBLANK(J225:M225)=4,"",SUM(J225:L225)+IF(Setup!$I$15="No",0,M225))</f>
        <v/>
      </c>
      <c r="O225" s="192"/>
      <c r="P225" s="192"/>
      <c r="Q225" s="192"/>
      <c r="R225" s="192"/>
      <c r="S225" s="255" t="str">
        <f>IF(COUNTBLANK(O225:R225)=4,"",SUM(O225:Q225)+IF(Setup!$I$15="No",0,R225))</f>
        <v/>
      </c>
      <c r="T225" s="192"/>
      <c r="U225" s="192"/>
      <c r="V225" s="192"/>
      <c r="W225" s="192"/>
      <c r="X225" s="255" t="str">
        <f>IF(COUNTBLANK(T225:W225)=4,"",SUM(T225:V225)+IF(Setup!$I$15="No",0,W225))</f>
        <v/>
      </c>
      <c r="Y225" s="192"/>
      <c r="Z225" s="192"/>
      <c r="AA225" s="192"/>
      <c r="AB225" s="192"/>
      <c r="AC225" s="255" t="str">
        <f>IF(COUNTBLANK(Y225:AB225)=4,"",SUM(Y225:AA225)+IF(Setup!$I$15="No",0,AB225))</f>
        <v/>
      </c>
      <c r="AD225" s="192"/>
      <c r="AE225" s="192"/>
      <c r="AF225" s="192"/>
      <c r="AG225" s="192"/>
      <c r="AH225" s="255" t="str">
        <f>IF(COUNTBLANK(AD225:AG225)=4,"",SUM(AD225:AF225)+IF(Setup!$I$15="No",0,AG225))</f>
        <v/>
      </c>
      <c r="AI225" s="192"/>
      <c r="AJ225" s="192"/>
      <c r="AK225" s="192"/>
      <c r="AL225" s="192"/>
      <c r="AM225" s="255" t="str">
        <f>IF(COUNTBLANK(AI225:AL225)=4,"",SUM(AI225:AK225)+IF(Setup!$I$15="No",0,AL225))</f>
        <v/>
      </c>
      <c r="AN225" s="192"/>
      <c r="AO225" s="192"/>
      <c r="AP225" s="192"/>
      <c r="AQ225" s="192"/>
      <c r="AR225" s="255" t="str">
        <f>IF(COUNTBLANK(AN225:AQ225)=4,"",SUM(AN225:AP225)+IF(Setup!$I$15="No",0,AQ225))</f>
        <v/>
      </c>
      <c r="AS225" s="192"/>
      <c r="AT225" s="192"/>
      <c r="AU225" s="192"/>
      <c r="AV225" s="192"/>
      <c r="AW225" s="255" t="str">
        <f>IF(COUNTBLANK(AS225:AV225)=4,"",SUM(AS225:AU225)+IF(Setup!$I$15="No",0,AV225))</f>
        <v/>
      </c>
      <c r="AX225" s="192"/>
      <c r="AY225" s="192"/>
      <c r="AZ225" s="192"/>
      <c r="BA225" s="192"/>
      <c r="BB225" s="255" t="str">
        <f>IF(COUNTBLANK(AX225:BA225)=4,"",SUM(AX225:AZ225)+IF(Setup!$I$15="No",0,BA225))</f>
        <v/>
      </c>
      <c r="BC225" s="259" t="str">
        <f ca="1">IF('Demand background (hide)'!A216=Num_Modalities,"",SUM(Demand!I225))</f>
        <v/>
      </c>
      <c r="BD225" s="259" t="str">
        <f ca="1">IF(AND(A225&lt;=MaxRows,BE225&lt;&gt;"Yes"),'Demand background (hide)'!X216+IF(Setup!$I$15="Yes",'Demand background (hide)'!AJ216,0),"")</f>
        <v/>
      </c>
      <c r="BE225" s="209"/>
    </row>
    <row r="226" spans="1:57" x14ac:dyDescent="0.25">
      <c r="A226" t="str">
        <f t="shared" ca="1" si="12"/>
        <v/>
      </c>
      <c r="B226" s="264" t="str">
        <f t="shared" ca="1" si="13"/>
        <v xml:space="preserve"> </v>
      </c>
      <c r="C226" s="265" t="str">
        <f t="shared" ca="1" si="14"/>
        <v/>
      </c>
      <c r="D226" s="352" t="str">
        <f t="shared" ca="1" si="15"/>
        <v/>
      </c>
      <c r="E226" s="192"/>
      <c r="F226" s="192"/>
      <c r="G226" s="192"/>
      <c r="H226" s="192"/>
      <c r="I226" s="251" t="str">
        <f>IF(COUNTBLANK(E226:H226)=4,"",SUM(E226:G226)+IF(Setup!$I$15="No",0,H226))</f>
        <v/>
      </c>
      <c r="J226" s="192"/>
      <c r="K226" s="192"/>
      <c r="L226" s="192"/>
      <c r="M226" s="192"/>
      <c r="N226" s="255" t="str">
        <f>IF(COUNTBLANK(J226:M226)=4,"",SUM(J226:L226)+IF(Setup!$I$15="No",0,M226))</f>
        <v/>
      </c>
      <c r="O226" s="192"/>
      <c r="P226" s="192"/>
      <c r="Q226" s="192"/>
      <c r="R226" s="192"/>
      <c r="S226" s="255" t="str">
        <f>IF(COUNTBLANK(O226:R226)=4,"",SUM(O226:Q226)+IF(Setup!$I$15="No",0,R226))</f>
        <v/>
      </c>
      <c r="T226" s="192"/>
      <c r="U226" s="192"/>
      <c r="V226" s="192"/>
      <c r="W226" s="192"/>
      <c r="X226" s="255" t="str">
        <f>IF(COUNTBLANK(T226:W226)=4,"",SUM(T226:V226)+IF(Setup!$I$15="No",0,W226))</f>
        <v/>
      </c>
      <c r="Y226" s="192"/>
      <c r="Z226" s="192"/>
      <c r="AA226" s="192"/>
      <c r="AB226" s="192"/>
      <c r="AC226" s="255" t="str">
        <f>IF(COUNTBLANK(Y226:AB226)=4,"",SUM(Y226:AA226)+IF(Setup!$I$15="No",0,AB226))</f>
        <v/>
      </c>
      <c r="AD226" s="192"/>
      <c r="AE226" s="192"/>
      <c r="AF226" s="192"/>
      <c r="AG226" s="192"/>
      <c r="AH226" s="255" t="str">
        <f>IF(COUNTBLANK(AD226:AG226)=4,"",SUM(AD226:AF226)+IF(Setup!$I$15="No",0,AG226))</f>
        <v/>
      </c>
      <c r="AI226" s="192"/>
      <c r="AJ226" s="192"/>
      <c r="AK226" s="192"/>
      <c r="AL226" s="192"/>
      <c r="AM226" s="255" t="str">
        <f>IF(COUNTBLANK(AI226:AL226)=4,"",SUM(AI226:AK226)+IF(Setup!$I$15="No",0,AL226))</f>
        <v/>
      </c>
      <c r="AN226" s="192"/>
      <c r="AO226" s="192"/>
      <c r="AP226" s="192"/>
      <c r="AQ226" s="192"/>
      <c r="AR226" s="255" t="str">
        <f>IF(COUNTBLANK(AN226:AQ226)=4,"",SUM(AN226:AP226)+IF(Setup!$I$15="No",0,AQ226))</f>
        <v/>
      </c>
      <c r="AS226" s="192"/>
      <c r="AT226" s="192"/>
      <c r="AU226" s="192"/>
      <c r="AV226" s="192"/>
      <c r="AW226" s="255" t="str">
        <f>IF(COUNTBLANK(AS226:AV226)=4,"",SUM(AS226:AU226)+IF(Setup!$I$15="No",0,AV226))</f>
        <v/>
      </c>
      <c r="AX226" s="192"/>
      <c r="AY226" s="192"/>
      <c r="AZ226" s="192"/>
      <c r="BA226" s="192"/>
      <c r="BB226" s="255" t="str">
        <f>IF(COUNTBLANK(AX226:BA226)=4,"",SUM(AX226:AZ226)+IF(Setup!$I$15="No",0,BA226))</f>
        <v/>
      </c>
      <c r="BC226" s="259" t="str">
        <f ca="1">IF('Demand background (hide)'!A217=Num_Modalities,"",SUM(Demand!I226))</f>
        <v/>
      </c>
      <c r="BD226" s="259" t="str">
        <f ca="1">IF(AND(A226&lt;=MaxRows,BE226&lt;&gt;"Yes"),'Demand background (hide)'!X217+IF(Setup!$I$15="Yes",'Demand background (hide)'!AJ217,0),"")</f>
        <v/>
      </c>
      <c r="BE226" s="209"/>
    </row>
    <row r="227" spans="1:57" x14ac:dyDescent="0.25">
      <c r="A227" t="str">
        <f t="shared" ca="1" si="12"/>
        <v/>
      </c>
      <c r="B227" s="264" t="str">
        <f t="shared" ca="1" si="13"/>
        <v xml:space="preserve"> </v>
      </c>
      <c r="C227" s="265" t="str">
        <f t="shared" ca="1" si="14"/>
        <v/>
      </c>
      <c r="D227" s="352" t="str">
        <f t="shared" ca="1" si="15"/>
        <v/>
      </c>
      <c r="E227" s="192"/>
      <c r="F227" s="192"/>
      <c r="G227" s="192"/>
      <c r="H227" s="192"/>
      <c r="I227" s="251" t="str">
        <f>IF(COUNTBLANK(E227:H227)=4,"",SUM(E227:G227)+IF(Setup!$I$15="No",0,H227))</f>
        <v/>
      </c>
      <c r="J227" s="192"/>
      <c r="K227" s="192"/>
      <c r="L227" s="192"/>
      <c r="M227" s="192"/>
      <c r="N227" s="255" t="str">
        <f>IF(COUNTBLANK(J227:M227)=4,"",SUM(J227:L227)+IF(Setup!$I$15="No",0,M227))</f>
        <v/>
      </c>
      <c r="O227" s="192"/>
      <c r="P227" s="192"/>
      <c r="Q227" s="192"/>
      <c r="R227" s="192"/>
      <c r="S227" s="255" t="str">
        <f>IF(COUNTBLANK(O227:R227)=4,"",SUM(O227:Q227)+IF(Setup!$I$15="No",0,R227))</f>
        <v/>
      </c>
      <c r="T227" s="192"/>
      <c r="U227" s="192"/>
      <c r="V227" s="192"/>
      <c r="W227" s="192"/>
      <c r="X227" s="255" t="str">
        <f>IF(COUNTBLANK(T227:W227)=4,"",SUM(T227:V227)+IF(Setup!$I$15="No",0,W227))</f>
        <v/>
      </c>
      <c r="Y227" s="192"/>
      <c r="Z227" s="192"/>
      <c r="AA227" s="192"/>
      <c r="AB227" s="192"/>
      <c r="AC227" s="255" t="str">
        <f>IF(COUNTBLANK(Y227:AB227)=4,"",SUM(Y227:AA227)+IF(Setup!$I$15="No",0,AB227))</f>
        <v/>
      </c>
      <c r="AD227" s="192"/>
      <c r="AE227" s="192"/>
      <c r="AF227" s="192"/>
      <c r="AG227" s="192"/>
      <c r="AH227" s="255" t="str">
        <f>IF(COUNTBLANK(AD227:AG227)=4,"",SUM(AD227:AF227)+IF(Setup!$I$15="No",0,AG227))</f>
        <v/>
      </c>
      <c r="AI227" s="192"/>
      <c r="AJ227" s="192"/>
      <c r="AK227" s="192"/>
      <c r="AL227" s="192"/>
      <c r="AM227" s="255" t="str">
        <f>IF(COUNTBLANK(AI227:AL227)=4,"",SUM(AI227:AK227)+IF(Setup!$I$15="No",0,AL227))</f>
        <v/>
      </c>
      <c r="AN227" s="192"/>
      <c r="AO227" s="192"/>
      <c r="AP227" s="192"/>
      <c r="AQ227" s="192"/>
      <c r="AR227" s="255" t="str">
        <f>IF(COUNTBLANK(AN227:AQ227)=4,"",SUM(AN227:AP227)+IF(Setup!$I$15="No",0,AQ227))</f>
        <v/>
      </c>
      <c r="AS227" s="192"/>
      <c r="AT227" s="192"/>
      <c r="AU227" s="192"/>
      <c r="AV227" s="192"/>
      <c r="AW227" s="255" t="str">
        <f>IF(COUNTBLANK(AS227:AV227)=4,"",SUM(AS227:AU227)+IF(Setup!$I$15="No",0,AV227))</f>
        <v/>
      </c>
      <c r="AX227" s="192"/>
      <c r="AY227" s="192"/>
      <c r="AZ227" s="192"/>
      <c r="BA227" s="192"/>
      <c r="BB227" s="255" t="str">
        <f>IF(COUNTBLANK(AX227:BA227)=4,"",SUM(AX227:AZ227)+IF(Setup!$I$15="No",0,BA227))</f>
        <v/>
      </c>
      <c r="BC227" s="259" t="str">
        <f ca="1">IF('Demand background (hide)'!A218=Num_Modalities,"",SUM(Demand!I227))</f>
        <v/>
      </c>
      <c r="BD227" s="259" t="str">
        <f ca="1">IF(AND(A227&lt;=MaxRows,BE227&lt;&gt;"Yes"),'Demand background (hide)'!X218+IF(Setup!$I$15="Yes",'Demand background (hide)'!AJ218,0),"")</f>
        <v/>
      </c>
      <c r="BE227" s="209"/>
    </row>
    <row r="228" spans="1:57" x14ac:dyDescent="0.25">
      <c r="A228" t="str">
        <f t="shared" ca="1" si="12"/>
        <v/>
      </c>
      <c r="B228" s="264" t="str">
        <f t="shared" ca="1" si="13"/>
        <v xml:space="preserve"> </v>
      </c>
      <c r="C228" s="265" t="str">
        <f t="shared" ca="1" si="14"/>
        <v/>
      </c>
      <c r="D228" s="352" t="str">
        <f t="shared" ca="1" si="15"/>
        <v/>
      </c>
      <c r="E228" s="192"/>
      <c r="F228" s="192"/>
      <c r="G228" s="192"/>
      <c r="H228" s="192"/>
      <c r="I228" s="251" t="str">
        <f>IF(COUNTBLANK(E228:H228)=4,"",SUM(E228:G228)+IF(Setup!$I$15="No",0,H228))</f>
        <v/>
      </c>
      <c r="J228" s="192"/>
      <c r="K228" s="192"/>
      <c r="L228" s="192"/>
      <c r="M228" s="192"/>
      <c r="N228" s="255" t="str">
        <f>IF(COUNTBLANK(J228:M228)=4,"",SUM(J228:L228)+IF(Setup!$I$15="No",0,M228))</f>
        <v/>
      </c>
      <c r="O228" s="192"/>
      <c r="P228" s="192"/>
      <c r="Q228" s="192"/>
      <c r="R228" s="192"/>
      <c r="S228" s="255" t="str">
        <f>IF(COUNTBLANK(O228:R228)=4,"",SUM(O228:Q228)+IF(Setup!$I$15="No",0,R228))</f>
        <v/>
      </c>
      <c r="T228" s="192"/>
      <c r="U228" s="192"/>
      <c r="V228" s="192"/>
      <c r="W228" s="192"/>
      <c r="X228" s="255" t="str">
        <f>IF(COUNTBLANK(T228:W228)=4,"",SUM(T228:V228)+IF(Setup!$I$15="No",0,W228))</f>
        <v/>
      </c>
      <c r="Y228" s="192"/>
      <c r="Z228" s="192"/>
      <c r="AA228" s="192"/>
      <c r="AB228" s="192"/>
      <c r="AC228" s="255" t="str">
        <f>IF(COUNTBLANK(Y228:AB228)=4,"",SUM(Y228:AA228)+IF(Setup!$I$15="No",0,AB228))</f>
        <v/>
      </c>
      <c r="AD228" s="192"/>
      <c r="AE228" s="192"/>
      <c r="AF228" s="192"/>
      <c r="AG228" s="192"/>
      <c r="AH228" s="255" t="str">
        <f>IF(COUNTBLANK(AD228:AG228)=4,"",SUM(AD228:AF228)+IF(Setup!$I$15="No",0,AG228))</f>
        <v/>
      </c>
      <c r="AI228" s="192"/>
      <c r="AJ228" s="192"/>
      <c r="AK228" s="192"/>
      <c r="AL228" s="192"/>
      <c r="AM228" s="255" t="str">
        <f>IF(COUNTBLANK(AI228:AL228)=4,"",SUM(AI228:AK228)+IF(Setup!$I$15="No",0,AL228))</f>
        <v/>
      </c>
      <c r="AN228" s="192"/>
      <c r="AO228" s="192"/>
      <c r="AP228" s="192"/>
      <c r="AQ228" s="192"/>
      <c r="AR228" s="255" t="str">
        <f>IF(COUNTBLANK(AN228:AQ228)=4,"",SUM(AN228:AP228)+IF(Setup!$I$15="No",0,AQ228))</f>
        <v/>
      </c>
      <c r="AS228" s="192"/>
      <c r="AT228" s="192"/>
      <c r="AU228" s="192"/>
      <c r="AV228" s="192"/>
      <c r="AW228" s="255" t="str">
        <f>IF(COUNTBLANK(AS228:AV228)=4,"",SUM(AS228:AU228)+IF(Setup!$I$15="No",0,AV228))</f>
        <v/>
      </c>
      <c r="AX228" s="192"/>
      <c r="AY228" s="192"/>
      <c r="AZ228" s="192"/>
      <c r="BA228" s="192"/>
      <c r="BB228" s="255" t="str">
        <f>IF(COUNTBLANK(AX228:BA228)=4,"",SUM(AX228:AZ228)+IF(Setup!$I$15="No",0,BA228))</f>
        <v/>
      </c>
      <c r="BC228" s="259" t="str">
        <f ca="1">IF('Demand background (hide)'!A219=Num_Modalities,"",SUM(Demand!I228))</f>
        <v/>
      </c>
      <c r="BD228" s="259" t="str">
        <f ca="1">IF(AND(A228&lt;=MaxRows,BE228&lt;&gt;"Yes"),'Demand background (hide)'!X219+IF(Setup!$I$15="Yes",'Demand background (hide)'!AJ219,0),"")</f>
        <v/>
      </c>
      <c r="BE228" s="209"/>
    </row>
    <row r="229" spans="1:57" x14ac:dyDescent="0.25">
      <c r="A229" t="str">
        <f t="shared" ca="1" si="12"/>
        <v/>
      </c>
      <c r="B229" s="264" t="str">
        <f t="shared" ca="1" si="13"/>
        <v xml:space="preserve"> </v>
      </c>
      <c r="C229" s="265" t="str">
        <f t="shared" ca="1" si="14"/>
        <v/>
      </c>
      <c r="D229" s="352" t="str">
        <f t="shared" ca="1" si="15"/>
        <v/>
      </c>
      <c r="E229" s="192"/>
      <c r="F229" s="192"/>
      <c r="G229" s="192"/>
      <c r="H229" s="192"/>
      <c r="I229" s="251" t="str">
        <f>IF(COUNTBLANK(E229:H229)=4,"",SUM(E229:G229)+IF(Setup!$I$15="No",0,H229))</f>
        <v/>
      </c>
      <c r="J229" s="192"/>
      <c r="K229" s="192"/>
      <c r="L229" s="192"/>
      <c r="M229" s="192"/>
      <c r="N229" s="255" t="str">
        <f>IF(COUNTBLANK(J229:M229)=4,"",SUM(J229:L229)+IF(Setup!$I$15="No",0,M229))</f>
        <v/>
      </c>
      <c r="O229" s="192"/>
      <c r="P229" s="192"/>
      <c r="Q229" s="192"/>
      <c r="R229" s="192"/>
      <c r="S229" s="255" t="str">
        <f>IF(COUNTBLANK(O229:R229)=4,"",SUM(O229:Q229)+IF(Setup!$I$15="No",0,R229))</f>
        <v/>
      </c>
      <c r="T229" s="192"/>
      <c r="U229" s="192"/>
      <c r="V229" s="192"/>
      <c r="W229" s="192"/>
      <c r="X229" s="255" t="str">
        <f>IF(COUNTBLANK(T229:W229)=4,"",SUM(T229:V229)+IF(Setup!$I$15="No",0,W229))</f>
        <v/>
      </c>
      <c r="Y229" s="192"/>
      <c r="Z229" s="192"/>
      <c r="AA229" s="192"/>
      <c r="AB229" s="192"/>
      <c r="AC229" s="255" t="str">
        <f>IF(COUNTBLANK(Y229:AB229)=4,"",SUM(Y229:AA229)+IF(Setup!$I$15="No",0,AB229))</f>
        <v/>
      </c>
      <c r="AD229" s="192"/>
      <c r="AE229" s="192"/>
      <c r="AF229" s="192"/>
      <c r="AG229" s="192"/>
      <c r="AH229" s="255" t="str">
        <f>IF(COUNTBLANK(AD229:AG229)=4,"",SUM(AD229:AF229)+IF(Setup!$I$15="No",0,AG229))</f>
        <v/>
      </c>
      <c r="AI229" s="192"/>
      <c r="AJ229" s="192"/>
      <c r="AK229" s="192"/>
      <c r="AL229" s="192"/>
      <c r="AM229" s="255" t="str">
        <f>IF(COUNTBLANK(AI229:AL229)=4,"",SUM(AI229:AK229)+IF(Setup!$I$15="No",0,AL229))</f>
        <v/>
      </c>
      <c r="AN229" s="192"/>
      <c r="AO229" s="192"/>
      <c r="AP229" s="192"/>
      <c r="AQ229" s="192"/>
      <c r="AR229" s="255" t="str">
        <f>IF(COUNTBLANK(AN229:AQ229)=4,"",SUM(AN229:AP229)+IF(Setup!$I$15="No",0,AQ229))</f>
        <v/>
      </c>
      <c r="AS229" s="192"/>
      <c r="AT229" s="192"/>
      <c r="AU229" s="192"/>
      <c r="AV229" s="192"/>
      <c r="AW229" s="255" t="str">
        <f>IF(COUNTBLANK(AS229:AV229)=4,"",SUM(AS229:AU229)+IF(Setup!$I$15="No",0,AV229))</f>
        <v/>
      </c>
      <c r="AX229" s="192"/>
      <c r="AY229" s="192"/>
      <c r="AZ229" s="192"/>
      <c r="BA229" s="192"/>
      <c r="BB229" s="255" t="str">
        <f>IF(COUNTBLANK(AX229:BA229)=4,"",SUM(AX229:AZ229)+IF(Setup!$I$15="No",0,BA229))</f>
        <v/>
      </c>
      <c r="BC229" s="259" t="str">
        <f ca="1">IF('Demand background (hide)'!A220=Num_Modalities,"",SUM(Demand!I229))</f>
        <v/>
      </c>
      <c r="BD229" s="259" t="str">
        <f ca="1">IF(AND(A229&lt;=MaxRows,BE229&lt;&gt;"Yes"),'Demand background (hide)'!X220+IF(Setup!$I$15="Yes",'Demand background (hide)'!AJ220,0),"")</f>
        <v/>
      </c>
      <c r="BE229" s="209"/>
    </row>
    <row r="230" spans="1:57" x14ac:dyDescent="0.25">
      <c r="A230" t="str">
        <f t="shared" ca="1" si="12"/>
        <v/>
      </c>
      <c r="B230" s="264" t="str">
        <f t="shared" ca="1" si="13"/>
        <v xml:space="preserve"> </v>
      </c>
      <c r="C230" s="265" t="str">
        <f t="shared" ca="1" si="14"/>
        <v/>
      </c>
      <c r="D230" s="352" t="str">
        <f t="shared" ca="1" si="15"/>
        <v/>
      </c>
      <c r="E230" s="192"/>
      <c r="F230" s="192"/>
      <c r="G230" s="192"/>
      <c r="H230" s="192"/>
      <c r="I230" s="251" t="str">
        <f>IF(COUNTBLANK(E230:H230)=4,"",SUM(E230:G230)+IF(Setup!$I$15="No",0,H230))</f>
        <v/>
      </c>
      <c r="J230" s="192"/>
      <c r="K230" s="192"/>
      <c r="L230" s="192"/>
      <c r="M230" s="192"/>
      <c r="N230" s="255" t="str">
        <f>IF(COUNTBLANK(J230:M230)=4,"",SUM(J230:L230)+IF(Setup!$I$15="No",0,M230))</f>
        <v/>
      </c>
      <c r="O230" s="192"/>
      <c r="P230" s="192"/>
      <c r="Q230" s="192"/>
      <c r="R230" s="192"/>
      <c r="S230" s="255" t="str">
        <f>IF(COUNTBLANK(O230:R230)=4,"",SUM(O230:Q230)+IF(Setup!$I$15="No",0,R230))</f>
        <v/>
      </c>
      <c r="T230" s="192"/>
      <c r="U230" s="192"/>
      <c r="V230" s="192"/>
      <c r="W230" s="192"/>
      <c r="X230" s="255" t="str">
        <f>IF(COUNTBLANK(T230:W230)=4,"",SUM(T230:V230)+IF(Setup!$I$15="No",0,W230))</f>
        <v/>
      </c>
      <c r="Y230" s="192"/>
      <c r="Z230" s="192"/>
      <c r="AA230" s="192"/>
      <c r="AB230" s="192"/>
      <c r="AC230" s="255" t="str">
        <f>IF(COUNTBLANK(Y230:AB230)=4,"",SUM(Y230:AA230)+IF(Setup!$I$15="No",0,AB230))</f>
        <v/>
      </c>
      <c r="AD230" s="192"/>
      <c r="AE230" s="192"/>
      <c r="AF230" s="192"/>
      <c r="AG230" s="192"/>
      <c r="AH230" s="255" t="str">
        <f>IF(COUNTBLANK(AD230:AG230)=4,"",SUM(AD230:AF230)+IF(Setup!$I$15="No",0,AG230))</f>
        <v/>
      </c>
      <c r="AI230" s="192"/>
      <c r="AJ230" s="192"/>
      <c r="AK230" s="192"/>
      <c r="AL230" s="192"/>
      <c r="AM230" s="255" t="str">
        <f>IF(COUNTBLANK(AI230:AL230)=4,"",SUM(AI230:AK230)+IF(Setup!$I$15="No",0,AL230))</f>
        <v/>
      </c>
      <c r="AN230" s="192"/>
      <c r="AO230" s="192"/>
      <c r="AP230" s="192"/>
      <c r="AQ230" s="192"/>
      <c r="AR230" s="255" t="str">
        <f>IF(COUNTBLANK(AN230:AQ230)=4,"",SUM(AN230:AP230)+IF(Setup!$I$15="No",0,AQ230))</f>
        <v/>
      </c>
      <c r="AS230" s="192"/>
      <c r="AT230" s="192"/>
      <c r="AU230" s="192"/>
      <c r="AV230" s="192"/>
      <c r="AW230" s="255" t="str">
        <f>IF(COUNTBLANK(AS230:AV230)=4,"",SUM(AS230:AU230)+IF(Setup!$I$15="No",0,AV230))</f>
        <v/>
      </c>
      <c r="AX230" s="192"/>
      <c r="AY230" s="192"/>
      <c r="AZ230" s="192"/>
      <c r="BA230" s="192"/>
      <c r="BB230" s="255" t="str">
        <f>IF(COUNTBLANK(AX230:BA230)=4,"",SUM(AX230:AZ230)+IF(Setup!$I$15="No",0,BA230))</f>
        <v/>
      </c>
      <c r="BC230" s="259" t="str">
        <f ca="1">IF('Demand background (hide)'!A221=Num_Modalities,"",SUM(Demand!I230))</f>
        <v/>
      </c>
      <c r="BD230" s="259" t="str">
        <f ca="1">IF(AND(A230&lt;=MaxRows,BE230&lt;&gt;"Yes"),'Demand background (hide)'!X221+IF(Setup!$I$15="Yes",'Demand background (hide)'!AJ221,0),"")</f>
        <v/>
      </c>
      <c r="BE230" s="209"/>
    </row>
    <row r="231" spans="1:57" x14ac:dyDescent="0.25">
      <c r="A231" t="str">
        <f t="shared" ca="1" si="12"/>
        <v/>
      </c>
      <c r="B231" s="264" t="str">
        <f t="shared" ca="1" si="13"/>
        <v xml:space="preserve"> </v>
      </c>
      <c r="C231" s="265" t="str">
        <f t="shared" ca="1" si="14"/>
        <v/>
      </c>
      <c r="D231" s="352" t="str">
        <f t="shared" ca="1" si="15"/>
        <v/>
      </c>
      <c r="E231" s="192"/>
      <c r="F231" s="192"/>
      <c r="G231" s="192"/>
      <c r="H231" s="192"/>
      <c r="I231" s="251" t="str">
        <f>IF(COUNTBLANK(E231:H231)=4,"",SUM(E231:G231)+IF(Setup!$I$15="No",0,H231))</f>
        <v/>
      </c>
      <c r="J231" s="192"/>
      <c r="K231" s="192"/>
      <c r="L231" s="192"/>
      <c r="M231" s="192"/>
      <c r="N231" s="255" t="str">
        <f>IF(COUNTBLANK(J231:M231)=4,"",SUM(J231:L231)+IF(Setup!$I$15="No",0,M231))</f>
        <v/>
      </c>
      <c r="O231" s="192"/>
      <c r="P231" s="192"/>
      <c r="Q231" s="192"/>
      <c r="R231" s="192"/>
      <c r="S231" s="255" t="str">
        <f>IF(COUNTBLANK(O231:R231)=4,"",SUM(O231:Q231)+IF(Setup!$I$15="No",0,R231))</f>
        <v/>
      </c>
      <c r="T231" s="192"/>
      <c r="U231" s="192"/>
      <c r="V231" s="192"/>
      <c r="W231" s="192"/>
      <c r="X231" s="255" t="str">
        <f>IF(COUNTBLANK(T231:W231)=4,"",SUM(T231:V231)+IF(Setup!$I$15="No",0,W231))</f>
        <v/>
      </c>
      <c r="Y231" s="192"/>
      <c r="Z231" s="192"/>
      <c r="AA231" s="192"/>
      <c r="AB231" s="192"/>
      <c r="AC231" s="255" t="str">
        <f>IF(COUNTBLANK(Y231:AB231)=4,"",SUM(Y231:AA231)+IF(Setup!$I$15="No",0,AB231))</f>
        <v/>
      </c>
      <c r="AD231" s="192"/>
      <c r="AE231" s="192"/>
      <c r="AF231" s="192"/>
      <c r="AG231" s="192"/>
      <c r="AH231" s="255" t="str">
        <f>IF(COUNTBLANK(AD231:AG231)=4,"",SUM(AD231:AF231)+IF(Setup!$I$15="No",0,AG231))</f>
        <v/>
      </c>
      <c r="AI231" s="192"/>
      <c r="AJ231" s="192"/>
      <c r="AK231" s="192"/>
      <c r="AL231" s="192"/>
      <c r="AM231" s="255" t="str">
        <f>IF(COUNTBLANK(AI231:AL231)=4,"",SUM(AI231:AK231)+IF(Setup!$I$15="No",0,AL231))</f>
        <v/>
      </c>
      <c r="AN231" s="192"/>
      <c r="AO231" s="192"/>
      <c r="AP231" s="192"/>
      <c r="AQ231" s="192"/>
      <c r="AR231" s="255" t="str">
        <f>IF(COUNTBLANK(AN231:AQ231)=4,"",SUM(AN231:AP231)+IF(Setup!$I$15="No",0,AQ231))</f>
        <v/>
      </c>
      <c r="AS231" s="192"/>
      <c r="AT231" s="192"/>
      <c r="AU231" s="192"/>
      <c r="AV231" s="192"/>
      <c r="AW231" s="255" t="str">
        <f>IF(COUNTBLANK(AS231:AV231)=4,"",SUM(AS231:AU231)+IF(Setup!$I$15="No",0,AV231))</f>
        <v/>
      </c>
      <c r="AX231" s="192"/>
      <c r="AY231" s="192"/>
      <c r="AZ231" s="192"/>
      <c r="BA231" s="192"/>
      <c r="BB231" s="255" t="str">
        <f>IF(COUNTBLANK(AX231:BA231)=4,"",SUM(AX231:AZ231)+IF(Setup!$I$15="No",0,BA231))</f>
        <v/>
      </c>
      <c r="BC231" s="259" t="str">
        <f ca="1">IF('Demand background (hide)'!A222=Num_Modalities,"",SUM(Demand!I231))</f>
        <v/>
      </c>
      <c r="BD231" s="259" t="str">
        <f ca="1">IF(AND(A231&lt;=MaxRows,BE231&lt;&gt;"Yes"),'Demand background (hide)'!X222+IF(Setup!$I$15="Yes",'Demand background (hide)'!AJ222,0),"")</f>
        <v/>
      </c>
      <c r="BE231" s="209"/>
    </row>
    <row r="232" spans="1:57" x14ac:dyDescent="0.25">
      <c r="A232" t="str">
        <f t="shared" ca="1" si="12"/>
        <v/>
      </c>
      <c r="B232" s="264" t="str">
        <f t="shared" ca="1" si="13"/>
        <v xml:space="preserve"> </v>
      </c>
      <c r="C232" s="265" t="str">
        <f t="shared" ca="1" si="14"/>
        <v/>
      </c>
      <c r="D232" s="352" t="str">
        <f t="shared" ca="1" si="15"/>
        <v/>
      </c>
      <c r="E232" s="192"/>
      <c r="F232" s="192"/>
      <c r="G232" s="192"/>
      <c r="H232" s="192"/>
      <c r="I232" s="251" t="str">
        <f>IF(COUNTBLANK(E232:H232)=4,"",SUM(E232:G232)+IF(Setup!$I$15="No",0,H232))</f>
        <v/>
      </c>
      <c r="J232" s="192"/>
      <c r="K232" s="192"/>
      <c r="L232" s="192"/>
      <c r="M232" s="192"/>
      <c r="N232" s="255" t="str">
        <f>IF(COUNTBLANK(J232:M232)=4,"",SUM(J232:L232)+IF(Setup!$I$15="No",0,M232))</f>
        <v/>
      </c>
      <c r="O232" s="192"/>
      <c r="P232" s="192"/>
      <c r="Q232" s="192"/>
      <c r="R232" s="192"/>
      <c r="S232" s="255" t="str">
        <f>IF(COUNTBLANK(O232:R232)=4,"",SUM(O232:Q232)+IF(Setup!$I$15="No",0,R232))</f>
        <v/>
      </c>
      <c r="T232" s="192"/>
      <c r="U232" s="192"/>
      <c r="V232" s="192"/>
      <c r="W232" s="192"/>
      <c r="X232" s="255" t="str">
        <f>IF(COUNTBLANK(T232:W232)=4,"",SUM(T232:V232)+IF(Setup!$I$15="No",0,W232))</f>
        <v/>
      </c>
      <c r="Y232" s="192"/>
      <c r="Z232" s="192"/>
      <c r="AA232" s="192"/>
      <c r="AB232" s="192"/>
      <c r="AC232" s="255" t="str">
        <f>IF(COUNTBLANK(Y232:AB232)=4,"",SUM(Y232:AA232)+IF(Setup!$I$15="No",0,AB232))</f>
        <v/>
      </c>
      <c r="AD232" s="192"/>
      <c r="AE232" s="192"/>
      <c r="AF232" s="192"/>
      <c r="AG232" s="192"/>
      <c r="AH232" s="255" t="str">
        <f>IF(COUNTBLANK(AD232:AG232)=4,"",SUM(AD232:AF232)+IF(Setup!$I$15="No",0,AG232))</f>
        <v/>
      </c>
      <c r="AI232" s="192"/>
      <c r="AJ232" s="192"/>
      <c r="AK232" s="192"/>
      <c r="AL232" s="192"/>
      <c r="AM232" s="255" t="str">
        <f>IF(COUNTBLANK(AI232:AL232)=4,"",SUM(AI232:AK232)+IF(Setup!$I$15="No",0,AL232))</f>
        <v/>
      </c>
      <c r="AN232" s="192"/>
      <c r="AO232" s="192"/>
      <c r="AP232" s="192"/>
      <c r="AQ232" s="192"/>
      <c r="AR232" s="255" t="str">
        <f>IF(COUNTBLANK(AN232:AQ232)=4,"",SUM(AN232:AP232)+IF(Setup!$I$15="No",0,AQ232))</f>
        <v/>
      </c>
      <c r="AS232" s="192"/>
      <c r="AT232" s="192"/>
      <c r="AU232" s="192"/>
      <c r="AV232" s="192"/>
      <c r="AW232" s="255" t="str">
        <f>IF(COUNTBLANK(AS232:AV232)=4,"",SUM(AS232:AU232)+IF(Setup!$I$15="No",0,AV232))</f>
        <v/>
      </c>
      <c r="AX232" s="192"/>
      <c r="AY232" s="192"/>
      <c r="AZ232" s="192"/>
      <c r="BA232" s="192"/>
      <c r="BB232" s="255" t="str">
        <f>IF(COUNTBLANK(AX232:BA232)=4,"",SUM(AX232:AZ232)+IF(Setup!$I$15="No",0,BA232))</f>
        <v/>
      </c>
      <c r="BC232" s="259" t="str">
        <f ca="1">IF('Demand background (hide)'!A223=Num_Modalities,"",SUM(Demand!I232))</f>
        <v/>
      </c>
      <c r="BD232" s="259" t="str">
        <f ca="1">IF(AND(A232&lt;=MaxRows,BE232&lt;&gt;"Yes"),'Demand background (hide)'!X223+IF(Setup!$I$15="Yes",'Demand background (hide)'!AJ223,0),"")</f>
        <v/>
      </c>
      <c r="BE232" s="209"/>
    </row>
    <row r="233" spans="1:57" x14ac:dyDescent="0.25">
      <c r="A233" t="str">
        <f t="shared" ca="1" si="12"/>
        <v/>
      </c>
      <c r="B233" s="264" t="str">
        <f t="shared" ca="1" si="13"/>
        <v xml:space="preserve"> </v>
      </c>
      <c r="C233" s="265" t="str">
        <f t="shared" ca="1" si="14"/>
        <v/>
      </c>
      <c r="D233" s="352" t="str">
        <f t="shared" ca="1" si="15"/>
        <v/>
      </c>
      <c r="E233" s="192"/>
      <c r="F233" s="192"/>
      <c r="G233" s="192"/>
      <c r="H233" s="192"/>
      <c r="I233" s="251" t="str">
        <f>IF(COUNTBLANK(E233:H233)=4,"",SUM(E233:G233)+IF(Setup!$I$15="No",0,H233))</f>
        <v/>
      </c>
      <c r="J233" s="192"/>
      <c r="K233" s="192"/>
      <c r="L233" s="192"/>
      <c r="M233" s="192"/>
      <c r="N233" s="255" t="str">
        <f>IF(COUNTBLANK(J233:M233)=4,"",SUM(J233:L233)+IF(Setup!$I$15="No",0,M233))</f>
        <v/>
      </c>
      <c r="O233" s="192"/>
      <c r="P233" s="192"/>
      <c r="Q233" s="192"/>
      <c r="R233" s="192"/>
      <c r="S233" s="255" t="str">
        <f>IF(COUNTBLANK(O233:R233)=4,"",SUM(O233:Q233)+IF(Setup!$I$15="No",0,R233))</f>
        <v/>
      </c>
      <c r="T233" s="192"/>
      <c r="U233" s="192"/>
      <c r="V233" s="192"/>
      <c r="W233" s="192"/>
      <c r="X233" s="255" t="str">
        <f>IF(COUNTBLANK(T233:W233)=4,"",SUM(T233:V233)+IF(Setup!$I$15="No",0,W233))</f>
        <v/>
      </c>
      <c r="Y233" s="192"/>
      <c r="Z233" s="192"/>
      <c r="AA233" s="192"/>
      <c r="AB233" s="192"/>
      <c r="AC233" s="255" t="str">
        <f>IF(COUNTBLANK(Y233:AB233)=4,"",SUM(Y233:AA233)+IF(Setup!$I$15="No",0,AB233))</f>
        <v/>
      </c>
      <c r="AD233" s="192"/>
      <c r="AE233" s="192"/>
      <c r="AF233" s="192"/>
      <c r="AG233" s="192"/>
      <c r="AH233" s="255" t="str">
        <f>IF(COUNTBLANK(AD233:AG233)=4,"",SUM(AD233:AF233)+IF(Setup!$I$15="No",0,AG233))</f>
        <v/>
      </c>
      <c r="AI233" s="192"/>
      <c r="AJ233" s="192"/>
      <c r="AK233" s="192"/>
      <c r="AL233" s="192"/>
      <c r="AM233" s="255" t="str">
        <f>IF(COUNTBLANK(AI233:AL233)=4,"",SUM(AI233:AK233)+IF(Setup!$I$15="No",0,AL233))</f>
        <v/>
      </c>
      <c r="AN233" s="192"/>
      <c r="AO233" s="192"/>
      <c r="AP233" s="192"/>
      <c r="AQ233" s="192"/>
      <c r="AR233" s="255" t="str">
        <f>IF(COUNTBLANK(AN233:AQ233)=4,"",SUM(AN233:AP233)+IF(Setup!$I$15="No",0,AQ233))</f>
        <v/>
      </c>
      <c r="AS233" s="192"/>
      <c r="AT233" s="192"/>
      <c r="AU233" s="192"/>
      <c r="AV233" s="192"/>
      <c r="AW233" s="255" t="str">
        <f>IF(COUNTBLANK(AS233:AV233)=4,"",SUM(AS233:AU233)+IF(Setup!$I$15="No",0,AV233))</f>
        <v/>
      </c>
      <c r="AX233" s="192"/>
      <c r="AY233" s="192"/>
      <c r="AZ233" s="192"/>
      <c r="BA233" s="192"/>
      <c r="BB233" s="255" t="str">
        <f>IF(COUNTBLANK(AX233:BA233)=4,"",SUM(AX233:AZ233)+IF(Setup!$I$15="No",0,BA233))</f>
        <v/>
      </c>
      <c r="BC233" s="259" t="str">
        <f ca="1">IF('Demand background (hide)'!A224=Num_Modalities,"",SUM(Demand!I233))</f>
        <v/>
      </c>
      <c r="BD233" s="259" t="str">
        <f ca="1">IF(AND(A233&lt;=MaxRows,BE233&lt;&gt;"Yes"),'Demand background (hide)'!X224+IF(Setup!$I$15="Yes",'Demand background (hide)'!AJ224,0),"")</f>
        <v/>
      </c>
      <c r="BE233" s="209"/>
    </row>
    <row r="234" spans="1:57" x14ac:dyDescent="0.25">
      <c r="A234" t="str">
        <f t="shared" ca="1" si="12"/>
        <v/>
      </c>
      <c r="B234" s="264" t="str">
        <f t="shared" ca="1" si="13"/>
        <v xml:space="preserve"> </v>
      </c>
      <c r="C234" s="265" t="str">
        <f t="shared" ca="1" si="14"/>
        <v/>
      </c>
      <c r="D234" s="352" t="str">
        <f t="shared" ca="1" si="15"/>
        <v/>
      </c>
      <c r="E234" s="192"/>
      <c r="F234" s="192"/>
      <c r="G234" s="192"/>
      <c r="H234" s="192"/>
      <c r="I234" s="251" t="str">
        <f>IF(COUNTBLANK(E234:H234)=4,"",SUM(E234:G234)+IF(Setup!$I$15="No",0,H234))</f>
        <v/>
      </c>
      <c r="J234" s="192"/>
      <c r="K234" s="192"/>
      <c r="L234" s="192"/>
      <c r="M234" s="192"/>
      <c r="N234" s="255" t="str">
        <f>IF(COUNTBLANK(J234:M234)=4,"",SUM(J234:L234)+IF(Setup!$I$15="No",0,M234))</f>
        <v/>
      </c>
      <c r="O234" s="192"/>
      <c r="P234" s="192"/>
      <c r="Q234" s="192"/>
      <c r="R234" s="192"/>
      <c r="S234" s="255" t="str">
        <f>IF(COUNTBLANK(O234:R234)=4,"",SUM(O234:Q234)+IF(Setup!$I$15="No",0,R234))</f>
        <v/>
      </c>
      <c r="T234" s="192"/>
      <c r="U234" s="192"/>
      <c r="V234" s="192"/>
      <c r="W234" s="192"/>
      <c r="X234" s="255" t="str">
        <f>IF(COUNTBLANK(T234:W234)=4,"",SUM(T234:V234)+IF(Setup!$I$15="No",0,W234))</f>
        <v/>
      </c>
      <c r="Y234" s="192"/>
      <c r="Z234" s="192"/>
      <c r="AA234" s="192"/>
      <c r="AB234" s="192"/>
      <c r="AC234" s="255" t="str">
        <f>IF(COUNTBLANK(Y234:AB234)=4,"",SUM(Y234:AA234)+IF(Setup!$I$15="No",0,AB234))</f>
        <v/>
      </c>
      <c r="AD234" s="192"/>
      <c r="AE234" s="192"/>
      <c r="AF234" s="192"/>
      <c r="AG234" s="192"/>
      <c r="AH234" s="255" t="str">
        <f>IF(COUNTBLANK(AD234:AG234)=4,"",SUM(AD234:AF234)+IF(Setup!$I$15="No",0,AG234))</f>
        <v/>
      </c>
      <c r="AI234" s="192"/>
      <c r="AJ234" s="192"/>
      <c r="AK234" s="192"/>
      <c r="AL234" s="192"/>
      <c r="AM234" s="255" t="str">
        <f>IF(COUNTBLANK(AI234:AL234)=4,"",SUM(AI234:AK234)+IF(Setup!$I$15="No",0,AL234))</f>
        <v/>
      </c>
      <c r="AN234" s="192"/>
      <c r="AO234" s="192"/>
      <c r="AP234" s="192"/>
      <c r="AQ234" s="192"/>
      <c r="AR234" s="255" t="str">
        <f>IF(COUNTBLANK(AN234:AQ234)=4,"",SUM(AN234:AP234)+IF(Setup!$I$15="No",0,AQ234))</f>
        <v/>
      </c>
      <c r="AS234" s="192"/>
      <c r="AT234" s="192"/>
      <c r="AU234" s="192"/>
      <c r="AV234" s="192"/>
      <c r="AW234" s="255" t="str">
        <f>IF(COUNTBLANK(AS234:AV234)=4,"",SUM(AS234:AU234)+IF(Setup!$I$15="No",0,AV234))</f>
        <v/>
      </c>
      <c r="AX234" s="192"/>
      <c r="AY234" s="192"/>
      <c r="AZ234" s="192"/>
      <c r="BA234" s="192"/>
      <c r="BB234" s="255" t="str">
        <f>IF(COUNTBLANK(AX234:BA234)=4,"",SUM(AX234:AZ234)+IF(Setup!$I$15="No",0,BA234))</f>
        <v/>
      </c>
      <c r="BC234" s="259" t="str">
        <f ca="1">IF('Demand background (hide)'!A225=Num_Modalities,"",SUM(Demand!I234))</f>
        <v/>
      </c>
      <c r="BD234" s="259" t="str">
        <f ca="1">IF(AND(A234&lt;=MaxRows,BE234&lt;&gt;"Yes"),'Demand background (hide)'!X225+IF(Setup!$I$15="Yes",'Demand background (hide)'!AJ225,0),"")</f>
        <v/>
      </c>
      <c r="BE234" s="209"/>
    </row>
    <row r="235" spans="1:57" x14ac:dyDescent="0.25">
      <c r="A235" t="str">
        <f t="shared" ca="1" si="12"/>
        <v/>
      </c>
      <c r="B235" s="264" t="str">
        <f t="shared" ca="1" si="13"/>
        <v xml:space="preserve"> </v>
      </c>
      <c r="C235" s="265" t="str">
        <f t="shared" ca="1" si="14"/>
        <v/>
      </c>
      <c r="D235" s="352" t="str">
        <f t="shared" ca="1" si="15"/>
        <v/>
      </c>
      <c r="E235" s="192"/>
      <c r="F235" s="192"/>
      <c r="G235" s="192"/>
      <c r="H235" s="192"/>
      <c r="I235" s="251" t="str">
        <f>IF(COUNTBLANK(E235:H235)=4,"",SUM(E235:G235)+IF(Setup!$I$15="No",0,H235))</f>
        <v/>
      </c>
      <c r="J235" s="192"/>
      <c r="K235" s="192"/>
      <c r="L235" s="192"/>
      <c r="M235" s="192"/>
      <c r="N235" s="255" t="str">
        <f>IF(COUNTBLANK(J235:M235)=4,"",SUM(J235:L235)+IF(Setup!$I$15="No",0,M235))</f>
        <v/>
      </c>
      <c r="O235" s="192"/>
      <c r="P235" s="192"/>
      <c r="Q235" s="192"/>
      <c r="R235" s="192"/>
      <c r="S235" s="255" t="str">
        <f>IF(COUNTBLANK(O235:R235)=4,"",SUM(O235:Q235)+IF(Setup!$I$15="No",0,R235))</f>
        <v/>
      </c>
      <c r="T235" s="192"/>
      <c r="U235" s="192"/>
      <c r="V235" s="192"/>
      <c r="W235" s="192"/>
      <c r="X235" s="255" t="str">
        <f>IF(COUNTBLANK(T235:W235)=4,"",SUM(T235:V235)+IF(Setup!$I$15="No",0,W235))</f>
        <v/>
      </c>
      <c r="Y235" s="192"/>
      <c r="Z235" s="192"/>
      <c r="AA235" s="192"/>
      <c r="AB235" s="192"/>
      <c r="AC235" s="255" t="str">
        <f>IF(COUNTBLANK(Y235:AB235)=4,"",SUM(Y235:AA235)+IF(Setup!$I$15="No",0,AB235))</f>
        <v/>
      </c>
      <c r="AD235" s="192"/>
      <c r="AE235" s="192"/>
      <c r="AF235" s="192"/>
      <c r="AG235" s="192"/>
      <c r="AH235" s="255" t="str">
        <f>IF(COUNTBLANK(AD235:AG235)=4,"",SUM(AD235:AF235)+IF(Setup!$I$15="No",0,AG235))</f>
        <v/>
      </c>
      <c r="AI235" s="192"/>
      <c r="AJ235" s="192"/>
      <c r="AK235" s="192"/>
      <c r="AL235" s="192"/>
      <c r="AM235" s="255" t="str">
        <f>IF(COUNTBLANK(AI235:AL235)=4,"",SUM(AI235:AK235)+IF(Setup!$I$15="No",0,AL235))</f>
        <v/>
      </c>
      <c r="AN235" s="192"/>
      <c r="AO235" s="192"/>
      <c r="AP235" s="192"/>
      <c r="AQ235" s="192"/>
      <c r="AR235" s="255" t="str">
        <f>IF(COUNTBLANK(AN235:AQ235)=4,"",SUM(AN235:AP235)+IF(Setup!$I$15="No",0,AQ235))</f>
        <v/>
      </c>
      <c r="AS235" s="192"/>
      <c r="AT235" s="192"/>
      <c r="AU235" s="192"/>
      <c r="AV235" s="192"/>
      <c r="AW235" s="255" t="str">
        <f>IF(COUNTBLANK(AS235:AV235)=4,"",SUM(AS235:AU235)+IF(Setup!$I$15="No",0,AV235))</f>
        <v/>
      </c>
      <c r="AX235" s="192"/>
      <c r="AY235" s="192"/>
      <c r="AZ235" s="192"/>
      <c r="BA235" s="192"/>
      <c r="BB235" s="255" t="str">
        <f>IF(COUNTBLANK(AX235:BA235)=4,"",SUM(AX235:AZ235)+IF(Setup!$I$15="No",0,BA235))</f>
        <v/>
      </c>
      <c r="BC235" s="259" t="str">
        <f ca="1">IF('Demand background (hide)'!A226=Num_Modalities,"",SUM(Demand!I235))</f>
        <v/>
      </c>
      <c r="BD235" s="259" t="str">
        <f ca="1">IF(AND(A235&lt;=MaxRows,BE235&lt;&gt;"Yes"),'Demand background (hide)'!X226+IF(Setup!$I$15="Yes",'Demand background (hide)'!AJ226,0),"")</f>
        <v/>
      </c>
      <c r="BE235" s="209"/>
    </row>
    <row r="236" spans="1:57" x14ac:dyDescent="0.25">
      <c r="A236" t="str">
        <f t="shared" ca="1" si="12"/>
        <v/>
      </c>
      <c r="B236" s="264" t="str">
        <f t="shared" ca="1" si="13"/>
        <v xml:space="preserve"> </v>
      </c>
      <c r="C236" s="265" t="str">
        <f t="shared" ca="1" si="14"/>
        <v/>
      </c>
      <c r="D236" s="352" t="str">
        <f t="shared" ca="1" si="15"/>
        <v/>
      </c>
      <c r="E236" s="192"/>
      <c r="F236" s="192"/>
      <c r="G236" s="192"/>
      <c r="H236" s="192"/>
      <c r="I236" s="251" t="str">
        <f>IF(COUNTBLANK(E236:H236)=4,"",SUM(E236:G236)+IF(Setup!$I$15="No",0,H236))</f>
        <v/>
      </c>
      <c r="J236" s="192"/>
      <c r="K236" s="192"/>
      <c r="L236" s="192"/>
      <c r="M236" s="192"/>
      <c r="N236" s="255" t="str">
        <f>IF(COUNTBLANK(J236:M236)=4,"",SUM(J236:L236)+IF(Setup!$I$15="No",0,M236))</f>
        <v/>
      </c>
      <c r="O236" s="192"/>
      <c r="P236" s="192"/>
      <c r="Q236" s="192"/>
      <c r="R236" s="192"/>
      <c r="S236" s="255" t="str">
        <f>IF(COUNTBLANK(O236:R236)=4,"",SUM(O236:Q236)+IF(Setup!$I$15="No",0,R236))</f>
        <v/>
      </c>
      <c r="T236" s="192"/>
      <c r="U236" s="192"/>
      <c r="V236" s="192"/>
      <c r="W236" s="192"/>
      <c r="X236" s="255" t="str">
        <f>IF(COUNTBLANK(T236:W236)=4,"",SUM(T236:V236)+IF(Setup!$I$15="No",0,W236))</f>
        <v/>
      </c>
      <c r="Y236" s="192"/>
      <c r="Z236" s="192"/>
      <c r="AA236" s="192"/>
      <c r="AB236" s="192"/>
      <c r="AC236" s="255" t="str">
        <f>IF(COUNTBLANK(Y236:AB236)=4,"",SUM(Y236:AA236)+IF(Setup!$I$15="No",0,AB236))</f>
        <v/>
      </c>
      <c r="AD236" s="192"/>
      <c r="AE236" s="192"/>
      <c r="AF236" s="192"/>
      <c r="AG236" s="192"/>
      <c r="AH236" s="255" t="str">
        <f>IF(COUNTBLANK(AD236:AG236)=4,"",SUM(AD236:AF236)+IF(Setup!$I$15="No",0,AG236))</f>
        <v/>
      </c>
      <c r="AI236" s="192"/>
      <c r="AJ236" s="192"/>
      <c r="AK236" s="192"/>
      <c r="AL236" s="192"/>
      <c r="AM236" s="255" t="str">
        <f>IF(COUNTBLANK(AI236:AL236)=4,"",SUM(AI236:AK236)+IF(Setup!$I$15="No",0,AL236))</f>
        <v/>
      </c>
      <c r="AN236" s="192"/>
      <c r="AO236" s="192"/>
      <c r="AP236" s="192"/>
      <c r="AQ236" s="192"/>
      <c r="AR236" s="255" t="str">
        <f>IF(COUNTBLANK(AN236:AQ236)=4,"",SUM(AN236:AP236)+IF(Setup!$I$15="No",0,AQ236))</f>
        <v/>
      </c>
      <c r="AS236" s="192"/>
      <c r="AT236" s="192"/>
      <c r="AU236" s="192"/>
      <c r="AV236" s="192"/>
      <c r="AW236" s="255" t="str">
        <f>IF(COUNTBLANK(AS236:AV236)=4,"",SUM(AS236:AU236)+IF(Setup!$I$15="No",0,AV236))</f>
        <v/>
      </c>
      <c r="AX236" s="192"/>
      <c r="AY236" s="192"/>
      <c r="AZ236" s="192"/>
      <c r="BA236" s="192"/>
      <c r="BB236" s="255" t="str">
        <f>IF(COUNTBLANK(AX236:BA236)=4,"",SUM(AX236:AZ236)+IF(Setup!$I$15="No",0,BA236))</f>
        <v/>
      </c>
      <c r="BC236" s="259" t="str">
        <f ca="1">IF('Demand background (hide)'!A227=Num_Modalities,"",SUM(Demand!I236))</f>
        <v/>
      </c>
      <c r="BD236" s="259" t="str">
        <f ca="1">IF(AND(A236&lt;=MaxRows,BE236&lt;&gt;"Yes"),'Demand background (hide)'!X227+IF(Setup!$I$15="Yes",'Demand background (hide)'!AJ227,0),"")</f>
        <v/>
      </c>
      <c r="BE236" s="209"/>
    </row>
    <row r="237" spans="1:57" x14ac:dyDescent="0.25">
      <c r="A237" t="str">
        <f t="shared" ca="1" si="12"/>
        <v/>
      </c>
      <c r="B237" s="264" t="str">
        <f t="shared" ca="1" si="13"/>
        <v xml:space="preserve"> </v>
      </c>
      <c r="C237" s="265" t="str">
        <f t="shared" ca="1" si="14"/>
        <v/>
      </c>
      <c r="D237" s="352" t="str">
        <f t="shared" ca="1" si="15"/>
        <v/>
      </c>
      <c r="E237" s="192"/>
      <c r="F237" s="192"/>
      <c r="G237" s="192"/>
      <c r="H237" s="192"/>
      <c r="I237" s="251" t="str">
        <f>IF(COUNTBLANK(E237:H237)=4,"",SUM(E237:G237)+IF(Setup!$I$15="No",0,H237))</f>
        <v/>
      </c>
      <c r="J237" s="192"/>
      <c r="K237" s="192"/>
      <c r="L237" s="192"/>
      <c r="M237" s="192"/>
      <c r="N237" s="255" t="str">
        <f>IF(COUNTBLANK(J237:M237)=4,"",SUM(J237:L237)+IF(Setup!$I$15="No",0,M237))</f>
        <v/>
      </c>
      <c r="O237" s="192"/>
      <c r="P237" s="192"/>
      <c r="Q237" s="192"/>
      <c r="R237" s="192"/>
      <c r="S237" s="255" t="str">
        <f>IF(COUNTBLANK(O237:R237)=4,"",SUM(O237:Q237)+IF(Setup!$I$15="No",0,R237))</f>
        <v/>
      </c>
      <c r="T237" s="192"/>
      <c r="U237" s="192"/>
      <c r="V237" s="192"/>
      <c r="W237" s="192"/>
      <c r="X237" s="255" t="str">
        <f>IF(COUNTBLANK(T237:W237)=4,"",SUM(T237:V237)+IF(Setup!$I$15="No",0,W237))</f>
        <v/>
      </c>
      <c r="Y237" s="192"/>
      <c r="Z237" s="192"/>
      <c r="AA237" s="192"/>
      <c r="AB237" s="192"/>
      <c r="AC237" s="255" t="str">
        <f>IF(COUNTBLANK(Y237:AB237)=4,"",SUM(Y237:AA237)+IF(Setup!$I$15="No",0,AB237))</f>
        <v/>
      </c>
      <c r="AD237" s="192"/>
      <c r="AE237" s="192"/>
      <c r="AF237" s="192"/>
      <c r="AG237" s="192"/>
      <c r="AH237" s="255" t="str">
        <f>IF(COUNTBLANK(AD237:AG237)=4,"",SUM(AD237:AF237)+IF(Setup!$I$15="No",0,AG237))</f>
        <v/>
      </c>
      <c r="AI237" s="192"/>
      <c r="AJ237" s="192"/>
      <c r="AK237" s="192"/>
      <c r="AL237" s="192"/>
      <c r="AM237" s="255" t="str">
        <f>IF(COUNTBLANK(AI237:AL237)=4,"",SUM(AI237:AK237)+IF(Setup!$I$15="No",0,AL237))</f>
        <v/>
      </c>
      <c r="AN237" s="192"/>
      <c r="AO237" s="192"/>
      <c r="AP237" s="192"/>
      <c r="AQ237" s="192"/>
      <c r="AR237" s="255" t="str">
        <f>IF(COUNTBLANK(AN237:AQ237)=4,"",SUM(AN237:AP237)+IF(Setup!$I$15="No",0,AQ237))</f>
        <v/>
      </c>
      <c r="AS237" s="192"/>
      <c r="AT237" s="192"/>
      <c r="AU237" s="192"/>
      <c r="AV237" s="192"/>
      <c r="AW237" s="255" t="str">
        <f>IF(COUNTBLANK(AS237:AV237)=4,"",SUM(AS237:AU237)+IF(Setup!$I$15="No",0,AV237))</f>
        <v/>
      </c>
      <c r="AX237" s="192"/>
      <c r="AY237" s="192"/>
      <c r="AZ237" s="192"/>
      <c r="BA237" s="192"/>
      <c r="BB237" s="255" t="str">
        <f>IF(COUNTBLANK(AX237:BA237)=4,"",SUM(AX237:AZ237)+IF(Setup!$I$15="No",0,BA237))</f>
        <v/>
      </c>
      <c r="BC237" s="259" t="str">
        <f ca="1">IF('Demand background (hide)'!A228=Num_Modalities,"",SUM(Demand!I237))</f>
        <v/>
      </c>
      <c r="BD237" s="259" t="str">
        <f ca="1">IF(AND(A237&lt;=MaxRows,BE237&lt;&gt;"Yes"),'Demand background (hide)'!X228+IF(Setup!$I$15="Yes",'Demand background (hide)'!AJ228,0),"")</f>
        <v/>
      </c>
      <c r="BE237" s="209"/>
    </row>
    <row r="238" spans="1:57" x14ac:dyDescent="0.25">
      <c r="A238" t="str">
        <f t="shared" ca="1" si="12"/>
        <v/>
      </c>
      <c r="B238" s="264" t="str">
        <f t="shared" ca="1" si="13"/>
        <v xml:space="preserve"> </v>
      </c>
      <c r="C238" s="265" t="str">
        <f t="shared" ca="1" si="14"/>
        <v/>
      </c>
      <c r="D238" s="352" t="str">
        <f t="shared" ca="1" si="15"/>
        <v/>
      </c>
      <c r="E238" s="192"/>
      <c r="F238" s="192"/>
      <c r="G238" s="192"/>
      <c r="H238" s="192"/>
      <c r="I238" s="251" t="str">
        <f>IF(COUNTBLANK(E238:H238)=4,"",SUM(E238:G238)+IF(Setup!$I$15="No",0,H238))</f>
        <v/>
      </c>
      <c r="J238" s="192"/>
      <c r="K238" s="192"/>
      <c r="L238" s="192"/>
      <c r="M238" s="192"/>
      <c r="N238" s="255" t="str">
        <f>IF(COUNTBLANK(J238:M238)=4,"",SUM(J238:L238)+IF(Setup!$I$15="No",0,M238))</f>
        <v/>
      </c>
      <c r="O238" s="192"/>
      <c r="P238" s="192"/>
      <c r="Q238" s="192"/>
      <c r="R238" s="192"/>
      <c r="S238" s="255" t="str">
        <f>IF(COUNTBLANK(O238:R238)=4,"",SUM(O238:Q238)+IF(Setup!$I$15="No",0,R238))</f>
        <v/>
      </c>
      <c r="T238" s="192"/>
      <c r="U238" s="192"/>
      <c r="V238" s="192"/>
      <c r="W238" s="192"/>
      <c r="X238" s="255" t="str">
        <f>IF(COUNTBLANK(T238:W238)=4,"",SUM(T238:V238)+IF(Setup!$I$15="No",0,W238))</f>
        <v/>
      </c>
      <c r="Y238" s="192"/>
      <c r="Z238" s="192"/>
      <c r="AA238" s="192"/>
      <c r="AB238" s="192"/>
      <c r="AC238" s="255" t="str">
        <f>IF(COUNTBLANK(Y238:AB238)=4,"",SUM(Y238:AA238)+IF(Setup!$I$15="No",0,AB238))</f>
        <v/>
      </c>
      <c r="AD238" s="192"/>
      <c r="AE238" s="192"/>
      <c r="AF238" s="192"/>
      <c r="AG238" s="192"/>
      <c r="AH238" s="255" t="str">
        <f>IF(COUNTBLANK(AD238:AG238)=4,"",SUM(AD238:AF238)+IF(Setup!$I$15="No",0,AG238))</f>
        <v/>
      </c>
      <c r="AI238" s="192"/>
      <c r="AJ238" s="192"/>
      <c r="AK238" s="192"/>
      <c r="AL238" s="192"/>
      <c r="AM238" s="255" t="str">
        <f>IF(COUNTBLANK(AI238:AL238)=4,"",SUM(AI238:AK238)+IF(Setup!$I$15="No",0,AL238))</f>
        <v/>
      </c>
      <c r="AN238" s="192"/>
      <c r="AO238" s="192"/>
      <c r="AP238" s="192"/>
      <c r="AQ238" s="192"/>
      <c r="AR238" s="255" t="str">
        <f>IF(COUNTBLANK(AN238:AQ238)=4,"",SUM(AN238:AP238)+IF(Setup!$I$15="No",0,AQ238))</f>
        <v/>
      </c>
      <c r="AS238" s="192"/>
      <c r="AT238" s="192"/>
      <c r="AU238" s="192"/>
      <c r="AV238" s="192"/>
      <c r="AW238" s="255" t="str">
        <f>IF(COUNTBLANK(AS238:AV238)=4,"",SUM(AS238:AU238)+IF(Setup!$I$15="No",0,AV238))</f>
        <v/>
      </c>
      <c r="AX238" s="192"/>
      <c r="AY238" s="192"/>
      <c r="AZ238" s="192"/>
      <c r="BA238" s="192"/>
      <c r="BB238" s="255" t="str">
        <f>IF(COUNTBLANK(AX238:BA238)=4,"",SUM(AX238:AZ238)+IF(Setup!$I$15="No",0,BA238))</f>
        <v/>
      </c>
      <c r="BC238" s="259" t="str">
        <f ca="1">IF('Demand background (hide)'!A229=Num_Modalities,"",SUM(Demand!I238))</f>
        <v/>
      </c>
      <c r="BD238" s="259" t="str">
        <f ca="1">IF(AND(A238&lt;=MaxRows,BE238&lt;&gt;"Yes"),'Demand background (hide)'!X229+IF(Setup!$I$15="Yes",'Demand background (hide)'!AJ229,0),"")</f>
        <v/>
      </c>
      <c r="BE238" s="209"/>
    </row>
    <row r="239" spans="1:57" x14ac:dyDescent="0.25">
      <c r="A239" t="str">
        <f t="shared" ca="1" si="12"/>
        <v/>
      </c>
      <c r="B239" s="264" t="str">
        <f t="shared" ca="1" si="13"/>
        <v xml:space="preserve"> </v>
      </c>
      <c r="C239" s="265" t="str">
        <f t="shared" ca="1" si="14"/>
        <v/>
      </c>
      <c r="D239" s="352" t="str">
        <f t="shared" ca="1" si="15"/>
        <v/>
      </c>
      <c r="E239" s="192"/>
      <c r="F239" s="192"/>
      <c r="G239" s="192"/>
      <c r="H239" s="192"/>
      <c r="I239" s="251" t="str">
        <f>IF(COUNTBLANK(E239:H239)=4,"",SUM(E239:G239)+IF(Setup!$I$15="No",0,H239))</f>
        <v/>
      </c>
      <c r="J239" s="192"/>
      <c r="K239" s="192"/>
      <c r="L239" s="192"/>
      <c r="M239" s="192"/>
      <c r="N239" s="255" t="str">
        <f>IF(COUNTBLANK(J239:M239)=4,"",SUM(J239:L239)+IF(Setup!$I$15="No",0,M239))</f>
        <v/>
      </c>
      <c r="O239" s="192"/>
      <c r="P239" s="192"/>
      <c r="Q239" s="192"/>
      <c r="R239" s="192"/>
      <c r="S239" s="255" t="str">
        <f>IF(COUNTBLANK(O239:R239)=4,"",SUM(O239:Q239)+IF(Setup!$I$15="No",0,R239))</f>
        <v/>
      </c>
      <c r="T239" s="192"/>
      <c r="U239" s="192"/>
      <c r="V239" s="192"/>
      <c r="W239" s="192"/>
      <c r="X239" s="255" t="str">
        <f>IF(COUNTBLANK(T239:W239)=4,"",SUM(T239:V239)+IF(Setup!$I$15="No",0,W239))</f>
        <v/>
      </c>
      <c r="Y239" s="192"/>
      <c r="Z239" s="192"/>
      <c r="AA239" s="192"/>
      <c r="AB239" s="192"/>
      <c r="AC239" s="255" t="str">
        <f>IF(COUNTBLANK(Y239:AB239)=4,"",SUM(Y239:AA239)+IF(Setup!$I$15="No",0,AB239))</f>
        <v/>
      </c>
      <c r="AD239" s="192"/>
      <c r="AE239" s="192"/>
      <c r="AF239" s="192"/>
      <c r="AG239" s="192"/>
      <c r="AH239" s="255" t="str">
        <f>IF(COUNTBLANK(AD239:AG239)=4,"",SUM(AD239:AF239)+IF(Setup!$I$15="No",0,AG239))</f>
        <v/>
      </c>
      <c r="AI239" s="192"/>
      <c r="AJ239" s="192"/>
      <c r="AK239" s="192"/>
      <c r="AL239" s="192"/>
      <c r="AM239" s="255" t="str">
        <f>IF(COUNTBLANK(AI239:AL239)=4,"",SUM(AI239:AK239)+IF(Setup!$I$15="No",0,AL239))</f>
        <v/>
      </c>
      <c r="AN239" s="192"/>
      <c r="AO239" s="192"/>
      <c r="AP239" s="192"/>
      <c r="AQ239" s="192"/>
      <c r="AR239" s="255" t="str">
        <f>IF(COUNTBLANK(AN239:AQ239)=4,"",SUM(AN239:AP239)+IF(Setup!$I$15="No",0,AQ239))</f>
        <v/>
      </c>
      <c r="AS239" s="192"/>
      <c r="AT239" s="192"/>
      <c r="AU239" s="192"/>
      <c r="AV239" s="192"/>
      <c r="AW239" s="255" t="str">
        <f>IF(COUNTBLANK(AS239:AV239)=4,"",SUM(AS239:AU239)+IF(Setup!$I$15="No",0,AV239))</f>
        <v/>
      </c>
      <c r="AX239" s="192"/>
      <c r="AY239" s="192"/>
      <c r="AZ239" s="192"/>
      <c r="BA239" s="192"/>
      <c r="BB239" s="255" t="str">
        <f>IF(COUNTBLANK(AX239:BA239)=4,"",SUM(AX239:AZ239)+IF(Setup!$I$15="No",0,BA239))</f>
        <v/>
      </c>
      <c r="BC239" s="259" t="str">
        <f ca="1">IF('Demand background (hide)'!A230=Num_Modalities,"",SUM(Demand!I239))</f>
        <v/>
      </c>
      <c r="BD239" s="259" t="str">
        <f ca="1">IF(AND(A239&lt;=MaxRows,BE239&lt;&gt;"Yes"),'Demand background (hide)'!X230+IF(Setup!$I$15="Yes",'Demand background (hide)'!AJ230,0),"")</f>
        <v/>
      </c>
      <c r="BE239" s="209"/>
    </row>
    <row r="240" spans="1:57" x14ac:dyDescent="0.25">
      <c r="A240" t="str">
        <f t="shared" ca="1" si="12"/>
        <v/>
      </c>
      <c r="B240" s="264" t="str">
        <f t="shared" ca="1" si="13"/>
        <v xml:space="preserve"> </v>
      </c>
      <c r="C240" s="265" t="str">
        <f t="shared" ca="1" si="14"/>
        <v/>
      </c>
      <c r="D240" s="352" t="str">
        <f t="shared" ca="1" si="15"/>
        <v/>
      </c>
      <c r="E240" s="192"/>
      <c r="F240" s="192"/>
      <c r="G240" s="192"/>
      <c r="H240" s="192"/>
      <c r="I240" s="251" t="str">
        <f>IF(COUNTBLANK(E240:H240)=4,"",SUM(E240:G240)+IF(Setup!$I$15="No",0,H240))</f>
        <v/>
      </c>
      <c r="J240" s="192"/>
      <c r="K240" s="192"/>
      <c r="L240" s="192"/>
      <c r="M240" s="192"/>
      <c r="N240" s="255" t="str">
        <f>IF(COUNTBLANK(J240:M240)=4,"",SUM(J240:L240)+IF(Setup!$I$15="No",0,M240))</f>
        <v/>
      </c>
      <c r="O240" s="192"/>
      <c r="P240" s="192"/>
      <c r="Q240" s="192"/>
      <c r="R240" s="192"/>
      <c r="S240" s="255" t="str">
        <f>IF(COUNTBLANK(O240:R240)=4,"",SUM(O240:Q240)+IF(Setup!$I$15="No",0,R240))</f>
        <v/>
      </c>
      <c r="T240" s="192"/>
      <c r="U240" s="192"/>
      <c r="V240" s="192"/>
      <c r="W240" s="192"/>
      <c r="X240" s="255" t="str">
        <f>IF(COUNTBLANK(T240:W240)=4,"",SUM(T240:V240)+IF(Setup!$I$15="No",0,W240))</f>
        <v/>
      </c>
      <c r="Y240" s="192"/>
      <c r="Z240" s="192"/>
      <c r="AA240" s="192"/>
      <c r="AB240" s="192"/>
      <c r="AC240" s="255" t="str">
        <f>IF(COUNTBLANK(Y240:AB240)=4,"",SUM(Y240:AA240)+IF(Setup!$I$15="No",0,AB240))</f>
        <v/>
      </c>
      <c r="AD240" s="192"/>
      <c r="AE240" s="192"/>
      <c r="AF240" s="192"/>
      <c r="AG240" s="192"/>
      <c r="AH240" s="255" t="str">
        <f>IF(COUNTBLANK(AD240:AG240)=4,"",SUM(AD240:AF240)+IF(Setup!$I$15="No",0,AG240))</f>
        <v/>
      </c>
      <c r="AI240" s="192"/>
      <c r="AJ240" s="192"/>
      <c r="AK240" s="192"/>
      <c r="AL240" s="192"/>
      <c r="AM240" s="255" t="str">
        <f>IF(COUNTBLANK(AI240:AL240)=4,"",SUM(AI240:AK240)+IF(Setup!$I$15="No",0,AL240))</f>
        <v/>
      </c>
      <c r="AN240" s="192"/>
      <c r="AO240" s="192"/>
      <c r="AP240" s="192"/>
      <c r="AQ240" s="192"/>
      <c r="AR240" s="255" t="str">
        <f>IF(COUNTBLANK(AN240:AQ240)=4,"",SUM(AN240:AP240)+IF(Setup!$I$15="No",0,AQ240))</f>
        <v/>
      </c>
      <c r="AS240" s="192"/>
      <c r="AT240" s="192"/>
      <c r="AU240" s="192"/>
      <c r="AV240" s="192"/>
      <c r="AW240" s="255" t="str">
        <f>IF(COUNTBLANK(AS240:AV240)=4,"",SUM(AS240:AU240)+IF(Setup!$I$15="No",0,AV240))</f>
        <v/>
      </c>
      <c r="AX240" s="192"/>
      <c r="AY240" s="192"/>
      <c r="AZ240" s="192"/>
      <c r="BA240" s="192"/>
      <c r="BB240" s="255" t="str">
        <f>IF(COUNTBLANK(AX240:BA240)=4,"",SUM(AX240:AZ240)+IF(Setup!$I$15="No",0,BA240))</f>
        <v/>
      </c>
      <c r="BC240" s="259" t="str">
        <f ca="1">IF('Demand background (hide)'!A231=Num_Modalities,"",SUM(Demand!I240))</f>
        <v/>
      </c>
      <c r="BD240" s="259" t="str">
        <f ca="1">IF(AND(A240&lt;=MaxRows,BE240&lt;&gt;"Yes"),'Demand background (hide)'!X231+IF(Setup!$I$15="Yes",'Demand background (hide)'!AJ231,0),"")</f>
        <v/>
      </c>
      <c r="BE240" s="209"/>
    </row>
    <row r="241" spans="1:57" x14ac:dyDescent="0.25">
      <c r="A241" t="str">
        <f t="shared" ca="1" si="12"/>
        <v/>
      </c>
      <c r="B241" s="264" t="str">
        <f t="shared" ca="1" si="13"/>
        <v xml:space="preserve"> </v>
      </c>
      <c r="C241" s="265" t="str">
        <f t="shared" ca="1" si="14"/>
        <v/>
      </c>
      <c r="D241" s="352" t="str">
        <f t="shared" ca="1" si="15"/>
        <v/>
      </c>
      <c r="E241" s="192"/>
      <c r="F241" s="192"/>
      <c r="G241" s="192"/>
      <c r="H241" s="192"/>
      <c r="I241" s="251" t="str">
        <f>IF(COUNTBLANK(E241:H241)=4,"",SUM(E241:G241)+IF(Setup!$I$15="No",0,H241))</f>
        <v/>
      </c>
      <c r="J241" s="192"/>
      <c r="K241" s="192"/>
      <c r="L241" s="192"/>
      <c r="M241" s="192"/>
      <c r="N241" s="255" t="str">
        <f>IF(COUNTBLANK(J241:M241)=4,"",SUM(J241:L241)+IF(Setup!$I$15="No",0,M241))</f>
        <v/>
      </c>
      <c r="O241" s="192"/>
      <c r="P241" s="192"/>
      <c r="Q241" s="192"/>
      <c r="R241" s="192"/>
      <c r="S241" s="255" t="str">
        <f>IF(COUNTBLANK(O241:R241)=4,"",SUM(O241:Q241)+IF(Setup!$I$15="No",0,R241))</f>
        <v/>
      </c>
      <c r="T241" s="192"/>
      <c r="U241" s="192"/>
      <c r="V241" s="192"/>
      <c r="W241" s="192"/>
      <c r="X241" s="255" t="str">
        <f>IF(COUNTBLANK(T241:W241)=4,"",SUM(T241:V241)+IF(Setup!$I$15="No",0,W241))</f>
        <v/>
      </c>
      <c r="Y241" s="192"/>
      <c r="Z241" s="192"/>
      <c r="AA241" s="192"/>
      <c r="AB241" s="192"/>
      <c r="AC241" s="255" t="str">
        <f>IF(COUNTBLANK(Y241:AB241)=4,"",SUM(Y241:AA241)+IF(Setup!$I$15="No",0,AB241))</f>
        <v/>
      </c>
      <c r="AD241" s="192"/>
      <c r="AE241" s="192"/>
      <c r="AF241" s="192"/>
      <c r="AG241" s="192"/>
      <c r="AH241" s="255" t="str">
        <f>IF(COUNTBLANK(AD241:AG241)=4,"",SUM(AD241:AF241)+IF(Setup!$I$15="No",0,AG241))</f>
        <v/>
      </c>
      <c r="AI241" s="192"/>
      <c r="AJ241" s="192"/>
      <c r="AK241" s="192"/>
      <c r="AL241" s="192"/>
      <c r="AM241" s="255" t="str">
        <f>IF(COUNTBLANK(AI241:AL241)=4,"",SUM(AI241:AK241)+IF(Setup!$I$15="No",0,AL241))</f>
        <v/>
      </c>
      <c r="AN241" s="192"/>
      <c r="AO241" s="192"/>
      <c r="AP241" s="192"/>
      <c r="AQ241" s="192"/>
      <c r="AR241" s="255" t="str">
        <f>IF(COUNTBLANK(AN241:AQ241)=4,"",SUM(AN241:AP241)+IF(Setup!$I$15="No",0,AQ241))</f>
        <v/>
      </c>
      <c r="AS241" s="192"/>
      <c r="AT241" s="192"/>
      <c r="AU241" s="192"/>
      <c r="AV241" s="192"/>
      <c r="AW241" s="255" t="str">
        <f>IF(COUNTBLANK(AS241:AV241)=4,"",SUM(AS241:AU241)+IF(Setup!$I$15="No",0,AV241))</f>
        <v/>
      </c>
      <c r="AX241" s="192"/>
      <c r="AY241" s="192"/>
      <c r="AZ241" s="192"/>
      <c r="BA241" s="192"/>
      <c r="BB241" s="255" t="str">
        <f>IF(COUNTBLANK(AX241:BA241)=4,"",SUM(AX241:AZ241)+IF(Setup!$I$15="No",0,BA241))</f>
        <v/>
      </c>
      <c r="BC241" s="259" t="str">
        <f ca="1">IF('Demand background (hide)'!A232=Num_Modalities,"",SUM(Demand!I241))</f>
        <v/>
      </c>
      <c r="BD241" s="259" t="str">
        <f ca="1">IF(AND(A241&lt;=MaxRows,BE241&lt;&gt;"Yes"),'Demand background (hide)'!X232+IF(Setup!$I$15="Yes",'Demand background (hide)'!AJ232,0),"")</f>
        <v/>
      </c>
      <c r="BE241" s="209"/>
    </row>
    <row r="242" spans="1:57" x14ac:dyDescent="0.25">
      <c r="A242" t="str">
        <f t="shared" ca="1" si="12"/>
        <v/>
      </c>
      <c r="B242" s="264" t="str">
        <f t="shared" ca="1" si="13"/>
        <v xml:space="preserve"> </v>
      </c>
      <c r="C242" s="265" t="str">
        <f t="shared" ca="1" si="14"/>
        <v/>
      </c>
      <c r="D242" s="352" t="str">
        <f t="shared" ca="1" si="15"/>
        <v/>
      </c>
      <c r="E242" s="192"/>
      <c r="F242" s="192"/>
      <c r="G242" s="192"/>
      <c r="H242" s="192"/>
      <c r="I242" s="251" t="str">
        <f>IF(COUNTBLANK(E242:H242)=4,"",SUM(E242:G242)+IF(Setup!$I$15="No",0,H242))</f>
        <v/>
      </c>
      <c r="J242" s="192"/>
      <c r="K242" s="192"/>
      <c r="L242" s="192"/>
      <c r="M242" s="192"/>
      <c r="N242" s="255" t="str">
        <f>IF(COUNTBLANK(J242:M242)=4,"",SUM(J242:L242)+IF(Setup!$I$15="No",0,M242))</f>
        <v/>
      </c>
      <c r="O242" s="192"/>
      <c r="P242" s="192"/>
      <c r="Q242" s="192"/>
      <c r="R242" s="192"/>
      <c r="S242" s="255" t="str">
        <f>IF(COUNTBLANK(O242:R242)=4,"",SUM(O242:Q242)+IF(Setup!$I$15="No",0,R242))</f>
        <v/>
      </c>
      <c r="T242" s="192"/>
      <c r="U242" s="192"/>
      <c r="V242" s="192"/>
      <c r="W242" s="192"/>
      <c r="X242" s="255" t="str">
        <f>IF(COUNTBLANK(T242:W242)=4,"",SUM(T242:V242)+IF(Setup!$I$15="No",0,W242))</f>
        <v/>
      </c>
      <c r="Y242" s="192"/>
      <c r="Z242" s="192"/>
      <c r="AA242" s="192"/>
      <c r="AB242" s="192"/>
      <c r="AC242" s="255" t="str">
        <f>IF(COUNTBLANK(Y242:AB242)=4,"",SUM(Y242:AA242)+IF(Setup!$I$15="No",0,AB242))</f>
        <v/>
      </c>
      <c r="AD242" s="192"/>
      <c r="AE242" s="192"/>
      <c r="AF242" s="192"/>
      <c r="AG242" s="192"/>
      <c r="AH242" s="255" t="str">
        <f>IF(COUNTBLANK(AD242:AG242)=4,"",SUM(AD242:AF242)+IF(Setup!$I$15="No",0,AG242))</f>
        <v/>
      </c>
      <c r="AI242" s="192"/>
      <c r="AJ242" s="192"/>
      <c r="AK242" s="192"/>
      <c r="AL242" s="192"/>
      <c r="AM242" s="255" t="str">
        <f>IF(COUNTBLANK(AI242:AL242)=4,"",SUM(AI242:AK242)+IF(Setup!$I$15="No",0,AL242))</f>
        <v/>
      </c>
      <c r="AN242" s="192"/>
      <c r="AO242" s="192"/>
      <c r="AP242" s="192"/>
      <c r="AQ242" s="192"/>
      <c r="AR242" s="255" t="str">
        <f>IF(COUNTBLANK(AN242:AQ242)=4,"",SUM(AN242:AP242)+IF(Setup!$I$15="No",0,AQ242))</f>
        <v/>
      </c>
      <c r="AS242" s="192"/>
      <c r="AT242" s="192"/>
      <c r="AU242" s="192"/>
      <c r="AV242" s="192"/>
      <c r="AW242" s="255" t="str">
        <f>IF(COUNTBLANK(AS242:AV242)=4,"",SUM(AS242:AU242)+IF(Setup!$I$15="No",0,AV242))</f>
        <v/>
      </c>
      <c r="AX242" s="192"/>
      <c r="AY242" s="192"/>
      <c r="AZ242" s="192"/>
      <c r="BA242" s="192"/>
      <c r="BB242" s="255" t="str">
        <f>IF(COUNTBLANK(AX242:BA242)=4,"",SUM(AX242:AZ242)+IF(Setup!$I$15="No",0,BA242))</f>
        <v/>
      </c>
      <c r="BC242" s="259" t="str">
        <f ca="1">IF('Demand background (hide)'!A233=Num_Modalities,"",SUM(Demand!I242))</f>
        <v/>
      </c>
      <c r="BD242" s="259" t="str">
        <f ca="1">IF(AND(A242&lt;=MaxRows,BE242&lt;&gt;"Yes"),'Demand background (hide)'!X233+IF(Setup!$I$15="Yes",'Demand background (hide)'!AJ233,0),"")</f>
        <v/>
      </c>
      <c r="BE242" s="209"/>
    </row>
    <row r="243" spans="1:57" x14ac:dyDescent="0.25">
      <c r="A243" t="str">
        <f t="shared" ca="1" si="12"/>
        <v/>
      </c>
      <c r="B243" s="264" t="str">
        <f t="shared" ca="1" si="13"/>
        <v xml:space="preserve"> </v>
      </c>
      <c r="C243" s="265" t="str">
        <f t="shared" ca="1" si="14"/>
        <v/>
      </c>
      <c r="D243" s="352" t="str">
        <f t="shared" ca="1" si="15"/>
        <v/>
      </c>
      <c r="E243" s="192"/>
      <c r="F243" s="192"/>
      <c r="G243" s="192"/>
      <c r="H243" s="192"/>
      <c r="I243" s="251" t="str">
        <f>IF(COUNTBLANK(E243:H243)=4,"",SUM(E243:G243)+IF(Setup!$I$15="No",0,H243))</f>
        <v/>
      </c>
      <c r="J243" s="192"/>
      <c r="K243" s="192"/>
      <c r="L243" s="192"/>
      <c r="M243" s="192"/>
      <c r="N243" s="255" t="str">
        <f>IF(COUNTBLANK(J243:M243)=4,"",SUM(J243:L243)+IF(Setup!$I$15="No",0,M243))</f>
        <v/>
      </c>
      <c r="O243" s="192"/>
      <c r="P243" s="192"/>
      <c r="Q243" s="192"/>
      <c r="R243" s="192"/>
      <c r="S243" s="255" t="str">
        <f>IF(COUNTBLANK(O243:R243)=4,"",SUM(O243:Q243)+IF(Setup!$I$15="No",0,R243))</f>
        <v/>
      </c>
      <c r="T243" s="192"/>
      <c r="U243" s="192"/>
      <c r="V243" s="192"/>
      <c r="W243" s="192"/>
      <c r="X243" s="255" t="str">
        <f>IF(COUNTBLANK(T243:W243)=4,"",SUM(T243:V243)+IF(Setup!$I$15="No",0,W243))</f>
        <v/>
      </c>
      <c r="Y243" s="192"/>
      <c r="Z243" s="192"/>
      <c r="AA243" s="192"/>
      <c r="AB243" s="192"/>
      <c r="AC243" s="255" t="str">
        <f>IF(COUNTBLANK(Y243:AB243)=4,"",SUM(Y243:AA243)+IF(Setup!$I$15="No",0,AB243))</f>
        <v/>
      </c>
      <c r="AD243" s="192"/>
      <c r="AE243" s="192"/>
      <c r="AF243" s="192"/>
      <c r="AG243" s="192"/>
      <c r="AH243" s="255" t="str">
        <f>IF(COUNTBLANK(AD243:AG243)=4,"",SUM(AD243:AF243)+IF(Setup!$I$15="No",0,AG243))</f>
        <v/>
      </c>
      <c r="AI243" s="192"/>
      <c r="AJ243" s="192"/>
      <c r="AK243" s="192"/>
      <c r="AL243" s="192"/>
      <c r="AM243" s="255" t="str">
        <f>IF(COUNTBLANK(AI243:AL243)=4,"",SUM(AI243:AK243)+IF(Setup!$I$15="No",0,AL243))</f>
        <v/>
      </c>
      <c r="AN243" s="192"/>
      <c r="AO243" s="192"/>
      <c r="AP243" s="192"/>
      <c r="AQ243" s="192"/>
      <c r="AR243" s="255" t="str">
        <f>IF(COUNTBLANK(AN243:AQ243)=4,"",SUM(AN243:AP243)+IF(Setup!$I$15="No",0,AQ243))</f>
        <v/>
      </c>
      <c r="AS243" s="192"/>
      <c r="AT243" s="192"/>
      <c r="AU243" s="192"/>
      <c r="AV243" s="192"/>
      <c r="AW243" s="255" t="str">
        <f>IF(COUNTBLANK(AS243:AV243)=4,"",SUM(AS243:AU243)+IF(Setup!$I$15="No",0,AV243))</f>
        <v/>
      </c>
      <c r="AX243" s="192"/>
      <c r="AY243" s="192"/>
      <c r="AZ243" s="192"/>
      <c r="BA243" s="192"/>
      <c r="BB243" s="255" t="str">
        <f>IF(COUNTBLANK(AX243:BA243)=4,"",SUM(AX243:AZ243)+IF(Setup!$I$15="No",0,BA243))</f>
        <v/>
      </c>
      <c r="BC243" s="259" t="str">
        <f ca="1">IF('Demand background (hide)'!A234=Num_Modalities,"",SUM(Demand!I243))</f>
        <v/>
      </c>
      <c r="BD243" s="259" t="str">
        <f ca="1">IF(AND(A243&lt;=MaxRows,BE243&lt;&gt;"Yes"),'Demand background (hide)'!X234+IF(Setup!$I$15="Yes",'Demand background (hide)'!AJ234,0),"")</f>
        <v/>
      </c>
      <c r="BE243" s="209"/>
    </row>
    <row r="244" spans="1:57" x14ac:dyDescent="0.25">
      <c r="A244" t="str">
        <f t="shared" ca="1" si="12"/>
        <v/>
      </c>
      <c r="B244" s="264" t="str">
        <f t="shared" ca="1" si="13"/>
        <v xml:space="preserve"> </v>
      </c>
      <c r="C244" s="265" t="str">
        <f t="shared" ca="1" si="14"/>
        <v/>
      </c>
      <c r="D244" s="352" t="str">
        <f t="shared" ca="1" si="15"/>
        <v/>
      </c>
      <c r="E244" s="192"/>
      <c r="F244" s="192"/>
      <c r="G244" s="192"/>
      <c r="H244" s="192"/>
      <c r="I244" s="251" t="str">
        <f>IF(COUNTBLANK(E244:H244)=4,"",SUM(E244:G244)+IF(Setup!$I$15="No",0,H244))</f>
        <v/>
      </c>
      <c r="J244" s="192"/>
      <c r="K244" s="192"/>
      <c r="L244" s="192"/>
      <c r="M244" s="192"/>
      <c r="N244" s="255" t="str">
        <f>IF(COUNTBLANK(J244:M244)=4,"",SUM(J244:L244)+IF(Setup!$I$15="No",0,M244))</f>
        <v/>
      </c>
      <c r="O244" s="192"/>
      <c r="P244" s="192"/>
      <c r="Q244" s="192"/>
      <c r="R244" s="192"/>
      <c r="S244" s="255" t="str">
        <f>IF(COUNTBLANK(O244:R244)=4,"",SUM(O244:Q244)+IF(Setup!$I$15="No",0,R244))</f>
        <v/>
      </c>
      <c r="T244" s="192"/>
      <c r="U244" s="192"/>
      <c r="V244" s="192"/>
      <c r="W244" s="192"/>
      <c r="X244" s="255" t="str">
        <f>IF(COUNTBLANK(T244:W244)=4,"",SUM(T244:V244)+IF(Setup!$I$15="No",0,W244))</f>
        <v/>
      </c>
      <c r="Y244" s="192"/>
      <c r="Z244" s="192"/>
      <c r="AA244" s="192"/>
      <c r="AB244" s="192"/>
      <c r="AC244" s="255" t="str">
        <f>IF(COUNTBLANK(Y244:AB244)=4,"",SUM(Y244:AA244)+IF(Setup!$I$15="No",0,AB244))</f>
        <v/>
      </c>
      <c r="AD244" s="192"/>
      <c r="AE244" s="192"/>
      <c r="AF244" s="192"/>
      <c r="AG244" s="192"/>
      <c r="AH244" s="255" t="str">
        <f>IF(COUNTBLANK(AD244:AG244)=4,"",SUM(AD244:AF244)+IF(Setup!$I$15="No",0,AG244))</f>
        <v/>
      </c>
      <c r="AI244" s="192"/>
      <c r="AJ244" s="192"/>
      <c r="AK244" s="192"/>
      <c r="AL244" s="192"/>
      <c r="AM244" s="255" t="str">
        <f>IF(COUNTBLANK(AI244:AL244)=4,"",SUM(AI244:AK244)+IF(Setup!$I$15="No",0,AL244))</f>
        <v/>
      </c>
      <c r="AN244" s="192"/>
      <c r="AO244" s="192"/>
      <c r="AP244" s="192"/>
      <c r="AQ244" s="192"/>
      <c r="AR244" s="255" t="str">
        <f>IF(COUNTBLANK(AN244:AQ244)=4,"",SUM(AN244:AP244)+IF(Setup!$I$15="No",0,AQ244))</f>
        <v/>
      </c>
      <c r="AS244" s="192"/>
      <c r="AT244" s="192"/>
      <c r="AU244" s="192"/>
      <c r="AV244" s="192"/>
      <c r="AW244" s="255" t="str">
        <f>IF(COUNTBLANK(AS244:AV244)=4,"",SUM(AS244:AU244)+IF(Setup!$I$15="No",0,AV244))</f>
        <v/>
      </c>
      <c r="AX244" s="192"/>
      <c r="AY244" s="192"/>
      <c r="AZ244" s="192"/>
      <c r="BA244" s="192"/>
      <c r="BB244" s="255" t="str">
        <f>IF(COUNTBLANK(AX244:BA244)=4,"",SUM(AX244:AZ244)+IF(Setup!$I$15="No",0,BA244))</f>
        <v/>
      </c>
      <c r="BC244" s="259" t="str">
        <f ca="1">IF('Demand background (hide)'!A235=Num_Modalities,"",SUM(Demand!I244))</f>
        <v/>
      </c>
      <c r="BD244" s="259" t="str">
        <f ca="1">IF(AND(A244&lt;=MaxRows,BE244&lt;&gt;"Yes"),'Demand background (hide)'!X235+IF(Setup!$I$15="Yes",'Demand background (hide)'!AJ235,0),"")</f>
        <v/>
      </c>
      <c r="BE244" s="209"/>
    </row>
    <row r="245" spans="1:57" x14ac:dyDescent="0.25">
      <c r="A245" t="str">
        <f t="shared" ca="1" si="12"/>
        <v/>
      </c>
      <c r="B245" s="264" t="str">
        <f t="shared" ca="1" si="13"/>
        <v xml:space="preserve"> </v>
      </c>
      <c r="C245" s="265" t="str">
        <f t="shared" ca="1" si="14"/>
        <v/>
      </c>
      <c r="D245" s="352" t="str">
        <f t="shared" ca="1" si="15"/>
        <v/>
      </c>
      <c r="E245" s="192"/>
      <c r="F245" s="192"/>
      <c r="G245" s="192"/>
      <c r="H245" s="192"/>
      <c r="I245" s="251" t="str">
        <f>IF(COUNTBLANK(E245:H245)=4,"",SUM(E245:G245)+IF(Setup!$I$15="No",0,H245))</f>
        <v/>
      </c>
      <c r="J245" s="192"/>
      <c r="K245" s="192"/>
      <c r="L245" s="192"/>
      <c r="M245" s="192"/>
      <c r="N245" s="255" t="str">
        <f>IF(COUNTBLANK(J245:M245)=4,"",SUM(J245:L245)+IF(Setup!$I$15="No",0,M245))</f>
        <v/>
      </c>
      <c r="O245" s="192"/>
      <c r="P245" s="192"/>
      <c r="Q245" s="192"/>
      <c r="R245" s="192"/>
      <c r="S245" s="255" t="str">
        <f>IF(COUNTBLANK(O245:R245)=4,"",SUM(O245:Q245)+IF(Setup!$I$15="No",0,R245))</f>
        <v/>
      </c>
      <c r="T245" s="192"/>
      <c r="U245" s="192"/>
      <c r="V245" s="192"/>
      <c r="W245" s="192"/>
      <c r="X245" s="255" t="str">
        <f>IF(COUNTBLANK(T245:W245)=4,"",SUM(T245:V245)+IF(Setup!$I$15="No",0,W245))</f>
        <v/>
      </c>
      <c r="Y245" s="192"/>
      <c r="Z245" s="192"/>
      <c r="AA245" s="192"/>
      <c r="AB245" s="192"/>
      <c r="AC245" s="255" t="str">
        <f>IF(COUNTBLANK(Y245:AB245)=4,"",SUM(Y245:AA245)+IF(Setup!$I$15="No",0,AB245))</f>
        <v/>
      </c>
      <c r="AD245" s="192"/>
      <c r="AE245" s="192"/>
      <c r="AF245" s="192"/>
      <c r="AG245" s="192"/>
      <c r="AH245" s="255" t="str">
        <f>IF(COUNTBLANK(AD245:AG245)=4,"",SUM(AD245:AF245)+IF(Setup!$I$15="No",0,AG245))</f>
        <v/>
      </c>
      <c r="AI245" s="192"/>
      <c r="AJ245" s="192"/>
      <c r="AK245" s="192"/>
      <c r="AL245" s="192"/>
      <c r="AM245" s="255" t="str">
        <f>IF(COUNTBLANK(AI245:AL245)=4,"",SUM(AI245:AK245)+IF(Setup!$I$15="No",0,AL245))</f>
        <v/>
      </c>
      <c r="AN245" s="192"/>
      <c r="AO245" s="192"/>
      <c r="AP245" s="192"/>
      <c r="AQ245" s="192"/>
      <c r="AR245" s="255" t="str">
        <f>IF(COUNTBLANK(AN245:AQ245)=4,"",SUM(AN245:AP245)+IF(Setup!$I$15="No",0,AQ245))</f>
        <v/>
      </c>
      <c r="AS245" s="192"/>
      <c r="AT245" s="192"/>
      <c r="AU245" s="192"/>
      <c r="AV245" s="192"/>
      <c r="AW245" s="255" t="str">
        <f>IF(COUNTBLANK(AS245:AV245)=4,"",SUM(AS245:AU245)+IF(Setup!$I$15="No",0,AV245))</f>
        <v/>
      </c>
      <c r="AX245" s="192"/>
      <c r="AY245" s="192"/>
      <c r="AZ245" s="192"/>
      <c r="BA245" s="192"/>
      <c r="BB245" s="255" t="str">
        <f>IF(COUNTBLANK(AX245:BA245)=4,"",SUM(AX245:AZ245)+IF(Setup!$I$15="No",0,BA245))</f>
        <v/>
      </c>
      <c r="BC245" s="259" t="str">
        <f ca="1">IF('Demand background (hide)'!A236=Num_Modalities,"",SUM(Demand!I245))</f>
        <v/>
      </c>
      <c r="BD245" s="259" t="str">
        <f ca="1">IF(AND(A245&lt;=MaxRows,BE245&lt;&gt;"Yes"),'Demand background (hide)'!X236+IF(Setup!$I$15="Yes",'Demand background (hide)'!AJ236,0),"")</f>
        <v/>
      </c>
      <c r="BE245" s="209"/>
    </row>
    <row r="246" spans="1:57" x14ac:dyDescent="0.25">
      <c r="A246" t="str">
        <f t="shared" ca="1" si="12"/>
        <v/>
      </c>
      <c r="B246" s="264" t="str">
        <f t="shared" ca="1" si="13"/>
        <v xml:space="preserve"> </v>
      </c>
      <c r="C246" s="265" t="str">
        <f t="shared" ca="1" si="14"/>
        <v/>
      </c>
      <c r="D246" s="352" t="str">
        <f t="shared" ca="1" si="15"/>
        <v/>
      </c>
      <c r="E246" s="192"/>
      <c r="F246" s="192"/>
      <c r="G246" s="192"/>
      <c r="H246" s="192"/>
      <c r="I246" s="251" t="str">
        <f>IF(COUNTBLANK(E246:H246)=4,"",SUM(E246:G246)+IF(Setup!$I$15="No",0,H246))</f>
        <v/>
      </c>
      <c r="J246" s="192"/>
      <c r="K246" s="192"/>
      <c r="L246" s="192"/>
      <c r="M246" s="192"/>
      <c r="N246" s="255" t="str">
        <f>IF(COUNTBLANK(J246:M246)=4,"",SUM(J246:L246)+IF(Setup!$I$15="No",0,M246))</f>
        <v/>
      </c>
      <c r="O246" s="192"/>
      <c r="P246" s="192"/>
      <c r="Q246" s="192"/>
      <c r="R246" s="192"/>
      <c r="S246" s="255" t="str">
        <f>IF(COUNTBLANK(O246:R246)=4,"",SUM(O246:Q246)+IF(Setup!$I$15="No",0,R246))</f>
        <v/>
      </c>
      <c r="T246" s="192"/>
      <c r="U246" s="192"/>
      <c r="V246" s="192"/>
      <c r="W246" s="192"/>
      <c r="X246" s="255" t="str">
        <f>IF(COUNTBLANK(T246:W246)=4,"",SUM(T246:V246)+IF(Setup!$I$15="No",0,W246))</f>
        <v/>
      </c>
      <c r="Y246" s="192"/>
      <c r="Z246" s="192"/>
      <c r="AA246" s="192"/>
      <c r="AB246" s="192"/>
      <c r="AC246" s="255" t="str">
        <f>IF(COUNTBLANK(Y246:AB246)=4,"",SUM(Y246:AA246)+IF(Setup!$I$15="No",0,AB246))</f>
        <v/>
      </c>
      <c r="AD246" s="192"/>
      <c r="AE246" s="192"/>
      <c r="AF246" s="192"/>
      <c r="AG246" s="192"/>
      <c r="AH246" s="255" t="str">
        <f>IF(COUNTBLANK(AD246:AG246)=4,"",SUM(AD246:AF246)+IF(Setup!$I$15="No",0,AG246))</f>
        <v/>
      </c>
      <c r="AI246" s="192"/>
      <c r="AJ246" s="192"/>
      <c r="AK246" s="192"/>
      <c r="AL246" s="192"/>
      <c r="AM246" s="255" t="str">
        <f>IF(COUNTBLANK(AI246:AL246)=4,"",SUM(AI246:AK246)+IF(Setup!$I$15="No",0,AL246))</f>
        <v/>
      </c>
      <c r="AN246" s="192"/>
      <c r="AO246" s="192"/>
      <c r="AP246" s="192"/>
      <c r="AQ246" s="192"/>
      <c r="AR246" s="255" t="str">
        <f>IF(COUNTBLANK(AN246:AQ246)=4,"",SUM(AN246:AP246)+IF(Setup!$I$15="No",0,AQ246))</f>
        <v/>
      </c>
      <c r="AS246" s="192"/>
      <c r="AT246" s="192"/>
      <c r="AU246" s="192"/>
      <c r="AV246" s="192"/>
      <c r="AW246" s="255" t="str">
        <f>IF(COUNTBLANK(AS246:AV246)=4,"",SUM(AS246:AU246)+IF(Setup!$I$15="No",0,AV246))</f>
        <v/>
      </c>
      <c r="AX246" s="192"/>
      <c r="AY246" s="192"/>
      <c r="AZ246" s="192"/>
      <c r="BA246" s="192"/>
      <c r="BB246" s="255" t="str">
        <f>IF(COUNTBLANK(AX246:BA246)=4,"",SUM(AX246:AZ246)+IF(Setup!$I$15="No",0,BA246))</f>
        <v/>
      </c>
      <c r="BC246" s="259" t="str">
        <f ca="1">IF('Demand background (hide)'!A237=Num_Modalities,"",SUM(Demand!I246))</f>
        <v/>
      </c>
      <c r="BD246" s="259" t="str">
        <f ca="1">IF(AND(A246&lt;=MaxRows,BE246&lt;&gt;"Yes"),'Demand background (hide)'!X237+IF(Setup!$I$15="Yes",'Demand background (hide)'!AJ237,0),"")</f>
        <v/>
      </c>
      <c r="BE246" s="209"/>
    </row>
    <row r="247" spans="1:57" x14ac:dyDescent="0.25">
      <c r="A247" t="str">
        <f t="shared" ca="1" si="12"/>
        <v/>
      </c>
      <c r="B247" s="264" t="str">
        <f t="shared" ca="1" si="13"/>
        <v xml:space="preserve"> </v>
      </c>
      <c r="C247" s="265" t="str">
        <f t="shared" ca="1" si="14"/>
        <v/>
      </c>
      <c r="D247" s="352" t="str">
        <f t="shared" ca="1" si="15"/>
        <v/>
      </c>
      <c r="E247" s="192"/>
      <c r="F247" s="192"/>
      <c r="G247" s="192"/>
      <c r="H247" s="192"/>
      <c r="I247" s="251" t="str">
        <f>IF(COUNTBLANK(E247:H247)=4,"",SUM(E247:G247)+IF(Setup!$I$15="No",0,H247))</f>
        <v/>
      </c>
      <c r="J247" s="192"/>
      <c r="K247" s="192"/>
      <c r="L247" s="192"/>
      <c r="M247" s="192"/>
      <c r="N247" s="255" t="str">
        <f>IF(COUNTBLANK(J247:M247)=4,"",SUM(J247:L247)+IF(Setup!$I$15="No",0,M247))</f>
        <v/>
      </c>
      <c r="O247" s="192"/>
      <c r="P247" s="192"/>
      <c r="Q247" s="192"/>
      <c r="R247" s="192"/>
      <c r="S247" s="255" t="str">
        <f>IF(COUNTBLANK(O247:R247)=4,"",SUM(O247:Q247)+IF(Setup!$I$15="No",0,R247))</f>
        <v/>
      </c>
      <c r="T247" s="192"/>
      <c r="U247" s="192"/>
      <c r="V247" s="192"/>
      <c r="W247" s="192"/>
      <c r="X247" s="255" t="str">
        <f>IF(COUNTBLANK(T247:W247)=4,"",SUM(T247:V247)+IF(Setup!$I$15="No",0,W247))</f>
        <v/>
      </c>
      <c r="Y247" s="192"/>
      <c r="Z247" s="192"/>
      <c r="AA247" s="192"/>
      <c r="AB247" s="192"/>
      <c r="AC247" s="255" t="str">
        <f>IF(COUNTBLANK(Y247:AB247)=4,"",SUM(Y247:AA247)+IF(Setup!$I$15="No",0,AB247))</f>
        <v/>
      </c>
      <c r="AD247" s="192"/>
      <c r="AE247" s="192"/>
      <c r="AF247" s="192"/>
      <c r="AG247" s="192"/>
      <c r="AH247" s="255" t="str">
        <f>IF(COUNTBLANK(AD247:AG247)=4,"",SUM(AD247:AF247)+IF(Setup!$I$15="No",0,AG247))</f>
        <v/>
      </c>
      <c r="AI247" s="192"/>
      <c r="AJ247" s="192"/>
      <c r="AK247" s="192"/>
      <c r="AL247" s="192"/>
      <c r="AM247" s="255" t="str">
        <f>IF(COUNTBLANK(AI247:AL247)=4,"",SUM(AI247:AK247)+IF(Setup!$I$15="No",0,AL247))</f>
        <v/>
      </c>
      <c r="AN247" s="192"/>
      <c r="AO247" s="192"/>
      <c r="AP247" s="192"/>
      <c r="AQ247" s="192"/>
      <c r="AR247" s="255" t="str">
        <f>IF(COUNTBLANK(AN247:AQ247)=4,"",SUM(AN247:AP247)+IF(Setup!$I$15="No",0,AQ247))</f>
        <v/>
      </c>
      <c r="AS247" s="192"/>
      <c r="AT247" s="192"/>
      <c r="AU247" s="192"/>
      <c r="AV247" s="192"/>
      <c r="AW247" s="255" t="str">
        <f>IF(COUNTBLANK(AS247:AV247)=4,"",SUM(AS247:AU247)+IF(Setup!$I$15="No",0,AV247))</f>
        <v/>
      </c>
      <c r="AX247" s="192"/>
      <c r="AY247" s="192"/>
      <c r="AZ247" s="192"/>
      <c r="BA247" s="192"/>
      <c r="BB247" s="255" t="str">
        <f>IF(COUNTBLANK(AX247:BA247)=4,"",SUM(AX247:AZ247)+IF(Setup!$I$15="No",0,BA247))</f>
        <v/>
      </c>
      <c r="BC247" s="259" t="str">
        <f ca="1">IF('Demand background (hide)'!A238=Num_Modalities,"",SUM(Demand!I247))</f>
        <v/>
      </c>
      <c r="BD247" s="259" t="str">
        <f ca="1">IF(AND(A247&lt;=MaxRows,BE247&lt;&gt;"Yes"),'Demand background (hide)'!X238+IF(Setup!$I$15="Yes",'Demand background (hide)'!AJ238,0),"")</f>
        <v/>
      </c>
      <c r="BE247" s="209"/>
    </row>
    <row r="248" spans="1:57" x14ac:dyDescent="0.25">
      <c r="A248" t="str">
        <f t="shared" ca="1" si="12"/>
        <v/>
      </c>
      <c r="B248" s="264" t="str">
        <f t="shared" ca="1" si="13"/>
        <v xml:space="preserve"> </v>
      </c>
      <c r="C248" s="265" t="str">
        <f t="shared" ca="1" si="14"/>
        <v/>
      </c>
      <c r="D248" s="352" t="str">
        <f t="shared" ca="1" si="15"/>
        <v/>
      </c>
      <c r="E248" s="192"/>
      <c r="F248" s="192"/>
      <c r="G248" s="192"/>
      <c r="H248" s="192"/>
      <c r="I248" s="251" t="str">
        <f>IF(COUNTBLANK(E248:H248)=4,"",SUM(E248:G248)+IF(Setup!$I$15="No",0,H248))</f>
        <v/>
      </c>
      <c r="J248" s="192"/>
      <c r="K248" s="192"/>
      <c r="L248" s="192"/>
      <c r="M248" s="192"/>
      <c r="N248" s="255" t="str">
        <f>IF(COUNTBLANK(J248:M248)=4,"",SUM(J248:L248)+IF(Setup!$I$15="No",0,M248))</f>
        <v/>
      </c>
      <c r="O248" s="192"/>
      <c r="P248" s="192"/>
      <c r="Q248" s="192"/>
      <c r="R248" s="192"/>
      <c r="S248" s="255" t="str">
        <f>IF(COUNTBLANK(O248:R248)=4,"",SUM(O248:Q248)+IF(Setup!$I$15="No",0,R248))</f>
        <v/>
      </c>
      <c r="T248" s="192"/>
      <c r="U248" s="192"/>
      <c r="V248" s="192"/>
      <c r="W248" s="192"/>
      <c r="X248" s="255" t="str">
        <f>IF(COUNTBLANK(T248:W248)=4,"",SUM(T248:V248)+IF(Setup!$I$15="No",0,W248))</f>
        <v/>
      </c>
      <c r="Y248" s="192"/>
      <c r="Z248" s="192"/>
      <c r="AA248" s="192"/>
      <c r="AB248" s="192"/>
      <c r="AC248" s="255" t="str">
        <f>IF(COUNTBLANK(Y248:AB248)=4,"",SUM(Y248:AA248)+IF(Setup!$I$15="No",0,AB248))</f>
        <v/>
      </c>
      <c r="AD248" s="192"/>
      <c r="AE248" s="192"/>
      <c r="AF248" s="192"/>
      <c r="AG248" s="192"/>
      <c r="AH248" s="255" t="str">
        <f>IF(COUNTBLANK(AD248:AG248)=4,"",SUM(AD248:AF248)+IF(Setup!$I$15="No",0,AG248))</f>
        <v/>
      </c>
      <c r="AI248" s="192"/>
      <c r="AJ248" s="192"/>
      <c r="AK248" s="192"/>
      <c r="AL248" s="192"/>
      <c r="AM248" s="255" t="str">
        <f>IF(COUNTBLANK(AI248:AL248)=4,"",SUM(AI248:AK248)+IF(Setup!$I$15="No",0,AL248))</f>
        <v/>
      </c>
      <c r="AN248" s="192"/>
      <c r="AO248" s="192"/>
      <c r="AP248" s="192"/>
      <c r="AQ248" s="192"/>
      <c r="AR248" s="255" t="str">
        <f>IF(COUNTBLANK(AN248:AQ248)=4,"",SUM(AN248:AP248)+IF(Setup!$I$15="No",0,AQ248))</f>
        <v/>
      </c>
      <c r="AS248" s="192"/>
      <c r="AT248" s="192"/>
      <c r="AU248" s="192"/>
      <c r="AV248" s="192"/>
      <c r="AW248" s="255" t="str">
        <f>IF(COUNTBLANK(AS248:AV248)=4,"",SUM(AS248:AU248)+IF(Setup!$I$15="No",0,AV248))</f>
        <v/>
      </c>
      <c r="AX248" s="192"/>
      <c r="AY248" s="192"/>
      <c r="AZ248" s="192"/>
      <c r="BA248" s="192"/>
      <c r="BB248" s="255" t="str">
        <f>IF(COUNTBLANK(AX248:BA248)=4,"",SUM(AX248:AZ248)+IF(Setup!$I$15="No",0,BA248))</f>
        <v/>
      </c>
      <c r="BC248" s="259" t="str">
        <f ca="1">IF('Demand background (hide)'!A239=Num_Modalities,"",SUM(Demand!I248))</f>
        <v/>
      </c>
      <c r="BD248" s="259" t="str">
        <f ca="1">IF(AND(A248&lt;=MaxRows,BE248&lt;&gt;"Yes"),'Demand background (hide)'!X239+IF(Setup!$I$15="Yes",'Demand background (hide)'!AJ239,0),"")</f>
        <v/>
      </c>
      <c r="BE248" s="209"/>
    </row>
    <row r="249" spans="1:57" x14ac:dyDescent="0.25">
      <c r="A249" t="str">
        <f t="shared" ca="1" si="12"/>
        <v/>
      </c>
      <c r="B249" s="264" t="str">
        <f t="shared" ca="1" si="13"/>
        <v xml:space="preserve"> </v>
      </c>
      <c r="C249" s="265" t="str">
        <f t="shared" ca="1" si="14"/>
        <v/>
      </c>
      <c r="D249" s="352" t="str">
        <f t="shared" ca="1" si="15"/>
        <v/>
      </c>
      <c r="E249" s="192"/>
      <c r="F249" s="192"/>
      <c r="G249" s="192"/>
      <c r="H249" s="192"/>
      <c r="I249" s="251" t="str">
        <f>IF(COUNTBLANK(E249:H249)=4,"",SUM(E249:G249)+IF(Setup!$I$15="No",0,H249))</f>
        <v/>
      </c>
      <c r="J249" s="192"/>
      <c r="K249" s="192"/>
      <c r="L249" s="192"/>
      <c r="M249" s="192"/>
      <c r="N249" s="255" t="str">
        <f>IF(COUNTBLANK(J249:M249)=4,"",SUM(J249:L249)+IF(Setup!$I$15="No",0,M249))</f>
        <v/>
      </c>
      <c r="O249" s="192"/>
      <c r="P249" s="192"/>
      <c r="Q249" s="192"/>
      <c r="R249" s="192"/>
      <c r="S249" s="255" t="str">
        <f>IF(COUNTBLANK(O249:R249)=4,"",SUM(O249:Q249)+IF(Setup!$I$15="No",0,R249))</f>
        <v/>
      </c>
      <c r="T249" s="192"/>
      <c r="U249" s="192"/>
      <c r="V249" s="192"/>
      <c r="W249" s="192"/>
      <c r="X249" s="255" t="str">
        <f>IF(COUNTBLANK(T249:W249)=4,"",SUM(T249:V249)+IF(Setup!$I$15="No",0,W249))</f>
        <v/>
      </c>
      <c r="Y249" s="192"/>
      <c r="Z249" s="192"/>
      <c r="AA249" s="192"/>
      <c r="AB249" s="192"/>
      <c r="AC249" s="255" t="str">
        <f>IF(COUNTBLANK(Y249:AB249)=4,"",SUM(Y249:AA249)+IF(Setup!$I$15="No",0,AB249))</f>
        <v/>
      </c>
      <c r="AD249" s="192"/>
      <c r="AE249" s="192"/>
      <c r="AF249" s="192"/>
      <c r="AG249" s="192"/>
      <c r="AH249" s="255" t="str">
        <f>IF(COUNTBLANK(AD249:AG249)=4,"",SUM(AD249:AF249)+IF(Setup!$I$15="No",0,AG249))</f>
        <v/>
      </c>
      <c r="AI249" s="192"/>
      <c r="AJ249" s="192"/>
      <c r="AK249" s="192"/>
      <c r="AL249" s="192"/>
      <c r="AM249" s="255" t="str">
        <f>IF(COUNTBLANK(AI249:AL249)=4,"",SUM(AI249:AK249)+IF(Setup!$I$15="No",0,AL249))</f>
        <v/>
      </c>
      <c r="AN249" s="192"/>
      <c r="AO249" s="192"/>
      <c r="AP249" s="192"/>
      <c r="AQ249" s="192"/>
      <c r="AR249" s="255" t="str">
        <f>IF(COUNTBLANK(AN249:AQ249)=4,"",SUM(AN249:AP249)+IF(Setup!$I$15="No",0,AQ249))</f>
        <v/>
      </c>
      <c r="AS249" s="192"/>
      <c r="AT249" s="192"/>
      <c r="AU249" s="192"/>
      <c r="AV249" s="192"/>
      <c r="AW249" s="255" t="str">
        <f>IF(COUNTBLANK(AS249:AV249)=4,"",SUM(AS249:AU249)+IF(Setup!$I$15="No",0,AV249))</f>
        <v/>
      </c>
      <c r="AX249" s="192"/>
      <c r="AY249" s="192"/>
      <c r="AZ249" s="192"/>
      <c r="BA249" s="192"/>
      <c r="BB249" s="255" t="str">
        <f>IF(COUNTBLANK(AX249:BA249)=4,"",SUM(AX249:AZ249)+IF(Setup!$I$15="No",0,BA249))</f>
        <v/>
      </c>
      <c r="BC249" s="259" t="str">
        <f ca="1">IF('Demand background (hide)'!A240=Num_Modalities,"",SUM(Demand!I249))</f>
        <v/>
      </c>
      <c r="BD249" s="259" t="str">
        <f ca="1">IF(AND(A249&lt;=MaxRows,BE249&lt;&gt;"Yes"),'Demand background (hide)'!X240+IF(Setup!$I$15="Yes",'Demand background (hide)'!AJ240,0),"")</f>
        <v/>
      </c>
      <c r="BE249" s="209"/>
    </row>
    <row r="250" spans="1:57" x14ac:dyDescent="0.25">
      <c r="A250" t="str">
        <f t="shared" ca="1" si="12"/>
        <v/>
      </c>
      <c r="B250" s="264" t="str">
        <f t="shared" ca="1" si="13"/>
        <v xml:space="preserve"> </v>
      </c>
      <c r="C250" s="265" t="str">
        <f t="shared" ca="1" si="14"/>
        <v/>
      </c>
      <c r="D250" s="352" t="str">
        <f t="shared" ca="1" si="15"/>
        <v/>
      </c>
      <c r="E250" s="192"/>
      <c r="F250" s="192"/>
      <c r="G250" s="192"/>
      <c r="H250" s="192"/>
      <c r="I250" s="251" t="str">
        <f>IF(COUNTBLANK(E250:H250)=4,"",SUM(E250:G250)+IF(Setup!$I$15="No",0,H250))</f>
        <v/>
      </c>
      <c r="J250" s="192"/>
      <c r="K250" s="192"/>
      <c r="L250" s="192"/>
      <c r="M250" s="192"/>
      <c r="N250" s="255" t="str">
        <f>IF(COUNTBLANK(J250:M250)=4,"",SUM(J250:L250)+IF(Setup!$I$15="No",0,M250))</f>
        <v/>
      </c>
      <c r="O250" s="192"/>
      <c r="P250" s="192"/>
      <c r="Q250" s="192"/>
      <c r="R250" s="192"/>
      <c r="S250" s="255" t="str">
        <f>IF(COUNTBLANK(O250:R250)=4,"",SUM(O250:Q250)+IF(Setup!$I$15="No",0,R250))</f>
        <v/>
      </c>
      <c r="T250" s="192"/>
      <c r="U250" s="192"/>
      <c r="V250" s="192"/>
      <c r="W250" s="192"/>
      <c r="X250" s="255" t="str">
        <f>IF(COUNTBLANK(T250:W250)=4,"",SUM(T250:V250)+IF(Setup!$I$15="No",0,W250))</f>
        <v/>
      </c>
      <c r="Y250" s="192"/>
      <c r="Z250" s="192"/>
      <c r="AA250" s="192"/>
      <c r="AB250" s="192"/>
      <c r="AC250" s="255" t="str">
        <f>IF(COUNTBLANK(Y250:AB250)=4,"",SUM(Y250:AA250)+IF(Setup!$I$15="No",0,AB250))</f>
        <v/>
      </c>
      <c r="AD250" s="192"/>
      <c r="AE250" s="192"/>
      <c r="AF250" s="192"/>
      <c r="AG250" s="192"/>
      <c r="AH250" s="255" t="str">
        <f>IF(COUNTBLANK(AD250:AG250)=4,"",SUM(AD250:AF250)+IF(Setup!$I$15="No",0,AG250))</f>
        <v/>
      </c>
      <c r="AI250" s="192"/>
      <c r="AJ250" s="192"/>
      <c r="AK250" s="192"/>
      <c r="AL250" s="192"/>
      <c r="AM250" s="255" t="str">
        <f>IF(COUNTBLANK(AI250:AL250)=4,"",SUM(AI250:AK250)+IF(Setup!$I$15="No",0,AL250))</f>
        <v/>
      </c>
      <c r="AN250" s="192"/>
      <c r="AO250" s="192"/>
      <c r="AP250" s="192"/>
      <c r="AQ250" s="192"/>
      <c r="AR250" s="255" t="str">
        <f>IF(COUNTBLANK(AN250:AQ250)=4,"",SUM(AN250:AP250)+IF(Setup!$I$15="No",0,AQ250))</f>
        <v/>
      </c>
      <c r="AS250" s="192"/>
      <c r="AT250" s="192"/>
      <c r="AU250" s="192"/>
      <c r="AV250" s="192"/>
      <c r="AW250" s="255" t="str">
        <f>IF(COUNTBLANK(AS250:AV250)=4,"",SUM(AS250:AU250)+IF(Setup!$I$15="No",0,AV250))</f>
        <v/>
      </c>
      <c r="AX250" s="192"/>
      <c r="AY250" s="192"/>
      <c r="AZ250" s="192"/>
      <c r="BA250" s="192"/>
      <c r="BB250" s="255" t="str">
        <f>IF(COUNTBLANK(AX250:BA250)=4,"",SUM(AX250:AZ250)+IF(Setup!$I$15="No",0,BA250))</f>
        <v/>
      </c>
      <c r="BC250" s="259" t="str">
        <f ca="1">IF('Demand background (hide)'!A241=Num_Modalities,"",SUM(Demand!I250))</f>
        <v/>
      </c>
      <c r="BD250" s="259" t="str">
        <f ca="1">IF(AND(A250&lt;=MaxRows,BE250&lt;&gt;"Yes"),'Demand background (hide)'!X241+IF(Setup!$I$15="Yes",'Demand background (hide)'!AJ241,0),"")</f>
        <v/>
      </c>
      <c r="BE250" s="209"/>
    </row>
    <row r="251" spans="1:57" x14ac:dyDescent="0.25">
      <c r="A251" t="str">
        <f t="shared" ca="1" si="12"/>
        <v/>
      </c>
      <c r="B251" s="264" t="str">
        <f t="shared" ca="1" si="13"/>
        <v xml:space="preserve"> </v>
      </c>
      <c r="C251" s="265" t="str">
        <f t="shared" ca="1" si="14"/>
        <v/>
      </c>
      <c r="D251" s="352" t="str">
        <f t="shared" ca="1" si="15"/>
        <v/>
      </c>
      <c r="E251" s="192"/>
      <c r="F251" s="192"/>
      <c r="G251" s="192"/>
      <c r="H251" s="192"/>
      <c r="I251" s="251" t="str">
        <f>IF(COUNTBLANK(E251:H251)=4,"",SUM(E251:G251)+IF(Setup!$I$15="No",0,H251))</f>
        <v/>
      </c>
      <c r="J251" s="192"/>
      <c r="K251" s="192"/>
      <c r="L251" s="192"/>
      <c r="M251" s="192"/>
      <c r="N251" s="255" t="str">
        <f>IF(COUNTBLANK(J251:M251)=4,"",SUM(J251:L251)+IF(Setup!$I$15="No",0,M251))</f>
        <v/>
      </c>
      <c r="O251" s="192"/>
      <c r="P251" s="192"/>
      <c r="Q251" s="192"/>
      <c r="R251" s="192"/>
      <c r="S251" s="255" t="str">
        <f>IF(COUNTBLANK(O251:R251)=4,"",SUM(O251:Q251)+IF(Setup!$I$15="No",0,R251))</f>
        <v/>
      </c>
      <c r="T251" s="192"/>
      <c r="U251" s="192"/>
      <c r="V251" s="192"/>
      <c r="W251" s="192"/>
      <c r="X251" s="255" t="str">
        <f>IF(COUNTBLANK(T251:W251)=4,"",SUM(T251:V251)+IF(Setup!$I$15="No",0,W251))</f>
        <v/>
      </c>
      <c r="Y251" s="192"/>
      <c r="Z251" s="192"/>
      <c r="AA251" s="192"/>
      <c r="AB251" s="192"/>
      <c r="AC251" s="255" t="str">
        <f>IF(COUNTBLANK(Y251:AB251)=4,"",SUM(Y251:AA251)+IF(Setup!$I$15="No",0,AB251))</f>
        <v/>
      </c>
      <c r="AD251" s="192"/>
      <c r="AE251" s="192"/>
      <c r="AF251" s="192"/>
      <c r="AG251" s="192"/>
      <c r="AH251" s="255" t="str">
        <f>IF(COUNTBLANK(AD251:AG251)=4,"",SUM(AD251:AF251)+IF(Setup!$I$15="No",0,AG251))</f>
        <v/>
      </c>
      <c r="AI251" s="192"/>
      <c r="AJ251" s="192"/>
      <c r="AK251" s="192"/>
      <c r="AL251" s="192"/>
      <c r="AM251" s="255" t="str">
        <f>IF(COUNTBLANK(AI251:AL251)=4,"",SUM(AI251:AK251)+IF(Setup!$I$15="No",0,AL251))</f>
        <v/>
      </c>
      <c r="AN251" s="192"/>
      <c r="AO251" s="192"/>
      <c r="AP251" s="192"/>
      <c r="AQ251" s="192"/>
      <c r="AR251" s="255" t="str">
        <f>IF(COUNTBLANK(AN251:AQ251)=4,"",SUM(AN251:AP251)+IF(Setup!$I$15="No",0,AQ251))</f>
        <v/>
      </c>
      <c r="AS251" s="192"/>
      <c r="AT251" s="192"/>
      <c r="AU251" s="192"/>
      <c r="AV251" s="192"/>
      <c r="AW251" s="255" t="str">
        <f>IF(COUNTBLANK(AS251:AV251)=4,"",SUM(AS251:AU251)+IF(Setup!$I$15="No",0,AV251))</f>
        <v/>
      </c>
      <c r="AX251" s="192"/>
      <c r="AY251" s="192"/>
      <c r="AZ251" s="192"/>
      <c r="BA251" s="192"/>
      <c r="BB251" s="255" t="str">
        <f>IF(COUNTBLANK(AX251:BA251)=4,"",SUM(AX251:AZ251)+IF(Setup!$I$15="No",0,BA251))</f>
        <v/>
      </c>
      <c r="BC251" s="259" t="str">
        <f ca="1">IF('Demand background (hide)'!A242=Num_Modalities,"",SUM(Demand!I251))</f>
        <v/>
      </c>
      <c r="BD251" s="259" t="str">
        <f ca="1">IF(AND(A251&lt;=MaxRows,BE251&lt;&gt;"Yes"),'Demand background (hide)'!X242+IF(Setup!$I$15="Yes",'Demand background (hide)'!AJ242,0),"")</f>
        <v/>
      </c>
      <c r="BE251" s="209"/>
    </row>
    <row r="252" spans="1:57" x14ac:dyDescent="0.25">
      <c r="A252" t="str">
        <f t="shared" ca="1" si="12"/>
        <v/>
      </c>
      <c r="B252" s="264" t="str">
        <f t="shared" ca="1" si="13"/>
        <v xml:space="preserve"> </v>
      </c>
      <c r="C252" s="265" t="str">
        <f t="shared" ca="1" si="14"/>
        <v/>
      </c>
      <c r="D252" s="352" t="str">
        <f t="shared" ca="1" si="15"/>
        <v/>
      </c>
      <c r="E252" s="192"/>
      <c r="F252" s="192"/>
      <c r="G252" s="192"/>
      <c r="H252" s="192"/>
      <c r="I252" s="251" t="str">
        <f>IF(COUNTBLANK(E252:H252)=4,"",SUM(E252:G252)+IF(Setup!$I$15="No",0,H252))</f>
        <v/>
      </c>
      <c r="J252" s="192"/>
      <c r="K252" s="192"/>
      <c r="L252" s="192"/>
      <c r="M252" s="192"/>
      <c r="N252" s="255" t="str">
        <f>IF(COUNTBLANK(J252:M252)=4,"",SUM(J252:L252)+IF(Setup!$I$15="No",0,M252))</f>
        <v/>
      </c>
      <c r="O252" s="192"/>
      <c r="P252" s="192"/>
      <c r="Q252" s="192"/>
      <c r="R252" s="192"/>
      <c r="S252" s="255" t="str">
        <f>IF(COUNTBLANK(O252:R252)=4,"",SUM(O252:Q252)+IF(Setup!$I$15="No",0,R252))</f>
        <v/>
      </c>
      <c r="T252" s="192"/>
      <c r="U252" s="192"/>
      <c r="V252" s="192"/>
      <c r="W252" s="192"/>
      <c r="X252" s="255" t="str">
        <f>IF(COUNTBLANK(T252:W252)=4,"",SUM(T252:V252)+IF(Setup!$I$15="No",0,W252))</f>
        <v/>
      </c>
      <c r="Y252" s="192"/>
      <c r="Z252" s="192"/>
      <c r="AA252" s="192"/>
      <c r="AB252" s="192"/>
      <c r="AC252" s="255" t="str">
        <f>IF(COUNTBLANK(Y252:AB252)=4,"",SUM(Y252:AA252)+IF(Setup!$I$15="No",0,AB252))</f>
        <v/>
      </c>
      <c r="AD252" s="192"/>
      <c r="AE252" s="192"/>
      <c r="AF252" s="192"/>
      <c r="AG252" s="192"/>
      <c r="AH252" s="255" t="str">
        <f>IF(COUNTBLANK(AD252:AG252)=4,"",SUM(AD252:AF252)+IF(Setup!$I$15="No",0,AG252))</f>
        <v/>
      </c>
      <c r="AI252" s="192"/>
      <c r="AJ252" s="192"/>
      <c r="AK252" s="192"/>
      <c r="AL252" s="192"/>
      <c r="AM252" s="255" t="str">
        <f>IF(COUNTBLANK(AI252:AL252)=4,"",SUM(AI252:AK252)+IF(Setup!$I$15="No",0,AL252))</f>
        <v/>
      </c>
      <c r="AN252" s="192"/>
      <c r="AO252" s="192"/>
      <c r="AP252" s="192"/>
      <c r="AQ252" s="192"/>
      <c r="AR252" s="255" t="str">
        <f>IF(COUNTBLANK(AN252:AQ252)=4,"",SUM(AN252:AP252)+IF(Setup!$I$15="No",0,AQ252))</f>
        <v/>
      </c>
      <c r="AS252" s="192"/>
      <c r="AT252" s="192"/>
      <c r="AU252" s="192"/>
      <c r="AV252" s="192"/>
      <c r="AW252" s="255" t="str">
        <f>IF(COUNTBLANK(AS252:AV252)=4,"",SUM(AS252:AU252)+IF(Setup!$I$15="No",0,AV252))</f>
        <v/>
      </c>
      <c r="AX252" s="192"/>
      <c r="AY252" s="192"/>
      <c r="AZ252" s="192"/>
      <c r="BA252" s="192"/>
      <c r="BB252" s="255" t="str">
        <f>IF(COUNTBLANK(AX252:BA252)=4,"",SUM(AX252:AZ252)+IF(Setup!$I$15="No",0,BA252))</f>
        <v/>
      </c>
      <c r="BC252" s="259" t="str">
        <f ca="1">IF('Demand background (hide)'!A243=Num_Modalities,"",SUM(Demand!I252))</f>
        <v/>
      </c>
      <c r="BD252" s="259" t="str">
        <f ca="1">IF(AND(A252&lt;=MaxRows,BE252&lt;&gt;"Yes"),'Demand background (hide)'!X243+IF(Setup!$I$15="Yes",'Demand background (hide)'!AJ243,0),"")</f>
        <v/>
      </c>
      <c r="BE252" s="209"/>
    </row>
    <row r="253" spans="1:57" x14ac:dyDescent="0.25">
      <c r="A253" t="str">
        <f t="shared" ca="1" si="12"/>
        <v/>
      </c>
      <c r="B253" s="264" t="str">
        <f t="shared" ca="1" si="13"/>
        <v xml:space="preserve"> </v>
      </c>
      <c r="C253" s="265" t="str">
        <f t="shared" ca="1" si="14"/>
        <v/>
      </c>
      <c r="D253" s="352" t="str">
        <f t="shared" ca="1" si="15"/>
        <v/>
      </c>
      <c r="E253" s="192"/>
      <c r="F253" s="192"/>
      <c r="G253" s="192"/>
      <c r="H253" s="192"/>
      <c r="I253" s="251" t="str">
        <f>IF(COUNTBLANK(E253:H253)=4,"",SUM(E253:G253)+IF(Setup!$I$15="No",0,H253))</f>
        <v/>
      </c>
      <c r="J253" s="192"/>
      <c r="K253" s="192"/>
      <c r="L253" s="192"/>
      <c r="M253" s="192"/>
      <c r="N253" s="255" t="str">
        <f>IF(COUNTBLANK(J253:M253)=4,"",SUM(J253:L253)+IF(Setup!$I$15="No",0,M253))</f>
        <v/>
      </c>
      <c r="O253" s="192"/>
      <c r="P253" s="192"/>
      <c r="Q253" s="192"/>
      <c r="R253" s="192"/>
      <c r="S253" s="255" t="str">
        <f>IF(COUNTBLANK(O253:R253)=4,"",SUM(O253:Q253)+IF(Setup!$I$15="No",0,R253))</f>
        <v/>
      </c>
      <c r="T253" s="192"/>
      <c r="U253" s="192"/>
      <c r="V253" s="192"/>
      <c r="W253" s="192"/>
      <c r="X253" s="255" t="str">
        <f>IF(COUNTBLANK(T253:W253)=4,"",SUM(T253:V253)+IF(Setup!$I$15="No",0,W253))</f>
        <v/>
      </c>
      <c r="Y253" s="192"/>
      <c r="Z253" s="192"/>
      <c r="AA253" s="192"/>
      <c r="AB253" s="192"/>
      <c r="AC253" s="255" t="str">
        <f>IF(COUNTBLANK(Y253:AB253)=4,"",SUM(Y253:AA253)+IF(Setup!$I$15="No",0,AB253))</f>
        <v/>
      </c>
      <c r="AD253" s="192"/>
      <c r="AE253" s="192"/>
      <c r="AF253" s="192"/>
      <c r="AG253" s="192"/>
      <c r="AH253" s="255" t="str">
        <f>IF(COUNTBLANK(AD253:AG253)=4,"",SUM(AD253:AF253)+IF(Setup!$I$15="No",0,AG253))</f>
        <v/>
      </c>
      <c r="AI253" s="192"/>
      <c r="AJ253" s="192"/>
      <c r="AK253" s="192"/>
      <c r="AL253" s="192"/>
      <c r="AM253" s="255" t="str">
        <f>IF(COUNTBLANK(AI253:AL253)=4,"",SUM(AI253:AK253)+IF(Setup!$I$15="No",0,AL253))</f>
        <v/>
      </c>
      <c r="AN253" s="192"/>
      <c r="AO253" s="192"/>
      <c r="AP253" s="192"/>
      <c r="AQ253" s="192"/>
      <c r="AR253" s="255" t="str">
        <f>IF(COUNTBLANK(AN253:AQ253)=4,"",SUM(AN253:AP253)+IF(Setup!$I$15="No",0,AQ253))</f>
        <v/>
      </c>
      <c r="AS253" s="192"/>
      <c r="AT253" s="192"/>
      <c r="AU253" s="192"/>
      <c r="AV253" s="192"/>
      <c r="AW253" s="255" t="str">
        <f>IF(COUNTBLANK(AS253:AV253)=4,"",SUM(AS253:AU253)+IF(Setup!$I$15="No",0,AV253))</f>
        <v/>
      </c>
      <c r="AX253" s="192"/>
      <c r="AY253" s="192"/>
      <c r="AZ253" s="192"/>
      <c r="BA253" s="192"/>
      <c r="BB253" s="255" t="str">
        <f>IF(COUNTBLANK(AX253:BA253)=4,"",SUM(AX253:AZ253)+IF(Setup!$I$15="No",0,BA253))</f>
        <v/>
      </c>
      <c r="BC253" s="259" t="str">
        <f ca="1">IF('Demand background (hide)'!A244=Num_Modalities,"",SUM(Demand!I253))</f>
        <v/>
      </c>
      <c r="BD253" s="259" t="str">
        <f ca="1">IF(AND(A253&lt;=MaxRows,BE253&lt;&gt;"Yes"),'Demand background (hide)'!X244+IF(Setup!$I$15="Yes",'Demand background (hide)'!AJ244,0),"")</f>
        <v/>
      </c>
      <c r="BE253" s="209"/>
    </row>
    <row r="254" spans="1:57" x14ac:dyDescent="0.25">
      <c r="A254" t="str">
        <f t="shared" ca="1" si="12"/>
        <v/>
      </c>
      <c r="B254" s="264" t="str">
        <f t="shared" ca="1" si="13"/>
        <v xml:space="preserve"> </v>
      </c>
      <c r="C254" s="265" t="str">
        <f t="shared" ca="1" si="14"/>
        <v/>
      </c>
      <c r="D254" s="352" t="str">
        <f t="shared" ca="1" si="15"/>
        <v/>
      </c>
      <c r="E254" s="192"/>
      <c r="F254" s="192"/>
      <c r="G254" s="192"/>
      <c r="H254" s="192"/>
      <c r="I254" s="251" t="str">
        <f>IF(COUNTBLANK(E254:H254)=4,"",SUM(E254:G254)+IF(Setup!$I$15="No",0,H254))</f>
        <v/>
      </c>
      <c r="J254" s="192"/>
      <c r="K254" s="192"/>
      <c r="L254" s="192"/>
      <c r="M254" s="192"/>
      <c r="N254" s="255" t="str">
        <f>IF(COUNTBLANK(J254:M254)=4,"",SUM(J254:L254)+IF(Setup!$I$15="No",0,M254))</f>
        <v/>
      </c>
      <c r="O254" s="192"/>
      <c r="P254" s="192"/>
      <c r="Q254" s="192"/>
      <c r="R254" s="192"/>
      <c r="S254" s="255" t="str">
        <f>IF(COUNTBLANK(O254:R254)=4,"",SUM(O254:Q254)+IF(Setup!$I$15="No",0,R254))</f>
        <v/>
      </c>
      <c r="T254" s="192"/>
      <c r="U254" s="192"/>
      <c r="V254" s="192"/>
      <c r="W254" s="192"/>
      <c r="X254" s="255" t="str">
        <f>IF(COUNTBLANK(T254:W254)=4,"",SUM(T254:V254)+IF(Setup!$I$15="No",0,W254))</f>
        <v/>
      </c>
      <c r="Y254" s="192"/>
      <c r="Z254" s="192"/>
      <c r="AA254" s="192"/>
      <c r="AB254" s="192"/>
      <c r="AC254" s="255" t="str">
        <f>IF(COUNTBLANK(Y254:AB254)=4,"",SUM(Y254:AA254)+IF(Setup!$I$15="No",0,AB254))</f>
        <v/>
      </c>
      <c r="AD254" s="192"/>
      <c r="AE254" s="192"/>
      <c r="AF254" s="192"/>
      <c r="AG254" s="192"/>
      <c r="AH254" s="255" t="str">
        <f>IF(COUNTBLANK(AD254:AG254)=4,"",SUM(AD254:AF254)+IF(Setup!$I$15="No",0,AG254))</f>
        <v/>
      </c>
      <c r="AI254" s="192"/>
      <c r="AJ254" s="192"/>
      <c r="AK254" s="192"/>
      <c r="AL254" s="192"/>
      <c r="AM254" s="255" t="str">
        <f>IF(COUNTBLANK(AI254:AL254)=4,"",SUM(AI254:AK254)+IF(Setup!$I$15="No",0,AL254))</f>
        <v/>
      </c>
      <c r="AN254" s="192"/>
      <c r="AO254" s="192"/>
      <c r="AP254" s="192"/>
      <c r="AQ254" s="192"/>
      <c r="AR254" s="255" t="str">
        <f>IF(COUNTBLANK(AN254:AQ254)=4,"",SUM(AN254:AP254)+IF(Setup!$I$15="No",0,AQ254))</f>
        <v/>
      </c>
      <c r="AS254" s="192"/>
      <c r="AT254" s="192"/>
      <c r="AU254" s="192"/>
      <c r="AV254" s="192"/>
      <c r="AW254" s="255" t="str">
        <f>IF(COUNTBLANK(AS254:AV254)=4,"",SUM(AS254:AU254)+IF(Setup!$I$15="No",0,AV254))</f>
        <v/>
      </c>
      <c r="AX254" s="192"/>
      <c r="AY254" s="192"/>
      <c r="AZ254" s="192"/>
      <c r="BA254" s="192"/>
      <c r="BB254" s="255" t="str">
        <f>IF(COUNTBLANK(AX254:BA254)=4,"",SUM(AX254:AZ254)+IF(Setup!$I$15="No",0,BA254))</f>
        <v/>
      </c>
      <c r="BC254" s="259" t="str">
        <f ca="1">IF('Demand background (hide)'!A245=Num_Modalities,"",SUM(Demand!I254))</f>
        <v/>
      </c>
      <c r="BD254" s="259" t="str">
        <f ca="1">IF(AND(A254&lt;=MaxRows,BE254&lt;&gt;"Yes"),'Demand background (hide)'!X245+IF(Setup!$I$15="Yes",'Demand background (hide)'!AJ245,0),"")</f>
        <v/>
      </c>
      <c r="BE254" s="209"/>
    </row>
    <row r="255" spans="1:57" x14ac:dyDescent="0.25">
      <c r="A255" t="str">
        <f t="shared" ca="1" si="12"/>
        <v/>
      </c>
      <c r="B255" s="264" t="str">
        <f t="shared" ca="1" si="13"/>
        <v xml:space="preserve"> </v>
      </c>
      <c r="C255" s="265" t="str">
        <f t="shared" ca="1" si="14"/>
        <v/>
      </c>
      <c r="D255" s="352" t="str">
        <f t="shared" ca="1" si="15"/>
        <v/>
      </c>
      <c r="E255" s="192"/>
      <c r="F255" s="192"/>
      <c r="G255" s="192"/>
      <c r="H255" s="192"/>
      <c r="I255" s="251" t="str">
        <f>IF(COUNTBLANK(E255:H255)=4,"",SUM(E255:G255)+IF(Setup!$I$15="No",0,H255))</f>
        <v/>
      </c>
      <c r="J255" s="192"/>
      <c r="K255" s="192"/>
      <c r="L255" s="192"/>
      <c r="M255" s="192"/>
      <c r="N255" s="255" t="str">
        <f>IF(COUNTBLANK(J255:M255)=4,"",SUM(J255:L255)+IF(Setup!$I$15="No",0,M255))</f>
        <v/>
      </c>
      <c r="O255" s="192"/>
      <c r="P255" s="192"/>
      <c r="Q255" s="192"/>
      <c r="R255" s="192"/>
      <c r="S255" s="255" t="str">
        <f>IF(COUNTBLANK(O255:R255)=4,"",SUM(O255:Q255)+IF(Setup!$I$15="No",0,R255))</f>
        <v/>
      </c>
      <c r="T255" s="192"/>
      <c r="U255" s="192"/>
      <c r="V255" s="192"/>
      <c r="W255" s="192"/>
      <c r="X255" s="255" t="str">
        <f>IF(COUNTBLANK(T255:W255)=4,"",SUM(T255:V255)+IF(Setup!$I$15="No",0,W255))</f>
        <v/>
      </c>
      <c r="Y255" s="192"/>
      <c r="Z255" s="192"/>
      <c r="AA255" s="192"/>
      <c r="AB255" s="192"/>
      <c r="AC255" s="255" t="str">
        <f>IF(COUNTBLANK(Y255:AB255)=4,"",SUM(Y255:AA255)+IF(Setup!$I$15="No",0,AB255))</f>
        <v/>
      </c>
      <c r="AD255" s="192"/>
      <c r="AE255" s="192"/>
      <c r="AF255" s="192"/>
      <c r="AG255" s="192"/>
      <c r="AH255" s="255" t="str">
        <f>IF(COUNTBLANK(AD255:AG255)=4,"",SUM(AD255:AF255)+IF(Setup!$I$15="No",0,AG255))</f>
        <v/>
      </c>
      <c r="AI255" s="192"/>
      <c r="AJ255" s="192"/>
      <c r="AK255" s="192"/>
      <c r="AL255" s="192"/>
      <c r="AM255" s="255" t="str">
        <f>IF(COUNTBLANK(AI255:AL255)=4,"",SUM(AI255:AK255)+IF(Setup!$I$15="No",0,AL255))</f>
        <v/>
      </c>
      <c r="AN255" s="192"/>
      <c r="AO255" s="192"/>
      <c r="AP255" s="192"/>
      <c r="AQ255" s="192"/>
      <c r="AR255" s="255" t="str">
        <f>IF(COUNTBLANK(AN255:AQ255)=4,"",SUM(AN255:AP255)+IF(Setup!$I$15="No",0,AQ255))</f>
        <v/>
      </c>
      <c r="AS255" s="192"/>
      <c r="AT255" s="192"/>
      <c r="AU255" s="192"/>
      <c r="AV255" s="192"/>
      <c r="AW255" s="255" t="str">
        <f>IF(COUNTBLANK(AS255:AV255)=4,"",SUM(AS255:AU255)+IF(Setup!$I$15="No",0,AV255))</f>
        <v/>
      </c>
      <c r="AX255" s="192"/>
      <c r="AY255" s="192"/>
      <c r="AZ255" s="192"/>
      <c r="BA255" s="192"/>
      <c r="BB255" s="255" t="str">
        <f>IF(COUNTBLANK(AX255:BA255)=4,"",SUM(AX255:AZ255)+IF(Setup!$I$15="No",0,BA255))</f>
        <v/>
      </c>
      <c r="BC255" s="259" t="str">
        <f ca="1">IF('Demand background (hide)'!A246=Num_Modalities,"",SUM(Demand!I255))</f>
        <v/>
      </c>
      <c r="BD255" s="259" t="str">
        <f ca="1">IF(AND(A255&lt;=MaxRows,BE255&lt;&gt;"Yes"),'Demand background (hide)'!X246+IF(Setup!$I$15="Yes",'Demand background (hide)'!AJ246,0),"")</f>
        <v/>
      </c>
      <c r="BE255" s="209"/>
    </row>
    <row r="256" spans="1:57" x14ac:dyDescent="0.25">
      <c r="A256" t="str">
        <f t="shared" ca="1" si="12"/>
        <v/>
      </c>
      <c r="B256" s="264" t="str">
        <f t="shared" ca="1" si="13"/>
        <v xml:space="preserve"> </v>
      </c>
      <c r="C256" s="265" t="str">
        <f t="shared" ca="1" si="14"/>
        <v/>
      </c>
      <c r="D256" s="352" t="str">
        <f t="shared" ca="1" si="15"/>
        <v/>
      </c>
      <c r="E256" s="192"/>
      <c r="F256" s="192"/>
      <c r="G256" s="192"/>
      <c r="H256" s="192"/>
      <c r="I256" s="251" t="str">
        <f>IF(COUNTBLANK(E256:H256)=4,"",SUM(E256:G256)+IF(Setup!$I$15="No",0,H256))</f>
        <v/>
      </c>
      <c r="J256" s="192"/>
      <c r="K256" s="192"/>
      <c r="L256" s="192"/>
      <c r="M256" s="192"/>
      <c r="N256" s="255" t="str">
        <f>IF(COUNTBLANK(J256:M256)=4,"",SUM(J256:L256)+IF(Setup!$I$15="No",0,M256))</f>
        <v/>
      </c>
      <c r="O256" s="192"/>
      <c r="P256" s="192"/>
      <c r="Q256" s="192"/>
      <c r="R256" s="192"/>
      <c r="S256" s="255" t="str">
        <f>IF(COUNTBLANK(O256:R256)=4,"",SUM(O256:Q256)+IF(Setup!$I$15="No",0,R256))</f>
        <v/>
      </c>
      <c r="T256" s="192"/>
      <c r="U256" s="192"/>
      <c r="V256" s="192"/>
      <c r="W256" s="192"/>
      <c r="X256" s="255" t="str">
        <f>IF(COUNTBLANK(T256:W256)=4,"",SUM(T256:V256)+IF(Setup!$I$15="No",0,W256))</f>
        <v/>
      </c>
      <c r="Y256" s="192"/>
      <c r="Z256" s="192"/>
      <c r="AA256" s="192"/>
      <c r="AB256" s="192"/>
      <c r="AC256" s="255" t="str">
        <f>IF(COUNTBLANK(Y256:AB256)=4,"",SUM(Y256:AA256)+IF(Setup!$I$15="No",0,AB256))</f>
        <v/>
      </c>
      <c r="AD256" s="192"/>
      <c r="AE256" s="192"/>
      <c r="AF256" s="192"/>
      <c r="AG256" s="192"/>
      <c r="AH256" s="255" t="str">
        <f>IF(COUNTBLANK(AD256:AG256)=4,"",SUM(AD256:AF256)+IF(Setup!$I$15="No",0,AG256))</f>
        <v/>
      </c>
      <c r="AI256" s="192"/>
      <c r="AJ256" s="192"/>
      <c r="AK256" s="192"/>
      <c r="AL256" s="192"/>
      <c r="AM256" s="255" t="str">
        <f>IF(COUNTBLANK(AI256:AL256)=4,"",SUM(AI256:AK256)+IF(Setup!$I$15="No",0,AL256))</f>
        <v/>
      </c>
      <c r="AN256" s="192"/>
      <c r="AO256" s="192"/>
      <c r="AP256" s="192"/>
      <c r="AQ256" s="192"/>
      <c r="AR256" s="255" t="str">
        <f>IF(COUNTBLANK(AN256:AQ256)=4,"",SUM(AN256:AP256)+IF(Setup!$I$15="No",0,AQ256))</f>
        <v/>
      </c>
      <c r="AS256" s="192"/>
      <c r="AT256" s="192"/>
      <c r="AU256" s="192"/>
      <c r="AV256" s="192"/>
      <c r="AW256" s="255" t="str">
        <f>IF(COUNTBLANK(AS256:AV256)=4,"",SUM(AS256:AU256)+IF(Setup!$I$15="No",0,AV256))</f>
        <v/>
      </c>
      <c r="AX256" s="192"/>
      <c r="AY256" s="192"/>
      <c r="AZ256" s="192"/>
      <c r="BA256" s="192"/>
      <c r="BB256" s="255" t="str">
        <f>IF(COUNTBLANK(AX256:BA256)=4,"",SUM(AX256:AZ256)+IF(Setup!$I$15="No",0,BA256))</f>
        <v/>
      </c>
      <c r="BC256" s="259" t="str">
        <f ca="1">IF('Demand background (hide)'!A247=Num_Modalities,"",SUM(Demand!I256))</f>
        <v/>
      </c>
      <c r="BD256" s="259" t="str">
        <f ca="1">IF(AND(A256&lt;=MaxRows,BE256&lt;&gt;"Yes"),'Demand background (hide)'!X247+IF(Setup!$I$15="Yes",'Demand background (hide)'!AJ247,0),"")</f>
        <v/>
      </c>
      <c r="BE256" s="209"/>
    </row>
    <row r="257" spans="1:57" x14ac:dyDescent="0.25">
      <c r="A257" t="str">
        <f t="shared" ca="1" si="12"/>
        <v/>
      </c>
      <c r="B257" s="264" t="str">
        <f t="shared" ca="1" si="13"/>
        <v xml:space="preserve"> </v>
      </c>
      <c r="C257" s="265" t="str">
        <f t="shared" ca="1" si="14"/>
        <v/>
      </c>
      <c r="D257" s="352" t="str">
        <f t="shared" ca="1" si="15"/>
        <v/>
      </c>
      <c r="E257" s="192"/>
      <c r="F257" s="192"/>
      <c r="G257" s="192"/>
      <c r="H257" s="192"/>
      <c r="I257" s="251" t="str">
        <f>IF(COUNTBLANK(E257:H257)=4,"",SUM(E257:G257)+IF(Setup!$I$15="No",0,H257))</f>
        <v/>
      </c>
      <c r="J257" s="192"/>
      <c r="K257" s="192"/>
      <c r="L257" s="192"/>
      <c r="M257" s="192"/>
      <c r="N257" s="255" t="str">
        <f>IF(COUNTBLANK(J257:M257)=4,"",SUM(J257:L257)+IF(Setup!$I$15="No",0,M257))</f>
        <v/>
      </c>
      <c r="O257" s="192"/>
      <c r="P257" s="192"/>
      <c r="Q257" s="192"/>
      <c r="R257" s="192"/>
      <c r="S257" s="255" t="str">
        <f>IF(COUNTBLANK(O257:R257)=4,"",SUM(O257:Q257)+IF(Setup!$I$15="No",0,R257))</f>
        <v/>
      </c>
      <c r="T257" s="192"/>
      <c r="U257" s="192"/>
      <c r="V257" s="192"/>
      <c r="W257" s="192"/>
      <c r="X257" s="255" t="str">
        <f>IF(COUNTBLANK(T257:W257)=4,"",SUM(T257:V257)+IF(Setup!$I$15="No",0,W257))</f>
        <v/>
      </c>
      <c r="Y257" s="192"/>
      <c r="Z257" s="192"/>
      <c r="AA257" s="192"/>
      <c r="AB257" s="192"/>
      <c r="AC257" s="255" t="str">
        <f>IF(COUNTBLANK(Y257:AB257)=4,"",SUM(Y257:AA257)+IF(Setup!$I$15="No",0,AB257))</f>
        <v/>
      </c>
      <c r="AD257" s="192"/>
      <c r="AE257" s="192"/>
      <c r="AF257" s="192"/>
      <c r="AG257" s="192"/>
      <c r="AH257" s="255" t="str">
        <f>IF(COUNTBLANK(AD257:AG257)=4,"",SUM(AD257:AF257)+IF(Setup!$I$15="No",0,AG257))</f>
        <v/>
      </c>
      <c r="AI257" s="192"/>
      <c r="AJ257" s="192"/>
      <c r="AK257" s="192"/>
      <c r="AL257" s="192"/>
      <c r="AM257" s="255" t="str">
        <f>IF(COUNTBLANK(AI257:AL257)=4,"",SUM(AI257:AK257)+IF(Setup!$I$15="No",0,AL257))</f>
        <v/>
      </c>
      <c r="AN257" s="192"/>
      <c r="AO257" s="192"/>
      <c r="AP257" s="192"/>
      <c r="AQ257" s="192"/>
      <c r="AR257" s="255" t="str">
        <f>IF(COUNTBLANK(AN257:AQ257)=4,"",SUM(AN257:AP257)+IF(Setup!$I$15="No",0,AQ257))</f>
        <v/>
      </c>
      <c r="AS257" s="192"/>
      <c r="AT257" s="192"/>
      <c r="AU257" s="192"/>
      <c r="AV257" s="192"/>
      <c r="AW257" s="255" t="str">
        <f>IF(COUNTBLANK(AS257:AV257)=4,"",SUM(AS257:AU257)+IF(Setup!$I$15="No",0,AV257))</f>
        <v/>
      </c>
      <c r="AX257" s="192"/>
      <c r="AY257" s="192"/>
      <c r="AZ257" s="192"/>
      <c r="BA257" s="192"/>
      <c r="BB257" s="255" t="str">
        <f>IF(COUNTBLANK(AX257:BA257)=4,"",SUM(AX257:AZ257)+IF(Setup!$I$15="No",0,BA257))</f>
        <v/>
      </c>
      <c r="BC257" s="259" t="str">
        <f ca="1">IF('Demand background (hide)'!A248=Num_Modalities,"",SUM(Demand!I257))</f>
        <v/>
      </c>
      <c r="BD257" s="259" t="str">
        <f ca="1">IF(AND(A257&lt;=MaxRows,BE257&lt;&gt;"Yes"),'Demand background (hide)'!X248+IF(Setup!$I$15="Yes",'Demand background (hide)'!AJ248,0),"")</f>
        <v/>
      </c>
      <c r="BE257" s="209"/>
    </row>
    <row r="258" spans="1:57" x14ac:dyDescent="0.25">
      <c r="A258" t="str">
        <f t="shared" ca="1" si="12"/>
        <v/>
      </c>
      <c r="B258" s="264" t="str">
        <f t="shared" ca="1" si="13"/>
        <v xml:space="preserve"> </v>
      </c>
      <c r="C258" s="265" t="str">
        <f t="shared" ca="1" si="14"/>
        <v/>
      </c>
      <c r="D258" s="352" t="str">
        <f t="shared" ca="1" si="15"/>
        <v/>
      </c>
      <c r="E258" s="192"/>
      <c r="F258" s="192"/>
      <c r="G258" s="192"/>
      <c r="H258" s="192"/>
      <c r="I258" s="251" t="str">
        <f>IF(COUNTBLANK(E258:H258)=4,"",SUM(E258:G258)+IF(Setup!$I$15="No",0,H258))</f>
        <v/>
      </c>
      <c r="J258" s="192"/>
      <c r="K258" s="192"/>
      <c r="L258" s="192"/>
      <c r="M258" s="192"/>
      <c r="N258" s="255" t="str">
        <f>IF(COUNTBLANK(J258:M258)=4,"",SUM(J258:L258)+IF(Setup!$I$15="No",0,M258))</f>
        <v/>
      </c>
      <c r="O258" s="192"/>
      <c r="P258" s="192"/>
      <c r="Q258" s="192"/>
      <c r="R258" s="192"/>
      <c r="S258" s="255" t="str">
        <f>IF(COUNTBLANK(O258:R258)=4,"",SUM(O258:Q258)+IF(Setup!$I$15="No",0,R258))</f>
        <v/>
      </c>
      <c r="T258" s="192"/>
      <c r="U258" s="192"/>
      <c r="V258" s="192"/>
      <c r="W258" s="192"/>
      <c r="X258" s="255" t="str">
        <f>IF(COUNTBLANK(T258:W258)=4,"",SUM(T258:V258)+IF(Setup!$I$15="No",0,W258))</f>
        <v/>
      </c>
      <c r="Y258" s="192"/>
      <c r="Z258" s="192"/>
      <c r="AA258" s="192"/>
      <c r="AB258" s="192"/>
      <c r="AC258" s="255" t="str">
        <f>IF(COUNTBLANK(Y258:AB258)=4,"",SUM(Y258:AA258)+IF(Setup!$I$15="No",0,AB258))</f>
        <v/>
      </c>
      <c r="AD258" s="192"/>
      <c r="AE258" s="192"/>
      <c r="AF258" s="192"/>
      <c r="AG258" s="192"/>
      <c r="AH258" s="255" t="str">
        <f>IF(COUNTBLANK(AD258:AG258)=4,"",SUM(AD258:AF258)+IF(Setup!$I$15="No",0,AG258))</f>
        <v/>
      </c>
      <c r="AI258" s="192"/>
      <c r="AJ258" s="192"/>
      <c r="AK258" s="192"/>
      <c r="AL258" s="192"/>
      <c r="AM258" s="255" t="str">
        <f>IF(COUNTBLANK(AI258:AL258)=4,"",SUM(AI258:AK258)+IF(Setup!$I$15="No",0,AL258))</f>
        <v/>
      </c>
      <c r="AN258" s="192"/>
      <c r="AO258" s="192"/>
      <c r="AP258" s="192"/>
      <c r="AQ258" s="192"/>
      <c r="AR258" s="255" t="str">
        <f>IF(COUNTBLANK(AN258:AQ258)=4,"",SUM(AN258:AP258)+IF(Setup!$I$15="No",0,AQ258))</f>
        <v/>
      </c>
      <c r="AS258" s="192"/>
      <c r="AT258" s="192"/>
      <c r="AU258" s="192"/>
      <c r="AV258" s="192"/>
      <c r="AW258" s="255" t="str">
        <f>IF(COUNTBLANK(AS258:AV258)=4,"",SUM(AS258:AU258)+IF(Setup!$I$15="No",0,AV258))</f>
        <v/>
      </c>
      <c r="AX258" s="192"/>
      <c r="AY258" s="192"/>
      <c r="AZ258" s="192"/>
      <c r="BA258" s="192"/>
      <c r="BB258" s="255" t="str">
        <f>IF(COUNTBLANK(AX258:BA258)=4,"",SUM(AX258:AZ258)+IF(Setup!$I$15="No",0,BA258))</f>
        <v/>
      </c>
      <c r="BC258" s="259" t="str">
        <f ca="1">IF('Demand background (hide)'!A249=Num_Modalities,"",SUM(Demand!I258))</f>
        <v/>
      </c>
      <c r="BD258" s="259" t="str">
        <f ca="1">IF(AND(A258&lt;=MaxRows,BE258&lt;&gt;"Yes"),'Demand background (hide)'!X249+IF(Setup!$I$15="Yes",'Demand background (hide)'!AJ249,0),"")</f>
        <v/>
      </c>
      <c r="BE258" s="209"/>
    </row>
    <row r="259" spans="1:57" x14ac:dyDescent="0.25">
      <c r="A259" t="str">
        <f t="shared" ca="1" si="12"/>
        <v/>
      </c>
      <c r="B259" s="264" t="str">
        <f t="shared" ca="1" si="13"/>
        <v xml:space="preserve"> </v>
      </c>
      <c r="C259" s="265" t="str">
        <f t="shared" ca="1" si="14"/>
        <v/>
      </c>
      <c r="D259" s="352" t="str">
        <f t="shared" ca="1" si="15"/>
        <v/>
      </c>
      <c r="E259" s="192"/>
      <c r="F259" s="192"/>
      <c r="G259" s="192"/>
      <c r="H259" s="192"/>
      <c r="I259" s="251" t="str">
        <f>IF(COUNTBLANK(E259:H259)=4,"",SUM(E259:G259)+IF(Setup!$I$15="No",0,H259))</f>
        <v/>
      </c>
      <c r="J259" s="192"/>
      <c r="K259" s="192"/>
      <c r="L259" s="192"/>
      <c r="M259" s="192"/>
      <c r="N259" s="255" t="str">
        <f>IF(COUNTBLANK(J259:M259)=4,"",SUM(J259:L259)+IF(Setup!$I$15="No",0,M259))</f>
        <v/>
      </c>
      <c r="O259" s="192"/>
      <c r="P259" s="192"/>
      <c r="Q259" s="192"/>
      <c r="R259" s="192"/>
      <c r="S259" s="255" t="str">
        <f>IF(COUNTBLANK(O259:R259)=4,"",SUM(O259:Q259)+IF(Setup!$I$15="No",0,R259))</f>
        <v/>
      </c>
      <c r="T259" s="192"/>
      <c r="U259" s="192"/>
      <c r="V259" s="192"/>
      <c r="W259" s="192"/>
      <c r="X259" s="255" t="str">
        <f>IF(COUNTBLANK(T259:W259)=4,"",SUM(T259:V259)+IF(Setup!$I$15="No",0,W259))</f>
        <v/>
      </c>
      <c r="Y259" s="192"/>
      <c r="Z259" s="192"/>
      <c r="AA259" s="192"/>
      <c r="AB259" s="192"/>
      <c r="AC259" s="255" t="str">
        <f>IF(COUNTBLANK(Y259:AB259)=4,"",SUM(Y259:AA259)+IF(Setup!$I$15="No",0,AB259))</f>
        <v/>
      </c>
      <c r="AD259" s="192"/>
      <c r="AE259" s="192"/>
      <c r="AF259" s="192"/>
      <c r="AG259" s="192"/>
      <c r="AH259" s="255" t="str">
        <f>IF(COUNTBLANK(AD259:AG259)=4,"",SUM(AD259:AF259)+IF(Setup!$I$15="No",0,AG259))</f>
        <v/>
      </c>
      <c r="AI259" s="192"/>
      <c r="AJ259" s="192"/>
      <c r="AK259" s="192"/>
      <c r="AL259" s="192"/>
      <c r="AM259" s="255" t="str">
        <f>IF(COUNTBLANK(AI259:AL259)=4,"",SUM(AI259:AK259)+IF(Setup!$I$15="No",0,AL259))</f>
        <v/>
      </c>
      <c r="AN259" s="192"/>
      <c r="AO259" s="192"/>
      <c r="AP259" s="192"/>
      <c r="AQ259" s="192"/>
      <c r="AR259" s="255" t="str">
        <f>IF(COUNTBLANK(AN259:AQ259)=4,"",SUM(AN259:AP259)+IF(Setup!$I$15="No",0,AQ259))</f>
        <v/>
      </c>
      <c r="AS259" s="192"/>
      <c r="AT259" s="192"/>
      <c r="AU259" s="192"/>
      <c r="AV259" s="192"/>
      <c r="AW259" s="255" t="str">
        <f>IF(COUNTBLANK(AS259:AV259)=4,"",SUM(AS259:AU259)+IF(Setup!$I$15="No",0,AV259))</f>
        <v/>
      </c>
      <c r="AX259" s="192"/>
      <c r="AY259" s="192"/>
      <c r="AZ259" s="192"/>
      <c r="BA259" s="192"/>
      <c r="BB259" s="255" t="str">
        <f>IF(COUNTBLANK(AX259:BA259)=4,"",SUM(AX259:AZ259)+IF(Setup!$I$15="No",0,BA259))</f>
        <v/>
      </c>
      <c r="BC259" s="259" t="str">
        <f ca="1">IF('Demand background (hide)'!A250=Num_Modalities,"",SUM(Demand!I259))</f>
        <v/>
      </c>
      <c r="BD259" s="259" t="str">
        <f ca="1">IF(AND(A259&lt;=MaxRows,BE259&lt;&gt;"Yes"),'Demand background (hide)'!X250+IF(Setup!$I$15="Yes",'Demand background (hide)'!AJ250,0),"")</f>
        <v/>
      </c>
      <c r="BE259" s="209"/>
    </row>
    <row r="260" spans="1:57" x14ac:dyDescent="0.25">
      <c r="A260" t="str">
        <f t="shared" ca="1" si="12"/>
        <v/>
      </c>
      <c r="B260" s="264" t="str">
        <f t="shared" ca="1" si="13"/>
        <v xml:space="preserve"> </v>
      </c>
      <c r="C260" s="265" t="str">
        <f t="shared" ca="1" si="14"/>
        <v/>
      </c>
      <c r="D260" s="352" t="str">
        <f t="shared" ca="1" si="15"/>
        <v/>
      </c>
      <c r="E260" s="192"/>
      <c r="F260" s="192"/>
      <c r="G260" s="192"/>
      <c r="H260" s="192"/>
      <c r="I260" s="251" t="str">
        <f>IF(COUNTBLANK(E260:H260)=4,"",SUM(E260:G260)+IF(Setup!$I$15="No",0,H260))</f>
        <v/>
      </c>
      <c r="J260" s="192"/>
      <c r="K260" s="192"/>
      <c r="L260" s="192"/>
      <c r="M260" s="192"/>
      <c r="N260" s="255" t="str">
        <f>IF(COUNTBLANK(J260:M260)=4,"",SUM(J260:L260)+IF(Setup!$I$15="No",0,M260))</f>
        <v/>
      </c>
      <c r="O260" s="192"/>
      <c r="P260" s="192"/>
      <c r="Q260" s="192"/>
      <c r="R260" s="192"/>
      <c r="S260" s="255" t="str">
        <f>IF(COUNTBLANK(O260:R260)=4,"",SUM(O260:Q260)+IF(Setup!$I$15="No",0,R260))</f>
        <v/>
      </c>
      <c r="T260" s="192"/>
      <c r="U260" s="192"/>
      <c r="V260" s="192"/>
      <c r="W260" s="192"/>
      <c r="X260" s="255" t="str">
        <f>IF(COUNTBLANK(T260:W260)=4,"",SUM(T260:V260)+IF(Setup!$I$15="No",0,W260))</f>
        <v/>
      </c>
      <c r="Y260" s="192"/>
      <c r="Z260" s="192"/>
      <c r="AA260" s="192"/>
      <c r="AB260" s="192"/>
      <c r="AC260" s="255" t="str">
        <f>IF(COUNTBLANK(Y260:AB260)=4,"",SUM(Y260:AA260)+IF(Setup!$I$15="No",0,AB260))</f>
        <v/>
      </c>
      <c r="AD260" s="192"/>
      <c r="AE260" s="192"/>
      <c r="AF260" s="192"/>
      <c r="AG260" s="192"/>
      <c r="AH260" s="255" t="str">
        <f>IF(COUNTBLANK(AD260:AG260)=4,"",SUM(AD260:AF260)+IF(Setup!$I$15="No",0,AG260))</f>
        <v/>
      </c>
      <c r="AI260" s="192"/>
      <c r="AJ260" s="192"/>
      <c r="AK260" s="192"/>
      <c r="AL260" s="192"/>
      <c r="AM260" s="255" t="str">
        <f>IF(COUNTBLANK(AI260:AL260)=4,"",SUM(AI260:AK260)+IF(Setup!$I$15="No",0,AL260))</f>
        <v/>
      </c>
      <c r="AN260" s="192"/>
      <c r="AO260" s="192"/>
      <c r="AP260" s="192"/>
      <c r="AQ260" s="192"/>
      <c r="AR260" s="255" t="str">
        <f>IF(COUNTBLANK(AN260:AQ260)=4,"",SUM(AN260:AP260)+IF(Setup!$I$15="No",0,AQ260))</f>
        <v/>
      </c>
      <c r="AS260" s="192"/>
      <c r="AT260" s="192"/>
      <c r="AU260" s="192"/>
      <c r="AV260" s="192"/>
      <c r="AW260" s="255" t="str">
        <f>IF(COUNTBLANK(AS260:AV260)=4,"",SUM(AS260:AU260)+IF(Setup!$I$15="No",0,AV260))</f>
        <v/>
      </c>
      <c r="AX260" s="192"/>
      <c r="AY260" s="192"/>
      <c r="AZ260" s="192"/>
      <c r="BA260" s="192"/>
      <c r="BB260" s="255" t="str">
        <f>IF(COUNTBLANK(AX260:BA260)=4,"",SUM(AX260:AZ260)+IF(Setup!$I$15="No",0,BA260))</f>
        <v/>
      </c>
      <c r="BC260" s="259" t="str">
        <f ca="1">IF('Demand background (hide)'!A251=Num_Modalities,"",SUM(Demand!I260))</f>
        <v/>
      </c>
      <c r="BD260" s="259" t="str">
        <f ca="1">IF(AND(A260&lt;=MaxRows,BE260&lt;&gt;"Yes"),'Demand background (hide)'!X251+IF(Setup!$I$15="Yes",'Demand background (hide)'!AJ251,0),"")</f>
        <v/>
      </c>
      <c r="BE260" s="209"/>
    </row>
    <row r="261" spans="1:57" x14ac:dyDescent="0.25">
      <c r="A261" t="str">
        <f t="shared" ca="1" si="12"/>
        <v/>
      </c>
      <c r="B261" s="264" t="str">
        <f t="shared" ca="1" si="13"/>
        <v xml:space="preserve"> </v>
      </c>
      <c r="C261" s="265" t="str">
        <f t="shared" ca="1" si="14"/>
        <v/>
      </c>
      <c r="D261" s="352" t="str">
        <f t="shared" ca="1" si="15"/>
        <v/>
      </c>
      <c r="E261" s="192"/>
      <c r="F261" s="192"/>
      <c r="G261" s="192"/>
      <c r="H261" s="192"/>
      <c r="I261" s="251" t="str">
        <f>IF(COUNTBLANK(E261:H261)=4,"",SUM(E261:G261)+IF(Setup!$I$15="No",0,H261))</f>
        <v/>
      </c>
      <c r="J261" s="192"/>
      <c r="K261" s="192"/>
      <c r="L261" s="192"/>
      <c r="M261" s="192"/>
      <c r="N261" s="255" t="str">
        <f>IF(COUNTBLANK(J261:M261)=4,"",SUM(J261:L261)+IF(Setup!$I$15="No",0,M261))</f>
        <v/>
      </c>
      <c r="O261" s="192"/>
      <c r="P261" s="192"/>
      <c r="Q261" s="192"/>
      <c r="R261" s="192"/>
      <c r="S261" s="255" t="str">
        <f>IF(COUNTBLANK(O261:R261)=4,"",SUM(O261:Q261)+IF(Setup!$I$15="No",0,R261))</f>
        <v/>
      </c>
      <c r="T261" s="192"/>
      <c r="U261" s="192"/>
      <c r="V261" s="192"/>
      <c r="W261" s="192"/>
      <c r="X261" s="255" t="str">
        <f>IF(COUNTBLANK(T261:W261)=4,"",SUM(T261:V261)+IF(Setup!$I$15="No",0,W261))</f>
        <v/>
      </c>
      <c r="Y261" s="192"/>
      <c r="Z261" s="192"/>
      <c r="AA261" s="192"/>
      <c r="AB261" s="192"/>
      <c r="AC261" s="255" t="str">
        <f>IF(COUNTBLANK(Y261:AB261)=4,"",SUM(Y261:AA261)+IF(Setup!$I$15="No",0,AB261))</f>
        <v/>
      </c>
      <c r="AD261" s="192"/>
      <c r="AE261" s="192"/>
      <c r="AF261" s="192"/>
      <c r="AG261" s="192"/>
      <c r="AH261" s="255" t="str">
        <f>IF(COUNTBLANK(AD261:AG261)=4,"",SUM(AD261:AF261)+IF(Setup!$I$15="No",0,AG261))</f>
        <v/>
      </c>
      <c r="AI261" s="192"/>
      <c r="AJ261" s="192"/>
      <c r="AK261" s="192"/>
      <c r="AL261" s="192"/>
      <c r="AM261" s="255" t="str">
        <f>IF(COUNTBLANK(AI261:AL261)=4,"",SUM(AI261:AK261)+IF(Setup!$I$15="No",0,AL261))</f>
        <v/>
      </c>
      <c r="AN261" s="192"/>
      <c r="AO261" s="192"/>
      <c r="AP261" s="192"/>
      <c r="AQ261" s="192"/>
      <c r="AR261" s="255" t="str">
        <f>IF(COUNTBLANK(AN261:AQ261)=4,"",SUM(AN261:AP261)+IF(Setup!$I$15="No",0,AQ261))</f>
        <v/>
      </c>
      <c r="AS261" s="192"/>
      <c r="AT261" s="192"/>
      <c r="AU261" s="192"/>
      <c r="AV261" s="192"/>
      <c r="AW261" s="255" t="str">
        <f>IF(COUNTBLANK(AS261:AV261)=4,"",SUM(AS261:AU261)+IF(Setup!$I$15="No",0,AV261))</f>
        <v/>
      </c>
      <c r="AX261" s="192"/>
      <c r="AY261" s="192"/>
      <c r="AZ261" s="192"/>
      <c r="BA261" s="192"/>
      <c r="BB261" s="255" t="str">
        <f>IF(COUNTBLANK(AX261:BA261)=4,"",SUM(AX261:AZ261)+IF(Setup!$I$15="No",0,BA261))</f>
        <v/>
      </c>
      <c r="BC261" s="259" t="str">
        <f ca="1">IF('Demand background (hide)'!A252=Num_Modalities,"",SUM(Demand!I261))</f>
        <v/>
      </c>
      <c r="BD261" s="259" t="str">
        <f ca="1">IF(AND(A261&lt;=MaxRows,BE261&lt;&gt;"Yes"),'Demand background (hide)'!X252+IF(Setup!$I$15="Yes",'Demand background (hide)'!AJ252,0),"")</f>
        <v/>
      </c>
      <c r="BE261" s="209"/>
    </row>
    <row r="262" spans="1:57" x14ac:dyDescent="0.25">
      <c r="A262" t="str">
        <f t="shared" ca="1" si="12"/>
        <v/>
      </c>
      <c r="B262" s="264" t="str">
        <f t="shared" ca="1" si="13"/>
        <v xml:space="preserve"> </v>
      </c>
      <c r="C262" s="265" t="str">
        <f t="shared" ca="1" si="14"/>
        <v/>
      </c>
      <c r="D262" s="352" t="str">
        <f t="shared" ca="1" si="15"/>
        <v/>
      </c>
      <c r="E262" s="192"/>
      <c r="F262" s="192"/>
      <c r="G262" s="192"/>
      <c r="H262" s="192"/>
      <c r="I262" s="251" t="str">
        <f>IF(COUNTBLANK(E262:H262)=4,"",SUM(E262:G262)+IF(Setup!$I$15="No",0,H262))</f>
        <v/>
      </c>
      <c r="J262" s="192"/>
      <c r="K262" s="192"/>
      <c r="L262" s="192"/>
      <c r="M262" s="192"/>
      <c r="N262" s="255" t="str">
        <f>IF(COUNTBLANK(J262:M262)=4,"",SUM(J262:L262)+IF(Setup!$I$15="No",0,M262))</f>
        <v/>
      </c>
      <c r="O262" s="192"/>
      <c r="P262" s="192"/>
      <c r="Q262" s="192"/>
      <c r="R262" s="192"/>
      <c r="S262" s="255" t="str">
        <f>IF(COUNTBLANK(O262:R262)=4,"",SUM(O262:Q262)+IF(Setup!$I$15="No",0,R262))</f>
        <v/>
      </c>
      <c r="T262" s="192"/>
      <c r="U262" s="192"/>
      <c r="V262" s="192"/>
      <c r="W262" s="192"/>
      <c r="X262" s="255" t="str">
        <f>IF(COUNTBLANK(T262:W262)=4,"",SUM(T262:V262)+IF(Setup!$I$15="No",0,W262))</f>
        <v/>
      </c>
      <c r="Y262" s="192"/>
      <c r="Z262" s="192"/>
      <c r="AA262" s="192"/>
      <c r="AB262" s="192"/>
      <c r="AC262" s="255" t="str">
        <f>IF(COUNTBLANK(Y262:AB262)=4,"",SUM(Y262:AA262)+IF(Setup!$I$15="No",0,AB262))</f>
        <v/>
      </c>
      <c r="AD262" s="192"/>
      <c r="AE262" s="192"/>
      <c r="AF262" s="192"/>
      <c r="AG262" s="192"/>
      <c r="AH262" s="255" t="str">
        <f>IF(COUNTBLANK(AD262:AG262)=4,"",SUM(AD262:AF262)+IF(Setup!$I$15="No",0,AG262))</f>
        <v/>
      </c>
      <c r="AI262" s="192"/>
      <c r="AJ262" s="192"/>
      <c r="AK262" s="192"/>
      <c r="AL262" s="192"/>
      <c r="AM262" s="255" t="str">
        <f>IF(COUNTBLANK(AI262:AL262)=4,"",SUM(AI262:AK262)+IF(Setup!$I$15="No",0,AL262))</f>
        <v/>
      </c>
      <c r="AN262" s="192"/>
      <c r="AO262" s="192"/>
      <c r="AP262" s="192"/>
      <c r="AQ262" s="192"/>
      <c r="AR262" s="255" t="str">
        <f>IF(COUNTBLANK(AN262:AQ262)=4,"",SUM(AN262:AP262)+IF(Setup!$I$15="No",0,AQ262))</f>
        <v/>
      </c>
      <c r="AS262" s="192"/>
      <c r="AT262" s="192"/>
      <c r="AU262" s="192"/>
      <c r="AV262" s="192"/>
      <c r="AW262" s="255" t="str">
        <f>IF(COUNTBLANK(AS262:AV262)=4,"",SUM(AS262:AU262)+IF(Setup!$I$15="No",0,AV262))</f>
        <v/>
      </c>
      <c r="AX262" s="192"/>
      <c r="AY262" s="192"/>
      <c r="AZ262" s="192"/>
      <c r="BA262" s="192"/>
      <c r="BB262" s="255" t="str">
        <f>IF(COUNTBLANK(AX262:BA262)=4,"",SUM(AX262:AZ262)+IF(Setup!$I$15="No",0,BA262))</f>
        <v/>
      </c>
      <c r="BC262" s="259" t="str">
        <f ca="1">IF('Demand background (hide)'!A253=Num_Modalities,"",SUM(Demand!I262))</f>
        <v/>
      </c>
      <c r="BD262" s="259" t="str">
        <f ca="1">IF(AND(A262&lt;=MaxRows,BE262&lt;&gt;"Yes"),'Demand background (hide)'!X253+IF(Setup!$I$15="Yes",'Demand background (hide)'!AJ253,0),"")</f>
        <v/>
      </c>
      <c r="BE262" s="209"/>
    </row>
    <row r="263" spans="1:57" x14ac:dyDescent="0.25">
      <c r="A263" t="str">
        <f t="shared" ca="1" si="12"/>
        <v/>
      </c>
      <c r="B263" s="264" t="str">
        <f t="shared" ca="1" si="13"/>
        <v xml:space="preserve"> </v>
      </c>
      <c r="C263" s="265" t="str">
        <f t="shared" ca="1" si="14"/>
        <v/>
      </c>
      <c r="D263" s="352" t="str">
        <f t="shared" ca="1" si="15"/>
        <v/>
      </c>
      <c r="E263" s="192"/>
      <c r="F263" s="192"/>
      <c r="G263" s="192"/>
      <c r="H263" s="192"/>
      <c r="I263" s="251" t="str">
        <f>IF(COUNTBLANK(E263:H263)=4,"",SUM(E263:G263)+IF(Setup!$I$15="No",0,H263))</f>
        <v/>
      </c>
      <c r="J263" s="192"/>
      <c r="K263" s="192"/>
      <c r="L263" s="192"/>
      <c r="M263" s="192"/>
      <c r="N263" s="255" t="str">
        <f>IF(COUNTBLANK(J263:M263)=4,"",SUM(J263:L263)+IF(Setup!$I$15="No",0,M263))</f>
        <v/>
      </c>
      <c r="O263" s="192"/>
      <c r="P263" s="192"/>
      <c r="Q263" s="192"/>
      <c r="R263" s="192"/>
      <c r="S263" s="255" t="str">
        <f>IF(COUNTBLANK(O263:R263)=4,"",SUM(O263:Q263)+IF(Setup!$I$15="No",0,R263))</f>
        <v/>
      </c>
      <c r="T263" s="192"/>
      <c r="U263" s="192"/>
      <c r="V263" s="192"/>
      <c r="W263" s="192"/>
      <c r="X263" s="255" t="str">
        <f>IF(COUNTBLANK(T263:W263)=4,"",SUM(T263:V263)+IF(Setup!$I$15="No",0,W263))</f>
        <v/>
      </c>
      <c r="Y263" s="192"/>
      <c r="Z263" s="192"/>
      <c r="AA263" s="192"/>
      <c r="AB263" s="192"/>
      <c r="AC263" s="255" t="str">
        <f>IF(COUNTBLANK(Y263:AB263)=4,"",SUM(Y263:AA263)+IF(Setup!$I$15="No",0,AB263))</f>
        <v/>
      </c>
      <c r="AD263" s="192"/>
      <c r="AE263" s="192"/>
      <c r="AF263" s="192"/>
      <c r="AG263" s="192"/>
      <c r="AH263" s="255" t="str">
        <f>IF(COUNTBLANK(AD263:AG263)=4,"",SUM(AD263:AF263)+IF(Setup!$I$15="No",0,AG263))</f>
        <v/>
      </c>
      <c r="AI263" s="192"/>
      <c r="AJ263" s="192"/>
      <c r="AK263" s="192"/>
      <c r="AL263" s="192"/>
      <c r="AM263" s="255" t="str">
        <f>IF(COUNTBLANK(AI263:AL263)=4,"",SUM(AI263:AK263)+IF(Setup!$I$15="No",0,AL263))</f>
        <v/>
      </c>
      <c r="AN263" s="192"/>
      <c r="AO263" s="192"/>
      <c r="AP263" s="192"/>
      <c r="AQ263" s="192"/>
      <c r="AR263" s="255" t="str">
        <f>IF(COUNTBLANK(AN263:AQ263)=4,"",SUM(AN263:AP263)+IF(Setup!$I$15="No",0,AQ263))</f>
        <v/>
      </c>
      <c r="AS263" s="192"/>
      <c r="AT263" s="192"/>
      <c r="AU263" s="192"/>
      <c r="AV263" s="192"/>
      <c r="AW263" s="255" t="str">
        <f>IF(COUNTBLANK(AS263:AV263)=4,"",SUM(AS263:AU263)+IF(Setup!$I$15="No",0,AV263))</f>
        <v/>
      </c>
      <c r="AX263" s="192"/>
      <c r="AY263" s="192"/>
      <c r="AZ263" s="192"/>
      <c r="BA263" s="192"/>
      <c r="BB263" s="255" t="str">
        <f>IF(COUNTBLANK(AX263:BA263)=4,"",SUM(AX263:AZ263)+IF(Setup!$I$15="No",0,BA263))</f>
        <v/>
      </c>
      <c r="BC263" s="259" t="str">
        <f ca="1">IF('Demand background (hide)'!A254=Num_Modalities,"",SUM(Demand!I263))</f>
        <v/>
      </c>
      <c r="BD263" s="259" t="str">
        <f ca="1">IF(AND(A263&lt;=MaxRows,BE263&lt;&gt;"Yes"),'Demand background (hide)'!X254+IF(Setup!$I$15="Yes",'Demand background (hide)'!AJ254,0),"")</f>
        <v/>
      </c>
      <c r="BE263" s="209"/>
    </row>
    <row r="264" spans="1:57" x14ac:dyDescent="0.25">
      <c r="A264" t="str">
        <f t="shared" ca="1" si="12"/>
        <v/>
      </c>
      <c r="B264" s="264" t="str">
        <f t="shared" ca="1" si="13"/>
        <v xml:space="preserve"> </v>
      </c>
      <c r="C264" s="265" t="str">
        <f t="shared" ca="1" si="14"/>
        <v/>
      </c>
      <c r="D264" s="352" t="str">
        <f t="shared" ca="1" si="15"/>
        <v/>
      </c>
      <c r="E264" s="192"/>
      <c r="F264" s="192"/>
      <c r="G264" s="192"/>
      <c r="H264" s="192"/>
      <c r="I264" s="251" t="str">
        <f>IF(COUNTBLANK(E264:H264)=4,"",SUM(E264:G264)+IF(Setup!$I$15="No",0,H264))</f>
        <v/>
      </c>
      <c r="J264" s="192"/>
      <c r="K264" s="192"/>
      <c r="L264" s="192"/>
      <c r="M264" s="192"/>
      <c r="N264" s="255" t="str">
        <f>IF(COUNTBLANK(J264:M264)=4,"",SUM(J264:L264)+IF(Setup!$I$15="No",0,M264))</f>
        <v/>
      </c>
      <c r="O264" s="192"/>
      <c r="P264" s="192"/>
      <c r="Q264" s="192"/>
      <c r="R264" s="192"/>
      <c r="S264" s="255" t="str">
        <f>IF(COUNTBLANK(O264:R264)=4,"",SUM(O264:Q264)+IF(Setup!$I$15="No",0,R264))</f>
        <v/>
      </c>
      <c r="T264" s="192"/>
      <c r="U264" s="192"/>
      <c r="V264" s="192"/>
      <c r="W264" s="192"/>
      <c r="X264" s="255" t="str">
        <f>IF(COUNTBLANK(T264:W264)=4,"",SUM(T264:V264)+IF(Setup!$I$15="No",0,W264))</f>
        <v/>
      </c>
      <c r="Y264" s="192"/>
      <c r="Z264" s="192"/>
      <c r="AA264" s="192"/>
      <c r="AB264" s="192"/>
      <c r="AC264" s="255" t="str">
        <f>IF(COUNTBLANK(Y264:AB264)=4,"",SUM(Y264:AA264)+IF(Setup!$I$15="No",0,AB264))</f>
        <v/>
      </c>
      <c r="AD264" s="192"/>
      <c r="AE264" s="192"/>
      <c r="AF264" s="192"/>
      <c r="AG264" s="192"/>
      <c r="AH264" s="255" t="str">
        <f>IF(COUNTBLANK(AD264:AG264)=4,"",SUM(AD264:AF264)+IF(Setup!$I$15="No",0,AG264))</f>
        <v/>
      </c>
      <c r="AI264" s="192"/>
      <c r="AJ264" s="192"/>
      <c r="AK264" s="192"/>
      <c r="AL264" s="192"/>
      <c r="AM264" s="255" t="str">
        <f>IF(COUNTBLANK(AI264:AL264)=4,"",SUM(AI264:AK264)+IF(Setup!$I$15="No",0,AL264))</f>
        <v/>
      </c>
      <c r="AN264" s="192"/>
      <c r="AO264" s="192"/>
      <c r="AP264" s="192"/>
      <c r="AQ264" s="192"/>
      <c r="AR264" s="255" t="str">
        <f>IF(COUNTBLANK(AN264:AQ264)=4,"",SUM(AN264:AP264)+IF(Setup!$I$15="No",0,AQ264))</f>
        <v/>
      </c>
      <c r="AS264" s="192"/>
      <c r="AT264" s="192"/>
      <c r="AU264" s="192"/>
      <c r="AV264" s="192"/>
      <c r="AW264" s="255" t="str">
        <f>IF(COUNTBLANK(AS264:AV264)=4,"",SUM(AS264:AU264)+IF(Setup!$I$15="No",0,AV264))</f>
        <v/>
      </c>
      <c r="AX264" s="192"/>
      <c r="AY264" s="192"/>
      <c r="AZ264" s="192"/>
      <c r="BA264" s="192"/>
      <c r="BB264" s="255" t="str">
        <f>IF(COUNTBLANK(AX264:BA264)=4,"",SUM(AX264:AZ264)+IF(Setup!$I$15="No",0,BA264))</f>
        <v/>
      </c>
      <c r="BC264" s="259" t="str">
        <f ca="1">IF('Demand background (hide)'!A255=Num_Modalities,"",SUM(Demand!I264))</f>
        <v/>
      </c>
      <c r="BD264" s="259" t="str">
        <f ca="1">IF(AND(A264&lt;=MaxRows,BE264&lt;&gt;"Yes"),'Demand background (hide)'!X255+IF(Setup!$I$15="Yes",'Demand background (hide)'!AJ255,0),"")</f>
        <v/>
      </c>
      <c r="BE264" s="209"/>
    </row>
    <row r="265" spans="1:57" x14ac:dyDescent="0.25">
      <c r="A265" t="str">
        <f t="shared" ca="1" si="12"/>
        <v/>
      </c>
      <c r="B265" s="264" t="str">
        <f t="shared" ca="1" si="13"/>
        <v xml:space="preserve"> </v>
      </c>
      <c r="C265" s="265" t="str">
        <f t="shared" ca="1" si="14"/>
        <v/>
      </c>
      <c r="D265" s="352" t="str">
        <f t="shared" ca="1" si="15"/>
        <v/>
      </c>
      <c r="E265" s="192"/>
      <c r="F265" s="192"/>
      <c r="G265" s="192"/>
      <c r="H265" s="192"/>
      <c r="I265" s="251" t="str">
        <f>IF(COUNTBLANK(E265:H265)=4,"",SUM(E265:G265)+IF(Setup!$I$15="No",0,H265))</f>
        <v/>
      </c>
      <c r="J265" s="192"/>
      <c r="K265" s="192"/>
      <c r="L265" s="192"/>
      <c r="M265" s="192"/>
      <c r="N265" s="255" t="str">
        <f>IF(COUNTBLANK(J265:M265)=4,"",SUM(J265:L265)+IF(Setup!$I$15="No",0,M265))</f>
        <v/>
      </c>
      <c r="O265" s="192"/>
      <c r="P265" s="192"/>
      <c r="Q265" s="192"/>
      <c r="R265" s="192"/>
      <c r="S265" s="255" t="str">
        <f>IF(COUNTBLANK(O265:R265)=4,"",SUM(O265:Q265)+IF(Setup!$I$15="No",0,R265))</f>
        <v/>
      </c>
      <c r="T265" s="192"/>
      <c r="U265" s="192"/>
      <c r="V265" s="192"/>
      <c r="W265" s="192"/>
      <c r="X265" s="255" t="str">
        <f>IF(COUNTBLANK(T265:W265)=4,"",SUM(T265:V265)+IF(Setup!$I$15="No",0,W265))</f>
        <v/>
      </c>
      <c r="Y265" s="192"/>
      <c r="Z265" s="192"/>
      <c r="AA265" s="192"/>
      <c r="AB265" s="192"/>
      <c r="AC265" s="255" t="str">
        <f>IF(COUNTBLANK(Y265:AB265)=4,"",SUM(Y265:AA265)+IF(Setup!$I$15="No",0,AB265))</f>
        <v/>
      </c>
      <c r="AD265" s="192"/>
      <c r="AE265" s="192"/>
      <c r="AF265" s="192"/>
      <c r="AG265" s="192"/>
      <c r="AH265" s="255" t="str">
        <f>IF(COUNTBLANK(AD265:AG265)=4,"",SUM(AD265:AF265)+IF(Setup!$I$15="No",0,AG265))</f>
        <v/>
      </c>
      <c r="AI265" s="192"/>
      <c r="AJ265" s="192"/>
      <c r="AK265" s="192"/>
      <c r="AL265" s="192"/>
      <c r="AM265" s="255" t="str">
        <f>IF(COUNTBLANK(AI265:AL265)=4,"",SUM(AI265:AK265)+IF(Setup!$I$15="No",0,AL265))</f>
        <v/>
      </c>
      <c r="AN265" s="192"/>
      <c r="AO265" s="192"/>
      <c r="AP265" s="192"/>
      <c r="AQ265" s="192"/>
      <c r="AR265" s="255" t="str">
        <f>IF(COUNTBLANK(AN265:AQ265)=4,"",SUM(AN265:AP265)+IF(Setup!$I$15="No",0,AQ265))</f>
        <v/>
      </c>
      <c r="AS265" s="192"/>
      <c r="AT265" s="192"/>
      <c r="AU265" s="192"/>
      <c r="AV265" s="192"/>
      <c r="AW265" s="255" t="str">
        <f>IF(COUNTBLANK(AS265:AV265)=4,"",SUM(AS265:AU265)+IF(Setup!$I$15="No",0,AV265))</f>
        <v/>
      </c>
      <c r="AX265" s="192"/>
      <c r="AY265" s="192"/>
      <c r="AZ265" s="192"/>
      <c r="BA265" s="192"/>
      <c r="BB265" s="255" t="str">
        <f>IF(COUNTBLANK(AX265:BA265)=4,"",SUM(AX265:AZ265)+IF(Setup!$I$15="No",0,BA265))</f>
        <v/>
      </c>
      <c r="BC265" s="259" t="str">
        <f ca="1">IF('Demand background (hide)'!A256=Num_Modalities,"",SUM(Demand!I265))</f>
        <v/>
      </c>
      <c r="BD265" s="259" t="str">
        <f ca="1">IF(AND(A265&lt;=MaxRows,BE265&lt;&gt;"Yes"),'Demand background (hide)'!X256+IF(Setup!$I$15="Yes",'Demand background (hide)'!AJ256,0),"")</f>
        <v/>
      </c>
      <c r="BE265" s="209"/>
    </row>
    <row r="266" spans="1:57" x14ac:dyDescent="0.25">
      <c r="A266" t="str">
        <f t="shared" ca="1" si="12"/>
        <v/>
      </c>
      <c r="B266" s="264" t="str">
        <f t="shared" ca="1" si="13"/>
        <v xml:space="preserve"> </v>
      </c>
      <c r="C266" s="265" t="str">
        <f t="shared" ca="1" si="14"/>
        <v/>
      </c>
      <c r="D266" s="352" t="str">
        <f t="shared" ca="1" si="15"/>
        <v/>
      </c>
      <c r="E266" s="192"/>
      <c r="F266" s="192"/>
      <c r="G266" s="192"/>
      <c r="H266" s="192"/>
      <c r="I266" s="251" t="str">
        <f>IF(COUNTBLANK(E266:H266)=4,"",SUM(E266:G266)+IF(Setup!$I$15="No",0,H266))</f>
        <v/>
      </c>
      <c r="J266" s="192"/>
      <c r="K266" s="192"/>
      <c r="L266" s="192"/>
      <c r="M266" s="192"/>
      <c r="N266" s="255" t="str">
        <f>IF(COUNTBLANK(J266:M266)=4,"",SUM(J266:L266)+IF(Setup!$I$15="No",0,M266))</f>
        <v/>
      </c>
      <c r="O266" s="192"/>
      <c r="P266" s="192"/>
      <c r="Q266" s="192"/>
      <c r="R266" s="192"/>
      <c r="S266" s="255" t="str">
        <f>IF(COUNTBLANK(O266:R266)=4,"",SUM(O266:Q266)+IF(Setup!$I$15="No",0,R266))</f>
        <v/>
      </c>
      <c r="T266" s="192"/>
      <c r="U266" s="192"/>
      <c r="V266" s="192"/>
      <c r="W266" s="192"/>
      <c r="X266" s="255" t="str">
        <f>IF(COUNTBLANK(T266:W266)=4,"",SUM(T266:V266)+IF(Setup!$I$15="No",0,W266))</f>
        <v/>
      </c>
      <c r="Y266" s="192"/>
      <c r="Z266" s="192"/>
      <c r="AA266" s="192"/>
      <c r="AB266" s="192"/>
      <c r="AC266" s="255" t="str">
        <f>IF(COUNTBLANK(Y266:AB266)=4,"",SUM(Y266:AA266)+IF(Setup!$I$15="No",0,AB266))</f>
        <v/>
      </c>
      <c r="AD266" s="192"/>
      <c r="AE266" s="192"/>
      <c r="AF266" s="192"/>
      <c r="AG266" s="192"/>
      <c r="AH266" s="255" t="str">
        <f>IF(COUNTBLANK(AD266:AG266)=4,"",SUM(AD266:AF266)+IF(Setup!$I$15="No",0,AG266))</f>
        <v/>
      </c>
      <c r="AI266" s="192"/>
      <c r="AJ266" s="192"/>
      <c r="AK266" s="192"/>
      <c r="AL266" s="192"/>
      <c r="AM266" s="255" t="str">
        <f>IF(COUNTBLANK(AI266:AL266)=4,"",SUM(AI266:AK266)+IF(Setup!$I$15="No",0,AL266))</f>
        <v/>
      </c>
      <c r="AN266" s="192"/>
      <c r="AO266" s="192"/>
      <c r="AP266" s="192"/>
      <c r="AQ266" s="192"/>
      <c r="AR266" s="255" t="str">
        <f>IF(COUNTBLANK(AN266:AQ266)=4,"",SUM(AN266:AP266)+IF(Setup!$I$15="No",0,AQ266))</f>
        <v/>
      </c>
      <c r="AS266" s="192"/>
      <c r="AT266" s="192"/>
      <c r="AU266" s="192"/>
      <c r="AV266" s="192"/>
      <c r="AW266" s="255" t="str">
        <f>IF(COUNTBLANK(AS266:AV266)=4,"",SUM(AS266:AU266)+IF(Setup!$I$15="No",0,AV266))</f>
        <v/>
      </c>
      <c r="AX266" s="192"/>
      <c r="AY266" s="192"/>
      <c r="AZ266" s="192"/>
      <c r="BA266" s="192"/>
      <c r="BB266" s="255" t="str">
        <f>IF(COUNTBLANK(AX266:BA266)=4,"",SUM(AX266:AZ266)+IF(Setup!$I$15="No",0,BA266))</f>
        <v/>
      </c>
      <c r="BC266" s="259" t="str">
        <f ca="1">IF('Demand background (hide)'!A257=Num_Modalities,"",SUM(Demand!I266))</f>
        <v/>
      </c>
      <c r="BD266" s="259" t="str">
        <f ca="1">IF(AND(A266&lt;=MaxRows,BE266&lt;&gt;"Yes"),'Demand background (hide)'!X257+IF(Setup!$I$15="Yes",'Demand background (hide)'!AJ257,0),"")</f>
        <v/>
      </c>
      <c r="BE266" s="209"/>
    </row>
    <row r="267" spans="1:57" x14ac:dyDescent="0.25">
      <c r="A267" t="str">
        <f t="shared" ca="1" si="12"/>
        <v/>
      </c>
      <c r="B267" s="264" t="str">
        <f t="shared" ca="1" si="13"/>
        <v xml:space="preserve"> </v>
      </c>
      <c r="C267" s="265" t="str">
        <f t="shared" ca="1" si="14"/>
        <v/>
      </c>
      <c r="D267" s="352" t="str">
        <f t="shared" ca="1" si="15"/>
        <v/>
      </c>
      <c r="E267" s="192"/>
      <c r="F267" s="192"/>
      <c r="G267" s="192"/>
      <c r="H267" s="192"/>
      <c r="I267" s="251" t="str">
        <f>IF(COUNTBLANK(E267:H267)=4,"",SUM(E267:G267)+IF(Setup!$I$15="No",0,H267))</f>
        <v/>
      </c>
      <c r="J267" s="192"/>
      <c r="K267" s="192"/>
      <c r="L267" s="192"/>
      <c r="M267" s="192"/>
      <c r="N267" s="255" t="str">
        <f>IF(COUNTBLANK(J267:M267)=4,"",SUM(J267:L267)+IF(Setup!$I$15="No",0,M267))</f>
        <v/>
      </c>
      <c r="O267" s="192"/>
      <c r="P267" s="192"/>
      <c r="Q267" s="192"/>
      <c r="R267" s="192"/>
      <c r="S267" s="255" t="str">
        <f>IF(COUNTBLANK(O267:R267)=4,"",SUM(O267:Q267)+IF(Setup!$I$15="No",0,R267))</f>
        <v/>
      </c>
      <c r="T267" s="192"/>
      <c r="U267" s="192"/>
      <c r="V267" s="192"/>
      <c r="W267" s="192"/>
      <c r="X267" s="255" t="str">
        <f>IF(COUNTBLANK(T267:W267)=4,"",SUM(T267:V267)+IF(Setup!$I$15="No",0,W267))</f>
        <v/>
      </c>
      <c r="Y267" s="192"/>
      <c r="Z267" s="192"/>
      <c r="AA267" s="192"/>
      <c r="AB267" s="192"/>
      <c r="AC267" s="255" t="str">
        <f>IF(COUNTBLANK(Y267:AB267)=4,"",SUM(Y267:AA267)+IF(Setup!$I$15="No",0,AB267))</f>
        <v/>
      </c>
      <c r="AD267" s="192"/>
      <c r="AE267" s="192"/>
      <c r="AF267" s="192"/>
      <c r="AG267" s="192"/>
      <c r="AH267" s="255" t="str">
        <f>IF(COUNTBLANK(AD267:AG267)=4,"",SUM(AD267:AF267)+IF(Setup!$I$15="No",0,AG267))</f>
        <v/>
      </c>
      <c r="AI267" s="192"/>
      <c r="AJ267" s="192"/>
      <c r="AK267" s="192"/>
      <c r="AL267" s="192"/>
      <c r="AM267" s="255" t="str">
        <f>IF(COUNTBLANK(AI267:AL267)=4,"",SUM(AI267:AK267)+IF(Setup!$I$15="No",0,AL267))</f>
        <v/>
      </c>
      <c r="AN267" s="192"/>
      <c r="AO267" s="192"/>
      <c r="AP267" s="192"/>
      <c r="AQ267" s="192"/>
      <c r="AR267" s="255" t="str">
        <f>IF(COUNTBLANK(AN267:AQ267)=4,"",SUM(AN267:AP267)+IF(Setup!$I$15="No",0,AQ267))</f>
        <v/>
      </c>
      <c r="AS267" s="192"/>
      <c r="AT267" s="192"/>
      <c r="AU267" s="192"/>
      <c r="AV267" s="192"/>
      <c r="AW267" s="255" t="str">
        <f>IF(COUNTBLANK(AS267:AV267)=4,"",SUM(AS267:AU267)+IF(Setup!$I$15="No",0,AV267))</f>
        <v/>
      </c>
      <c r="AX267" s="192"/>
      <c r="AY267" s="192"/>
      <c r="AZ267" s="192"/>
      <c r="BA267" s="192"/>
      <c r="BB267" s="255" t="str">
        <f>IF(COUNTBLANK(AX267:BA267)=4,"",SUM(AX267:AZ267)+IF(Setup!$I$15="No",0,BA267))</f>
        <v/>
      </c>
      <c r="BC267" s="259" t="str">
        <f ca="1">IF('Demand background (hide)'!A258=Num_Modalities,"",SUM(Demand!I267))</f>
        <v/>
      </c>
      <c r="BD267" s="259" t="str">
        <f ca="1">IF(AND(A267&lt;=MaxRows,BE267&lt;&gt;"Yes"),'Demand background (hide)'!X258+IF(Setup!$I$15="Yes",'Demand background (hide)'!AJ258,0),"")</f>
        <v/>
      </c>
      <c r="BE267" s="209"/>
    </row>
    <row r="268" spans="1:57" x14ac:dyDescent="0.25">
      <c r="A268" t="str">
        <f t="shared" ca="1" si="12"/>
        <v/>
      </c>
      <c r="B268" s="264" t="str">
        <f t="shared" ca="1" si="13"/>
        <v xml:space="preserve"> </v>
      </c>
      <c r="C268" s="265" t="str">
        <f t="shared" ca="1" si="14"/>
        <v/>
      </c>
      <c r="D268" s="352" t="str">
        <f t="shared" ca="1" si="15"/>
        <v/>
      </c>
      <c r="E268" s="192"/>
      <c r="F268" s="192"/>
      <c r="G268" s="192"/>
      <c r="H268" s="192"/>
      <c r="I268" s="251" t="str">
        <f>IF(COUNTBLANK(E268:H268)=4,"",SUM(E268:G268)+IF(Setup!$I$15="No",0,H268))</f>
        <v/>
      </c>
      <c r="J268" s="192"/>
      <c r="K268" s="192"/>
      <c r="L268" s="192"/>
      <c r="M268" s="192"/>
      <c r="N268" s="255" t="str">
        <f>IF(COUNTBLANK(J268:M268)=4,"",SUM(J268:L268)+IF(Setup!$I$15="No",0,M268))</f>
        <v/>
      </c>
      <c r="O268" s="192"/>
      <c r="P268" s="192"/>
      <c r="Q268" s="192"/>
      <c r="R268" s="192"/>
      <c r="S268" s="255" t="str">
        <f>IF(COUNTBLANK(O268:R268)=4,"",SUM(O268:Q268)+IF(Setup!$I$15="No",0,R268))</f>
        <v/>
      </c>
      <c r="T268" s="192"/>
      <c r="U268" s="192"/>
      <c r="V268" s="192"/>
      <c r="W268" s="192"/>
      <c r="X268" s="255" t="str">
        <f>IF(COUNTBLANK(T268:W268)=4,"",SUM(T268:V268)+IF(Setup!$I$15="No",0,W268))</f>
        <v/>
      </c>
      <c r="Y268" s="192"/>
      <c r="Z268" s="192"/>
      <c r="AA268" s="192"/>
      <c r="AB268" s="192"/>
      <c r="AC268" s="255" t="str">
        <f>IF(COUNTBLANK(Y268:AB268)=4,"",SUM(Y268:AA268)+IF(Setup!$I$15="No",0,AB268))</f>
        <v/>
      </c>
      <c r="AD268" s="192"/>
      <c r="AE268" s="192"/>
      <c r="AF268" s="192"/>
      <c r="AG268" s="192"/>
      <c r="AH268" s="255" t="str">
        <f>IF(COUNTBLANK(AD268:AG268)=4,"",SUM(AD268:AF268)+IF(Setup!$I$15="No",0,AG268))</f>
        <v/>
      </c>
      <c r="AI268" s="192"/>
      <c r="AJ268" s="192"/>
      <c r="AK268" s="192"/>
      <c r="AL268" s="192"/>
      <c r="AM268" s="255" t="str">
        <f>IF(COUNTBLANK(AI268:AL268)=4,"",SUM(AI268:AK268)+IF(Setup!$I$15="No",0,AL268))</f>
        <v/>
      </c>
      <c r="AN268" s="192"/>
      <c r="AO268" s="192"/>
      <c r="AP268" s="192"/>
      <c r="AQ268" s="192"/>
      <c r="AR268" s="255" t="str">
        <f>IF(COUNTBLANK(AN268:AQ268)=4,"",SUM(AN268:AP268)+IF(Setup!$I$15="No",0,AQ268))</f>
        <v/>
      </c>
      <c r="AS268" s="192"/>
      <c r="AT268" s="192"/>
      <c r="AU268" s="192"/>
      <c r="AV268" s="192"/>
      <c r="AW268" s="255" t="str">
        <f>IF(COUNTBLANK(AS268:AV268)=4,"",SUM(AS268:AU268)+IF(Setup!$I$15="No",0,AV268))</f>
        <v/>
      </c>
      <c r="AX268" s="192"/>
      <c r="AY268" s="192"/>
      <c r="AZ268" s="192"/>
      <c r="BA268" s="192"/>
      <c r="BB268" s="255" t="str">
        <f>IF(COUNTBLANK(AX268:BA268)=4,"",SUM(AX268:AZ268)+IF(Setup!$I$15="No",0,BA268))</f>
        <v/>
      </c>
      <c r="BC268" s="259" t="str">
        <f ca="1">IF('Demand background (hide)'!A259=Num_Modalities,"",SUM(Demand!I268))</f>
        <v/>
      </c>
      <c r="BD268" s="259" t="str">
        <f ca="1">IF(AND(A268&lt;=MaxRows,BE268&lt;&gt;"Yes"),'Demand background (hide)'!X259+IF(Setup!$I$15="Yes",'Demand background (hide)'!AJ259,0),"")</f>
        <v/>
      </c>
      <c r="BE268" s="209"/>
    </row>
    <row r="269" spans="1:57" x14ac:dyDescent="0.25">
      <c r="A269" t="str">
        <f t="shared" ref="A269:A272" ca="1" si="16">IF(BC269&lt;&gt;"",ROW(A257),"")</f>
        <v/>
      </c>
      <c r="B269" s="264" t="str">
        <f t="shared" ca="1" si="13"/>
        <v xml:space="preserve"> </v>
      </c>
      <c r="C269" s="265" t="str">
        <f t="shared" ca="1" si="14"/>
        <v/>
      </c>
      <c r="D269" s="352" t="str">
        <f t="shared" ca="1" si="15"/>
        <v/>
      </c>
      <c r="E269" s="192"/>
      <c r="F269" s="192"/>
      <c r="G269" s="192"/>
      <c r="H269" s="192"/>
      <c r="I269" s="251" t="str">
        <f>IF(COUNTBLANK(E269:H269)=4,"",SUM(E269:G269)+IF(Setup!$I$15="No",0,H269))</f>
        <v/>
      </c>
      <c r="J269" s="192"/>
      <c r="K269" s="192"/>
      <c r="L269" s="192"/>
      <c r="M269" s="192"/>
      <c r="N269" s="255" t="str">
        <f>IF(COUNTBLANK(J269:M269)=4,"",SUM(J269:L269)+IF(Setup!$I$15="No",0,M269))</f>
        <v/>
      </c>
      <c r="O269" s="192"/>
      <c r="P269" s="192"/>
      <c r="Q269" s="192"/>
      <c r="R269" s="192"/>
      <c r="S269" s="255" t="str">
        <f>IF(COUNTBLANK(O269:R269)=4,"",SUM(O269:Q269)+IF(Setup!$I$15="No",0,R269))</f>
        <v/>
      </c>
      <c r="T269" s="192"/>
      <c r="U269" s="192"/>
      <c r="V269" s="192"/>
      <c r="W269" s="192"/>
      <c r="X269" s="255" t="str">
        <f>IF(COUNTBLANK(T269:W269)=4,"",SUM(T269:V269)+IF(Setup!$I$15="No",0,W269))</f>
        <v/>
      </c>
      <c r="Y269" s="192"/>
      <c r="Z269" s="192"/>
      <c r="AA269" s="192"/>
      <c r="AB269" s="192"/>
      <c r="AC269" s="255" t="str">
        <f>IF(COUNTBLANK(Y269:AB269)=4,"",SUM(Y269:AA269)+IF(Setup!$I$15="No",0,AB269))</f>
        <v/>
      </c>
      <c r="AD269" s="192"/>
      <c r="AE269" s="192"/>
      <c r="AF269" s="192"/>
      <c r="AG269" s="192"/>
      <c r="AH269" s="255" t="str">
        <f>IF(COUNTBLANK(AD269:AG269)=4,"",SUM(AD269:AF269)+IF(Setup!$I$15="No",0,AG269))</f>
        <v/>
      </c>
      <c r="AI269" s="192"/>
      <c r="AJ269" s="192"/>
      <c r="AK269" s="192"/>
      <c r="AL269" s="192"/>
      <c r="AM269" s="255" t="str">
        <f>IF(COUNTBLANK(AI269:AL269)=4,"",SUM(AI269:AK269)+IF(Setup!$I$15="No",0,AL269))</f>
        <v/>
      </c>
      <c r="AN269" s="192"/>
      <c r="AO269" s="192"/>
      <c r="AP269" s="192"/>
      <c r="AQ269" s="192"/>
      <c r="AR269" s="255" t="str">
        <f>IF(COUNTBLANK(AN269:AQ269)=4,"",SUM(AN269:AP269)+IF(Setup!$I$15="No",0,AQ269))</f>
        <v/>
      </c>
      <c r="AS269" s="192"/>
      <c r="AT269" s="192"/>
      <c r="AU269" s="192"/>
      <c r="AV269" s="192"/>
      <c r="AW269" s="255" t="str">
        <f>IF(COUNTBLANK(AS269:AV269)=4,"",SUM(AS269:AU269)+IF(Setup!$I$15="No",0,AV269))</f>
        <v/>
      </c>
      <c r="AX269" s="192"/>
      <c r="AY269" s="192"/>
      <c r="AZ269" s="192"/>
      <c r="BA269" s="192"/>
      <c r="BB269" s="255" t="str">
        <f>IF(COUNTBLANK(AX269:BA269)=4,"",SUM(AX269:AZ269)+IF(Setup!$I$15="No",0,BA269))</f>
        <v/>
      </c>
      <c r="BC269" s="259" t="str">
        <f ca="1">IF('Demand background (hide)'!A260=Num_Modalities,"",SUM(Demand!I269))</f>
        <v/>
      </c>
      <c r="BD269" s="259" t="str">
        <f ca="1">IF(AND(A269&lt;=MaxRows,BE269&lt;&gt;"Yes"),'Demand background (hide)'!X260+IF(Setup!$I$15="Yes",'Demand background (hide)'!AJ260,0),"")</f>
        <v/>
      </c>
      <c r="BE269" s="209"/>
    </row>
    <row r="270" spans="1:57" x14ac:dyDescent="0.25">
      <c r="A270" t="str">
        <f t="shared" ca="1" si="16"/>
        <v/>
      </c>
      <c r="B270" s="264" t="str">
        <f t="shared" ref="B270:B272" ca="1" si="17">IF(A270&lt;=MaxRows,IF($C$6&lt;&gt;"",IF(YEAR(D270)&lt;&gt;YEAR(D269),YEAR(D270)," "),IF(C270&lt;&gt;1,"",OFFSET(B270,-C269,0,1,1)+1))," ")</f>
        <v xml:space="preserve"> </v>
      </c>
      <c r="C270" s="265" t="str">
        <f t="shared" ref="C270:C272" ca="1" si="18">IF(ROW(A258)&lt;=MaxRows,IF($C$6&lt;&gt;"",WEEKNUM(D270,21),IF(MOD((C269+1),52)&gt;0,MOD((C269+1),52),52)),"")</f>
        <v/>
      </c>
      <c r="D270" s="352" t="str">
        <f t="shared" ref="D270:D272" ca="1" si="19">IF(OR(AND(ROW(A258)&lt;=MaxRows,$C$6&lt;&gt;""),AND(ROW(A270)&lt;=64,LEFT($C$8,1)&lt;&gt;"H")),D269+7,"")</f>
        <v/>
      </c>
      <c r="E270" s="192"/>
      <c r="F270" s="192"/>
      <c r="G270" s="192"/>
      <c r="H270" s="192"/>
      <c r="I270" s="251" t="str">
        <f>IF(COUNTBLANK(E270:H270)=4,"",SUM(E270:G270)+IF(Setup!$I$15="No",0,H270))</f>
        <v/>
      </c>
      <c r="J270" s="192"/>
      <c r="K270" s="192"/>
      <c r="L270" s="192"/>
      <c r="M270" s="192"/>
      <c r="N270" s="255" t="str">
        <f>IF(COUNTBLANK(J270:M270)=4,"",SUM(J270:L270)+IF(Setup!$I$15="No",0,M270))</f>
        <v/>
      </c>
      <c r="O270" s="192"/>
      <c r="P270" s="192"/>
      <c r="Q270" s="192"/>
      <c r="R270" s="192"/>
      <c r="S270" s="255" t="str">
        <f>IF(COUNTBLANK(O270:R270)=4,"",SUM(O270:Q270)+IF(Setup!$I$15="No",0,R270))</f>
        <v/>
      </c>
      <c r="T270" s="192"/>
      <c r="U270" s="192"/>
      <c r="V270" s="192"/>
      <c r="W270" s="192"/>
      <c r="X270" s="255" t="str">
        <f>IF(COUNTBLANK(T270:W270)=4,"",SUM(T270:V270)+IF(Setup!$I$15="No",0,W270))</f>
        <v/>
      </c>
      <c r="Y270" s="192"/>
      <c r="Z270" s="192"/>
      <c r="AA270" s="192"/>
      <c r="AB270" s="192"/>
      <c r="AC270" s="255" t="str">
        <f>IF(COUNTBLANK(Y270:AB270)=4,"",SUM(Y270:AA270)+IF(Setup!$I$15="No",0,AB270))</f>
        <v/>
      </c>
      <c r="AD270" s="192"/>
      <c r="AE270" s="192"/>
      <c r="AF270" s="192"/>
      <c r="AG270" s="192"/>
      <c r="AH270" s="255" t="str">
        <f>IF(COUNTBLANK(AD270:AG270)=4,"",SUM(AD270:AF270)+IF(Setup!$I$15="No",0,AG270))</f>
        <v/>
      </c>
      <c r="AI270" s="192"/>
      <c r="AJ270" s="192"/>
      <c r="AK270" s="192"/>
      <c r="AL270" s="192"/>
      <c r="AM270" s="255" t="str">
        <f>IF(COUNTBLANK(AI270:AL270)=4,"",SUM(AI270:AK270)+IF(Setup!$I$15="No",0,AL270))</f>
        <v/>
      </c>
      <c r="AN270" s="192"/>
      <c r="AO270" s="192"/>
      <c r="AP270" s="192"/>
      <c r="AQ270" s="192"/>
      <c r="AR270" s="255" t="str">
        <f>IF(COUNTBLANK(AN270:AQ270)=4,"",SUM(AN270:AP270)+IF(Setup!$I$15="No",0,AQ270))</f>
        <v/>
      </c>
      <c r="AS270" s="192"/>
      <c r="AT270" s="192"/>
      <c r="AU270" s="192"/>
      <c r="AV270" s="192"/>
      <c r="AW270" s="255" t="str">
        <f>IF(COUNTBLANK(AS270:AV270)=4,"",SUM(AS270:AU270)+IF(Setup!$I$15="No",0,AV270))</f>
        <v/>
      </c>
      <c r="AX270" s="192"/>
      <c r="AY270" s="192"/>
      <c r="AZ270" s="192"/>
      <c r="BA270" s="192"/>
      <c r="BB270" s="255" t="str">
        <f>IF(COUNTBLANK(AX270:BA270)=4,"",SUM(AX270:AZ270)+IF(Setup!$I$15="No",0,BA270))</f>
        <v/>
      </c>
      <c r="BC270" s="259" t="str">
        <f ca="1">IF('Demand background (hide)'!A261=Num_Modalities,"",SUM(Demand!I270))</f>
        <v/>
      </c>
      <c r="BD270" s="259" t="str">
        <f ca="1">IF(AND(A270&lt;=MaxRows,BE270&lt;&gt;"Yes"),'Demand background (hide)'!X261+IF(Setup!$I$15="Yes",'Demand background (hide)'!AJ261,0),"")</f>
        <v/>
      </c>
      <c r="BE270" s="209"/>
    </row>
    <row r="271" spans="1:57" x14ac:dyDescent="0.25">
      <c r="A271" t="str">
        <f t="shared" ca="1" si="16"/>
        <v/>
      </c>
      <c r="B271" s="264" t="str">
        <f t="shared" ca="1" si="17"/>
        <v xml:space="preserve"> </v>
      </c>
      <c r="C271" s="265" t="str">
        <f t="shared" ca="1" si="18"/>
        <v/>
      </c>
      <c r="D271" s="352" t="str">
        <f t="shared" ca="1" si="19"/>
        <v/>
      </c>
      <c r="E271" s="192"/>
      <c r="F271" s="192"/>
      <c r="G271" s="192"/>
      <c r="H271" s="192"/>
      <c r="I271" s="251" t="str">
        <f>IF(COUNTBLANK(E271:H271)=4,"",SUM(E271:G271)+IF(Setup!$I$15="No",0,H271))</f>
        <v/>
      </c>
      <c r="J271" s="192"/>
      <c r="K271" s="192"/>
      <c r="L271" s="192"/>
      <c r="M271" s="192"/>
      <c r="N271" s="255" t="str">
        <f>IF(COUNTBLANK(J271:M271)=4,"",SUM(J271:L271)+IF(Setup!$I$15="No",0,M271))</f>
        <v/>
      </c>
      <c r="O271" s="192"/>
      <c r="P271" s="192"/>
      <c r="Q271" s="192"/>
      <c r="R271" s="192"/>
      <c r="S271" s="255" t="str">
        <f>IF(COUNTBLANK(O271:R271)=4,"",SUM(O271:Q271)+IF(Setup!$I$15="No",0,R271))</f>
        <v/>
      </c>
      <c r="T271" s="192"/>
      <c r="U271" s="192"/>
      <c r="V271" s="192"/>
      <c r="W271" s="192"/>
      <c r="X271" s="255" t="str">
        <f>IF(COUNTBLANK(T271:W271)=4,"",SUM(T271:V271)+IF(Setup!$I$15="No",0,W271))</f>
        <v/>
      </c>
      <c r="Y271" s="192"/>
      <c r="Z271" s="192"/>
      <c r="AA271" s="192"/>
      <c r="AB271" s="192"/>
      <c r="AC271" s="255" t="str">
        <f>IF(COUNTBLANK(Y271:AB271)=4,"",SUM(Y271:AA271)+IF(Setup!$I$15="No",0,AB271))</f>
        <v/>
      </c>
      <c r="AD271" s="192"/>
      <c r="AE271" s="192"/>
      <c r="AF271" s="192"/>
      <c r="AG271" s="192"/>
      <c r="AH271" s="255" t="str">
        <f>IF(COUNTBLANK(AD271:AG271)=4,"",SUM(AD271:AF271)+IF(Setup!$I$15="No",0,AG271))</f>
        <v/>
      </c>
      <c r="AI271" s="192"/>
      <c r="AJ271" s="192"/>
      <c r="AK271" s="192"/>
      <c r="AL271" s="192"/>
      <c r="AM271" s="255" t="str">
        <f>IF(COUNTBLANK(AI271:AL271)=4,"",SUM(AI271:AK271)+IF(Setup!$I$15="No",0,AL271))</f>
        <v/>
      </c>
      <c r="AN271" s="192"/>
      <c r="AO271" s="192"/>
      <c r="AP271" s="192"/>
      <c r="AQ271" s="192"/>
      <c r="AR271" s="255" t="str">
        <f>IF(COUNTBLANK(AN271:AQ271)=4,"",SUM(AN271:AP271)+IF(Setup!$I$15="No",0,AQ271))</f>
        <v/>
      </c>
      <c r="AS271" s="192"/>
      <c r="AT271" s="192"/>
      <c r="AU271" s="192"/>
      <c r="AV271" s="192"/>
      <c r="AW271" s="255" t="str">
        <f>IF(COUNTBLANK(AS271:AV271)=4,"",SUM(AS271:AU271)+IF(Setup!$I$15="No",0,AV271))</f>
        <v/>
      </c>
      <c r="AX271" s="192"/>
      <c r="AY271" s="192"/>
      <c r="AZ271" s="192"/>
      <c r="BA271" s="192"/>
      <c r="BB271" s="255" t="str">
        <f>IF(COUNTBLANK(AX271:BA271)=4,"",SUM(AX271:AZ271)+IF(Setup!$I$15="No",0,BA271))</f>
        <v/>
      </c>
      <c r="BC271" s="259" t="str">
        <f ca="1">IF('Demand background (hide)'!A262=Num_Modalities,"",SUM(Demand!I271))</f>
        <v/>
      </c>
      <c r="BD271" s="259" t="str">
        <f ca="1">IF(AND(A271&lt;=MaxRows,BE271&lt;&gt;"Yes"),'Demand background (hide)'!X262+IF(Setup!$I$15="Yes",'Demand background (hide)'!AJ262,0),"")</f>
        <v/>
      </c>
      <c r="BE271" s="209"/>
    </row>
    <row r="272" spans="1:57" x14ac:dyDescent="0.25">
      <c r="A272" t="str">
        <f t="shared" ca="1" si="16"/>
        <v/>
      </c>
      <c r="B272" s="264" t="str">
        <f t="shared" ca="1" si="17"/>
        <v xml:space="preserve"> </v>
      </c>
      <c r="C272" s="265" t="str">
        <f t="shared" ca="1" si="18"/>
        <v/>
      </c>
      <c r="D272" s="352" t="str">
        <f t="shared" ca="1" si="19"/>
        <v/>
      </c>
      <c r="E272" s="192"/>
      <c r="F272" s="192"/>
      <c r="G272" s="192"/>
      <c r="H272" s="192"/>
      <c r="I272" s="251" t="str">
        <f>IF(COUNTBLANK(E272:H272)=4,"",SUM(E272:G272)+IF(Setup!$I$15="No",0,H272))</f>
        <v/>
      </c>
      <c r="J272" s="192"/>
      <c r="K272" s="192"/>
      <c r="L272" s="192"/>
      <c r="M272" s="192"/>
      <c r="N272" s="255" t="str">
        <f>IF(COUNTBLANK(J272:M272)=4,"",SUM(J272:L272)+IF(Setup!$I$15="No",0,M272))</f>
        <v/>
      </c>
      <c r="O272" s="192"/>
      <c r="P272" s="192"/>
      <c r="Q272" s="192"/>
      <c r="R272" s="192"/>
      <c r="S272" s="255" t="str">
        <f>IF(COUNTBLANK(O272:R272)=4,"",SUM(O272:Q272)+IF(Setup!$I$15="No",0,R272))</f>
        <v/>
      </c>
      <c r="T272" s="192"/>
      <c r="U272" s="192"/>
      <c r="V272" s="192"/>
      <c r="W272" s="192"/>
      <c r="X272" s="255" t="str">
        <f>IF(COUNTBLANK(T272:W272)=4,"",SUM(T272:V272)+IF(Setup!$I$15="No",0,W272))</f>
        <v/>
      </c>
      <c r="Y272" s="192"/>
      <c r="Z272" s="192"/>
      <c r="AA272" s="192"/>
      <c r="AB272" s="192"/>
      <c r="AC272" s="255" t="str">
        <f>IF(COUNTBLANK(Y272:AB272)=4,"",SUM(Y272:AA272)+IF(Setup!$I$15="No",0,AB272))</f>
        <v/>
      </c>
      <c r="AD272" s="192"/>
      <c r="AE272" s="192"/>
      <c r="AF272" s="192"/>
      <c r="AG272" s="192"/>
      <c r="AH272" s="255" t="str">
        <f>IF(COUNTBLANK(AD272:AG272)=4,"",SUM(AD272:AF272)+IF(Setup!$I$15="No",0,AG272))</f>
        <v/>
      </c>
      <c r="AI272" s="192"/>
      <c r="AJ272" s="192"/>
      <c r="AK272" s="192"/>
      <c r="AL272" s="192"/>
      <c r="AM272" s="255" t="str">
        <f>IF(COUNTBLANK(AI272:AL272)=4,"",SUM(AI272:AK272)+IF(Setup!$I$15="No",0,AL272))</f>
        <v/>
      </c>
      <c r="AN272" s="192"/>
      <c r="AO272" s="192"/>
      <c r="AP272" s="192"/>
      <c r="AQ272" s="192"/>
      <c r="AR272" s="255" t="str">
        <f>IF(COUNTBLANK(AN272:AQ272)=4,"",SUM(AN272:AP272)+IF(Setup!$I$15="No",0,AQ272))</f>
        <v/>
      </c>
      <c r="AS272" s="192"/>
      <c r="AT272" s="192"/>
      <c r="AU272" s="192"/>
      <c r="AV272" s="192"/>
      <c r="AW272" s="255" t="str">
        <f>IF(COUNTBLANK(AS272:AV272)=4,"",SUM(AS272:AU272)+IF(Setup!$I$15="No",0,AV272))</f>
        <v/>
      </c>
      <c r="AX272" s="192"/>
      <c r="AY272" s="192"/>
      <c r="AZ272" s="192"/>
      <c r="BA272" s="192"/>
      <c r="BB272" s="255" t="str">
        <f>IF(COUNTBLANK(AX272:BA272)=4,"",SUM(AX272:AZ272)+IF(Setup!$I$15="No",0,BA272))</f>
        <v/>
      </c>
      <c r="BC272" s="259" t="str">
        <f ca="1">IF('Demand background (hide)'!A263=Num_Modalities,"",SUM(Demand!I272))</f>
        <v/>
      </c>
      <c r="BD272" s="259" t="str">
        <f ca="1">IF(AND(A272&lt;=MaxRows,BE272&lt;&gt;"Yes"),'Demand background (hide)'!X263+IF(Setup!$I$15="Yes",'Demand background (hide)'!AJ263,0),"")</f>
        <v/>
      </c>
      <c r="BE272" s="209"/>
    </row>
  </sheetData>
  <sheetProtection algorithmName="SHA-512" hashValue="Tdgw06ilk7x0FrvG3bkoEn1I15lp+OtxWVPJkpaJtGVvymLu6YEbnkbmTO6RvMRwqEIVkulmUTQMClIXoCW62g==" saltValue="4wJHxqF4HhfBRj2hNROQi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5" priority="4">
      <formula>IF(ROW(C65)-12&lt;=$A$6,TRUE,FALSE)</formula>
    </cfRule>
  </conditionalFormatting>
  <conditionalFormatting sqref="BC65:BE272">
    <cfRule type="expression" dxfId="34" priority="3">
      <formula>IF(ROW(A65)-12&lt;=$A$6,TRUE,FALSE)</formula>
    </cfRule>
  </conditionalFormatting>
  <conditionalFormatting sqref="C65:BB272">
    <cfRule type="expression" dxfId="33"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H1" workbookViewId="0">
      <selection activeCell="DL30" sqref="DL30"/>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Points</v>
      </c>
      <c r="Z1" t="s">
        <v>66</v>
      </c>
      <c r="AL1" t="s">
        <v>285</v>
      </c>
      <c r="AP1" s="36" t="s">
        <v>129</v>
      </c>
      <c r="BQ1" t="s">
        <v>432</v>
      </c>
      <c r="CV1" t="s">
        <v>215</v>
      </c>
      <c r="CW1" t="s">
        <v>216</v>
      </c>
      <c r="DN1" t="s">
        <v>1198</v>
      </c>
    </row>
    <row r="2" spans="1:135" x14ac:dyDescent="0.25">
      <c r="N2">
        <f ca="1">IF(Setup!$I$17="Patients",1,OFFSET(Demand!$F$11,0,(COLUMN(A1)-1)*5,1,1))</f>
        <v>2</v>
      </c>
      <c r="O2">
        <f ca="1">IF(Setup!$I$17="Patients",1,OFFSET(Demand!$F$11,0,(COLUMN(B1)-1)*5,1,1))</f>
        <v>0</v>
      </c>
      <c r="P2">
        <f ca="1">IF(Setup!$I$17="Patients",1,OFFSET(Demand!$F$11,0,(COLUMN(C1)-1)*5,1,1))</f>
        <v>0</v>
      </c>
      <c r="Q2">
        <f ca="1">IF(Setup!$I$17="Patients",1,OFFSET(Demand!$F$11,0,(COLUMN(D1)-1)*5,1,1))</f>
        <v>0</v>
      </c>
      <c r="R2">
        <f ca="1">IF(Setup!$I$17="Patients",1,OFFSET(Demand!$F$11,0,(COLUMN(E1)-1)*5,1,1))</f>
        <v>0</v>
      </c>
      <c r="S2">
        <f ca="1">IF(Setup!$I$17="Patients",1,OFFSET(Demand!$F$11,0,(COLUMN(F1)-1)*5,1,1))</f>
        <v>0</v>
      </c>
      <c r="T2">
        <f ca="1">IF(Setup!$I$17="Patients",1,OFFSET(Demand!$F$11,0,(COLUMN(G1)-1)*5,1,1))</f>
        <v>0</v>
      </c>
      <c r="U2">
        <f ca="1">IF(Setup!$I$17="Patients",1,OFFSET(Demand!$F$11,0,(COLUMN(H1)-1)*5,1,1))</f>
        <v>0</v>
      </c>
      <c r="V2">
        <f ca="1">IF(Setup!$I$17="Patients",1,OFFSET(Demand!$F$11,0,(COLUMN(I1)-1)*5,1,1))</f>
        <v>0</v>
      </c>
      <c r="W2">
        <f ca="1">IF(Setup!$I$17="Patients",1,OFFSET(Demand!$F$11,0,(COLUMN(J1)-1)*5,1,1))</f>
        <v>0</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1199</v>
      </c>
    </row>
    <row r="3" spans="1:135" x14ac:dyDescent="0.25">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142</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1207</v>
      </c>
      <c r="DR3" t="s">
        <v>1200</v>
      </c>
      <c r="DS3" t="s">
        <v>1206</v>
      </c>
      <c r="DT3" s="67" t="s">
        <v>1209</v>
      </c>
      <c r="DU3" t="s">
        <v>502</v>
      </c>
      <c r="DV3" s="67" t="s">
        <v>1235</v>
      </c>
      <c r="DW3" s="67" t="s">
        <v>1236</v>
      </c>
      <c r="DX3" s="67" t="s">
        <v>1234</v>
      </c>
      <c r="DZ3" s="67" t="s">
        <v>1232</v>
      </c>
      <c r="EA3" s="5">
        <f ca="1">SUM(DU4:DU29)</f>
        <v>860</v>
      </c>
      <c r="ED3" t="s">
        <v>1237</v>
      </c>
      <c r="EE3" t="s">
        <v>1203</v>
      </c>
    </row>
    <row r="4" spans="1:135" s="5" customFormat="1" x14ac:dyDescent="0.25">
      <c r="A4" s="5">
        <f t="shared" ref="A4:A35" ca="1" si="3">SUM(OFFSET(B4,0,0,1,Num_Modalities))</f>
        <v>0</v>
      </c>
      <c r="B4" s="5">
        <f ca="1">COUNTBLANK(OFFSET(Demand!$I13,0,(COLUMN(A1)-1)*5,1,1))</f>
        <v>0</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122</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122</v>
      </c>
      <c r="Y4" s="5">
        <f t="shared" ref="Y4:Y67" ca="1" si="5">SUM(OFFSET(N4,0,0,1,Num_Modalities))</f>
        <v>122</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122</v>
      </c>
      <c r="AM4" s="5">
        <f ca="1">IF(AN4&lt;&gt;"","",AJ4)</f>
        <v>0</v>
      </c>
      <c r="AN4" s="5" t="str">
        <f>IF(Demand!BE13="Yes","Yes","")</f>
        <v/>
      </c>
      <c r="AP4" s="36">
        <f>Demand!B13</f>
        <v>2020</v>
      </c>
      <c r="AQ4" s="5" t="str">
        <f>TEXT(Demand!D13,"MMM")</f>
        <v>Mar</v>
      </c>
      <c r="AV4" s="5" t="s">
        <v>71</v>
      </c>
      <c r="AW4" s="44">
        <f ca="1">AVERAGE(OFFSET($AT$4,'SPC background (hide)'!$C$4-1,0,'SPC background (hide)'!$H$5,1))</f>
        <v>6.4444444444444446</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61</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16</v>
      </c>
      <c r="DN4" s="322">
        <f>'Demand adjustments for Covid'!F12</f>
        <v>43934</v>
      </c>
      <c r="DO4" s="5">
        <f ca="1">VLOOKUP(IF($DM4&lt;53,$DM4,52),'Summary Calculations (hide)'!$D$15:$F$67,2,0)</f>
        <v>122</v>
      </c>
      <c r="DP4" s="5">
        <f ca="1">VLOOKUP(IF($DM4&lt;53,$DM4,52),'Summary Calculations (hide)'!$D$15:$F$67,3,0)</f>
        <v>134.20000000000002</v>
      </c>
      <c r="DQ4" s="5">
        <f>IF(AND(DN4&gt;='Demand adjustments for Covid'!$F$12,DN4&lt;'Demand adjustments for Covid'!$F$17),'Demand adjustments for Covid'!$F$13,DO4)</f>
        <v>10</v>
      </c>
      <c r="DR4" s="5">
        <f t="shared" ref="DR4:DR35" si="7">IF(AND(ROW(A1)&gt;=$EE$4,ROW(A1)&lt;=$EE$5),1,0)</f>
        <v>0</v>
      </c>
      <c r="DS4" s="5">
        <f>IF('Demand adjustments for Covid'!$F$9="Yes",IF(DR4=0,DQ4,((SUM(DR$4:DR4)-1)*$EE$8)+'Demand adjustments for Covid'!F$13),'Demand background (hide)'!DO4)</f>
        <v>10</v>
      </c>
      <c r="DT4" s="5">
        <f>IF('Demand adjustments for Covid'!$F$9="Yes",IF(OR(AND(DN4&gt;='Demand adjustments for Covid'!$F$12,DN4&lt;'Demand adjustments for Covid'!$F$17),DR4=1),DS4+3,DP4),'Demand background (hide)'!DP4)</f>
        <v>13</v>
      </c>
      <c r="DU4" s="5">
        <f ca="1">IF(DS4&lt;='Demand adjustments for Covid'!$F$17,DO4-DS4,0)</f>
        <v>112</v>
      </c>
      <c r="DV4" s="5">
        <f ca="1">IF(AND(ROW(A1)&gt;$EE$5,ROW(A1)&lt;=$EA$5),OFFSET('Demand adjustments for Covid'!$F$35,0,ROW(A1)-'Demand background (hide)'!$EE$5,1,1),0)</f>
        <v>0</v>
      </c>
      <c r="DW4" s="5">
        <f ca="1">IF(AND(ROW(A1)&gt;$EE$5,ROW(A1)&lt;=$EA$5),OFFSET('Demand adjustments for Covid'!$F$36,0,ROW(A1)-'Demand background (hide)'!$EE$5,1,1),0)</f>
        <v>0</v>
      </c>
      <c r="DX4" s="5">
        <f ca="1">SUM(DV4:DW4,DT4)</f>
        <v>13</v>
      </c>
      <c r="ED4" s="5" t="s">
        <v>1201</v>
      </c>
      <c r="EE4" s="5">
        <f>MATCH('Demand adjustments for Covid'!$F$17,$DN$4:$DN$55,0)</f>
        <v>5</v>
      </c>
    </row>
    <row r="5" spans="1:135" s="5" customFormat="1" x14ac:dyDescent="0.25">
      <c r="A5" s="5">
        <f t="shared" ca="1" si="3"/>
        <v>0</v>
      </c>
      <c r="B5" s="5">
        <f ca="1">COUNTBLANK(OFFSET(Demand!$I14,0,(COLUMN(A2)-1)*5,1,1))</f>
        <v>0</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124</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124</v>
      </c>
      <c r="Y5" s="5">
        <f t="shared" ca="1" si="5"/>
        <v>124</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124</v>
      </c>
      <c r="AM5" s="5">
        <f t="shared" ref="AM5:AM68" ca="1" si="9">IF(AN5&lt;&gt;"","",AJ5)</f>
        <v>0</v>
      </c>
      <c r="AN5" s="5" t="str">
        <f>IF(Demand!BE14="Yes","Yes","")</f>
        <v/>
      </c>
      <c r="AP5" s="36" t="str">
        <f ca="1">Demand!B14</f>
        <v xml:space="preserve"> </v>
      </c>
      <c r="AQ5" s="5" t="str">
        <f ca="1">IF(TEXT(Demand!D14,"MMM")&lt;&gt;TEXT(Demand!D13,"MMM"),TEXT(Demand!D14,"MMM"),"")</f>
        <v/>
      </c>
      <c r="AT5" s="5">
        <f ca="1">IF(OR(AL5="",AL4=""),"",ABS(AL5-AL4))</f>
        <v>2</v>
      </c>
      <c r="AV5" s="5" t="s">
        <v>70</v>
      </c>
      <c r="AW5" s="44">
        <f ca="1">AW4/1.128</f>
        <v>5.7131599684791183</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62</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17</v>
      </c>
      <c r="DN5" s="322">
        <f>DN4+7</f>
        <v>43941</v>
      </c>
      <c r="DO5" s="5">
        <f ca="1">VLOOKUP(IF($DM5&lt;53,$DM5,52),'Summary Calculations (hide)'!$D$15:$F$67,2,0)</f>
        <v>124</v>
      </c>
      <c r="DP5" s="5">
        <f ca="1">VLOOKUP(IF($DM5&lt;53,$DM5,52),'Summary Calculations (hide)'!$D$15:$F$67,3,0)</f>
        <v>136.4</v>
      </c>
      <c r="DQ5" s="5">
        <f>IF(AND(DN5&gt;='Demand adjustments for Covid'!$F$12,DN5&lt;'Demand adjustments for Covid'!$F$17),'Demand adjustments for Covid'!$F$13,DO5)</f>
        <v>10</v>
      </c>
      <c r="DR5" s="5">
        <f t="shared" si="7"/>
        <v>0</v>
      </c>
      <c r="DS5" s="5">
        <f>IF('Demand adjustments for Covid'!$F$9="Yes",IF(DR5=0,DQ5,((SUM(DR$4:DR5)-1)*$EE$8)+'Demand adjustments for Covid'!F$13),'Demand background (hide)'!DO5)</f>
        <v>10</v>
      </c>
      <c r="DT5" s="5">
        <f>IF('Demand adjustments for Covid'!$F$9="Yes",IF(OR(AND(DN5&gt;='Demand adjustments for Covid'!$F$12,DN5&lt;'Demand adjustments for Covid'!$F$17),DR5=1),DS5+3,DP5),'Demand background (hide)'!DP5)</f>
        <v>13</v>
      </c>
      <c r="DU5" s="5">
        <f ca="1">IF(DS5&lt;='Demand adjustments for Covid'!$F$17,DO5-DS5,0)</f>
        <v>114</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13</v>
      </c>
      <c r="DZ5" s="5" t="s">
        <v>1238</v>
      </c>
      <c r="EA5" s="5">
        <f>MATCH('Demand adjustments for Covid'!F17,'Demand background (hide)'!DN4:DN55,0)+'Demand adjustments for Covid'!F18+8</f>
        <v>17</v>
      </c>
      <c r="ED5" s="5" t="s">
        <v>1202</v>
      </c>
      <c r="EE5" s="5">
        <f>EE4+'Demand adjustments for Covid'!$F$18</f>
        <v>9</v>
      </c>
    </row>
    <row r="6" spans="1:135" s="5" customFormat="1" x14ac:dyDescent="0.25">
      <c r="A6" s="5">
        <f t="shared" ca="1" si="3"/>
        <v>0</v>
      </c>
      <c r="B6" s="5">
        <f ca="1">COUNTBLANK(OFFSET(Demand!$I15,0,(COLUMN(A3)-1)*5,1,1))</f>
        <v>0</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138</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138</v>
      </c>
      <c r="Y6" s="5">
        <f t="shared" ca="1" si="5"/>
        <v>138</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138</v>
      </c>
      <c r="AM6" s="5">
        <f t="shared" ca="1" si="9"/>
        <v>0</v>
      </c>
      <c r="AN6" s="5" t="str">
        <f>IF(Demand!BE15="Yes","Yes","")</f>
        <v/>
      </c>
      <c r="AP6" s="36" t="str">
        <f ca="1">Demand!B15</f>
        <v xml:space="preserve"> </v>
      </c>
      <c r="AQ6" s="5" t="str">
        <f ca="1">IF(TEXT(Demand!D15,"MMM")&lt;&gt;TEXT(Demand!D14,"MMM"),TEXT(Demand!D15,"MMM"),"")</f>
        <v/>
      </c>
      <c r="AT6" s="5">
        <f t="shared" ref="AT6:AT69" ca="1" si="12">IF(OR(AL6="",AL5=""),"",ABS(AL6-AL5))</f>
        <v>14</v>
      </c>
      <c r="AV6" s="5" t="s">
        <v>137</v>
      </c>
      <c r="AW6" s="44">
        <f ca="1">PERCENTILE(OFFSET(AL$4,'SPC background (hide)'!$C$4-1,0,'SPC background (hide)'!$H$5,1),'Control sheet (hide)'!$I$9)</f>
        <v>142</v>
      </c>
      <c r="AX6" s="5">
        <f ca="1">PERCENTILE(OFFSET(AM$4,'SPC background (hide)'!$C$4-1,0,'SPC background (hide)'!$H$5,1),'Control sheet (hide)'!$I$9)</f>
        <v>0</v>
      </c>
      <c r="BB6" t="str">
        <f>'Control sheet (hide)'!AA3</f>
        <v>Modality 1</v>
      </c>
      <c r="BC6" s="46">
        <f t="shared" ref="BC6:BC15" ca="1" si="13">IFERROR(IF(ROW(A1)&lt;=Num_Modalities,BJ6/$BM6,""),"")</f>
        <v>0</v>
      </c>
      <c r="BD6" s="46">
        <f t="shared" ref="BD6:BD15" ca="1" si="14">IFERROR(IF(ROW(B1)&lt;=Num_Modalities,BK6/$BM6,""),"")</f>
        <v>0</v>
      </c>
      <c r="BE6" s="46">
        <f t="shared" ref="BE6:BE15" ca="1" si="15">IFERROR(IF(ROW(C1)&lt;=Num_Modalities,BL6/$BM6,""),"")</f>
        <v>1</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710</v>
      </c>
      <c r="BI6" s="5">
        <f ca="1">SUM(BF6:BH6)</f>
        <v>710</v>
      </c>
      <c r="BJ6" s="5">
        <f ca="1">BF6*OFFSET($N$2,0,ROW(A1)-1,1,1)</f>
        <v>0</v>
      </c>
      <c r="BK6" s="5">
        <f t="shared" ref="BK6:BL6" ca="1" si="16">BG6*OFFSET($N$2,0,ROW(B1)-1,1,1)</f>
        <v>0</v>
      </c>
      <c r="BL6" s="5">
        <f t="shared" ca="1" si="16"/>
        <v>1420</v>
      </c>
      <c r="BM6" s="5">
        <f ca="1">SUM(BJ6:BL6)</f>
        <v>1420</v>
      </c>
      <c r="BN6" s="5">
        <f ca="1">OFFSET($N$2,0,ROW(A1)-1,1,1)</f>
        <v>2</v>
      </c>
      <c r="BO6" s="84">
        <f ca="1">BM6/$BM$16</f>
        <v>1</v>
      </c>
      <c r="BQ6">
        <f ca="1">IF($AN6="",OFFSET(Demand!$A$13,ROW(A3)-1,4+((QUOTIENT(COLUMN(BQ$2)-69,3))*5)+MOD(COLUMN(BQ$2),3),1,1),"")</f>
        <v>0</v>
      </c>
      <c r="BR6">
        <f ca="1">IF($AN6="",OFFSET(Demand!$A$13,ROW(B3)-1,4+((QUOTIENT(COLUMN(BR$2)-69,3))*5)+MOD(COLUMN(BR$2),3),1,1),"")</f>
        <v>0</v>
      </c>
      <c r="BS6">
        <f ca="1">IF($AN6="",OFFSET(Demand!$A$13,ROW(C3)-1,4+((QUOTIENT(COLUMN(BS$2)-69,3))*5)+MOD(COLUMN(BS$2),3),1,1),"")</f>
        <v>69</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18</v>
      </c>
      <c r="DN6" s="322">
        <f t="shared" ref="DN6:DN56" si="17">DN5+7</f>
        <v>43948</v>
      </c>
      <c r="DO6" s="5">
        <f ca="1">VLOOKUP(IF($DM6&lt;53,$DM6,52),'Summary Calculations (hide)'!$D$15:$F$67,2,0)</f>
        <v>138</v>
      </c>
      <c r="DP6" s="5">
        <f ca="1">VLOOKUP(IF($DM6&lt;53,$DM6,52),'Summary Calculations (hide)'!$D$15:$F$67,3,0)</f>
        <v>151.80000000000001</v>
      </c>
      <c r="DQ6" s="5">
        <f>IF(AND(DN6&gt;='Demand adjustments for Covid'!$F$12,DN6&lt;'Demand adjustments for Covid'!$F$17),'Demand adjustments for Covid'!$F$13,DO6)</f>
        <v>10</v>
      </c>
      <c r="DR6" s="5">
        <f t="shared" si="7"/>
        <v>0</v>
      </c>
      <c r="DS6" s="5">
        <f>IF('Demand adjustments for Covid'!$F$9="Yes",IF(DR6=0,DQ6,((SUM(DR$4:DR6)-1)*$EE$8)+'Demand adjustments for Covid'!F$13),'Demand background (hide)'!DO6)</f>
        <v>10</v>
      </c>
      <c r="DT6" s="5">
        <f>IF('Demand adjustments for Covid'!$F$9="Yes",IF(OR(AND(DN6&gt;='Demand adjustments for Covid'!$F$12,DN6&lt;'Demand adjustments for Covid'!$F$17),DR6=1),DS6+3,DP6),'Demand background (hide)'!DP6)</f>
        <v>13</v>
      </c>
      <c r="DU6" s="5">
        <f ca="1">IF(DS6&lt;='Demand adjustments for Covid'!$F$17,DO6-DS6,0)</f>
        <v>128</v>
      </c>
      <c r="DV6" s="5">
        <f ca="1">IF(AND(ROW(A3)&gt;$EE$5,ROW(A3)&lt;=$EA$5),OFFSET('Demand adjustments for Covid'!$F$35,0,ROW(A3)-'Demand background (hide)'!$EE$5,1,1),0)</f>
        <v>0</v>
      </c>
      <c r="DW6" s="5">
        <f ca="1">IF(AND(ROW(A3)&gt;$EE$5,ROW(A3)&lt;=$EA$5),OFFSET('Demand adjustments for Covid'!$F$36,0,ROW(A3)-'Demand background (hide)'!$EE$5,1,1),0)</f>
        <v>0</v>
      </c>
      <c r="DX6" s="5">
        <f t="shared" ca="1" si="11"/>
        <v>13</v>
      </c>
      <c r="EA6" s="322"/>
    </row>
    <row r="7" spans="1:135" s="5" customFormat="1" x14ac:dyDescent="0.25">
      <c r="A7" s="5">
        <f t="shared" ca="1" si="3"/>
        <v>0</v>
      </c>
      <c r="B7" s="5">
        <f ca="1">COUNTBLANK(OFFSET(Demand!$I16,0,(COLUMN(A4)-1)*5,1,1))</f>
        <v>0</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142</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142</v>
      </c>
      <c r="Y7" s="5">
        <f t="shared" ca="1" si="5"/>
        <v>142</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142</v>
      </c>
      <c r="AM7" s="5">
        <f t="shared" ca="1" si="9"/>
        <v>0</v>
      </c>
      <c r="AN7" s="5" t="str">
        <f>IF(Demand!BE16="Yes","Yes","")</f>
        <v/>
      </c>
      <c r="AP7" s="36" t="str">
        <f ca="1">Demand!B16</f>
        <v xml:space="preserve"> </v>
      </c>
      <c r="AQ7" s="5" t="str">
        <f ca="1">IF(TEXT(Demand!D16,"MMM")&lt;&gt;TEXT(Demand!D15,"MMM"),TEXT(Demand!D16,"MMM"),"")</f>
        <v/>
      </c>
      <c r="AT7" s="5">
        <f t="shared" ca="1" si="12"/>
        <v>4</v>
      </c>
      <c r="AV7" s="5" t="s">
        <v>138</v>
      </c>
      <c r="AW7" s="44">
        <f ca="1">PERCENTILE(OFFSET(AL$4,'SPC background (hide)'!$C$4-1,0,'SPC background (hide)'!$H$5,1),'Control sheet (hide)'!$I$10)</f>
        <v>155.30000000000001</v>
      </c>
      <c r="AX7" s="5">
        <f ca="1">PERCENTILE(OFFSET(AM$4,'SPC background (hide)'!$C$4-1,0,'SPC background (hide)'!$H$5,1),'Control sheet (hide)'!$I$10)</f>
        <v>0</v>
      </c>
      <c r="BB7" t="str">
        <f>'Control sheet (hide)'!AA4</f>
        <v>Modality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0</v>
      </c>
      <c r="BO7" s="84">
        <f t="shared" ref="BO7:BO15" ca="1" si="22">BM7/$BM$16</f>
        <v>0</v>
      </c>
      <c r="BQ7">
        <f ca="1">IF($AN7="",OFFSET(Demand!$A$13,ROW(A4)-1,4+((QUOTIENT(COLUMN(BQ$2)-69,3))*5)+MOD(COLUMN(BQ$2),3),1,1),"")</f>
        <v>0</v>
      </c>
      <c r="BR7">
        <f ca="1">IF($AN7="",OFFSET(Demand!$A$13,ROW(B4)-1,4+((QUOTIENT(COLUMN(BR$2)-69,3))*5)+MOD(COLUMN(BR$2),3),1,1),"")</f>
        <v>0</v>
      </c>
      <c r="BS7">
        <f ca="1">IF($AN7="",OFFSET(Demand!$A$13,ROW(C4)-1,4+((QUOTIENT(COLUMN(BS$2)-69,3))*5)+MOD(COLUMN(BS$2),3),1,1),"")</f>
        <v>71</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19</v>
      </c>
      <c r="DN7" s="322">
        <f t="shared" si="17"/>
        <v>43955</v>
      </c>
      <c r="DO7" s="5">
        <f ca="1">VLOOKUP(IF($DM7&lt;53,$DM7,52),'Summary Calculations (hide)'!$D$15:$F$67,2,0)</f>
        <v>142</v>
      </c>
      <c r="DP7" s="5">
        <f ca="1">VLOOKUP(IF($DM7&lt;53,$DM7,52),'Summary Calculations (hide)'!$D$15:$F$67,3,0)</f>
        <v>156.20000000000002</v>
      </c>
      <c r="DQ7" s="5">
        <f>IF(AND(DN7&gt;='Demand adjustments for Covid'!$F$12,DN7&lt;'Demand adjustments for Covid'!$F$17),'Demand adjustments for Covid'!$F$13,DO7)</f>
        <v>10</v>
      </c>
      <c r="DR7" s="5">
        <f t="shared" si="7"/>
        <v>0</v>
      </c>
      <c r="DS7" s="5">
        <f>IF('Demand adjustments for Covid'!$F$9="Yes",IF(DR7=0,DQ7,((SUM(DR$4:DR7)-1)*$EE$8)+'Demand adjustments for Covid'!F$13),'Demand background (hide)'!DO7)</f>
        <v>10</v>
      </c>
      <c r="DT7" s="5">
        <f>IF('Demand adjustments for Covid'!$F$9="Yes",IF(OR(AND(DN7&gt;='Demand adjustments for Covid'!$F$12,DN7&lt;'Demand adjustments for Covid'!$F$17),DR7=1),DS7+3,DP7),'Demand background (hide)'!DP7)</f>
        <v>13</v>
      </c>
      <c r="DU7" s="5">
        <f ca="1">IF(DS7&lt;='Demand adjustments for Covid'!$F$17,DO7-DS7,0)</f>
        <v>132</v>
      </c>
      <c r="DV7" s="5">
        <f ca="1">IF(AND(ROW(A4)&gt;$EE$5,ROW(A4)&lt;=$EA$5),OFFSET('Demand adjustments for Covid'!$F$35,0,ROW(A4)-'Demand background (hide)'!$EE$5,1,1),0)</f>
        <v>0</v>
      </c>
      <c r="DW7" s="5">
        <f ca="1">IF(AND(ROW(A4)&gt;$EE$5,ROW(A4)&lt;=$EA$5),OFFSET('Demand adjustments for Covid'!$F$36,0,ROW(A4)-'Demand background (hide)'!$EE$5,1,1),0)</f>
        <v>0</v>
      </c>
      <c r="DX7" s="5">
        <f t="shared" ca="1" si="11"/>
        <v>13</v>
      </c>
      <c r="ED7" s="5" t="s">
        <v>1204</v>
      </c>
      <c r="EE7" s="5">
        <f ca="1">INDEX($DO$4:$DO$55,EE5)</f>
        <v>142</v>
      </c>
    </row>
    <row r="8" spans="1:135" s="5" customFormat="1" x14ac:dyDescent="0.25">
      <c r="A8" s="5">
        <f t="shared" ca="1" si="3"/>
        <v>0</v>
      </c>
      <c r="B8" s="5">
        <f ca="1">COUNTBLANK(OFFSET(Demand!$I17,0,(COLUMN(A5)-1)*5,1,1))</f>
        <v>0</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160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160</v>
      </c>
      <c r="Y8" s="5">
        <f t="shared" ca="1" si="5"/>
        <v>160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160</v>
      </c>
      <c r="AM8" s="5">
        <f t="shared" ca="1" si="9"/>
        <v>0</v>
      </c>
      <c r="AN8" s="5" t="str">
        <f>IF(Demand!BE17="Yes","Yes","")</f>
        <v/>
      </c>
      <c r="AP8" s="36" t="str">
        <f ca="1">Demand!B17</f>
        <v xml:space="preserve"> </v>
      </c>
      <c r="AQ8" s="5" t="str">
        <f ca="1">IF(TEXT(Demand!D17,"MMM")&lt;&gt;TEXT(Demand!D16,"MMM"),TEXT(Demand!D17,"MMM"),"")</f>
        <v/>
      </c>
      <c r="AT8" s="5">
        <f t="shared" ca="1" si="12"/>
        <v>18</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0</v>
      </c>
      <c r="BO8" s="84">
        <f t="shared" ca="1" si="22"/>
        <v>0</v>
      </c>
      <c r="BQ8">
        <f ca="1">IF($AN8="",OFFSET(Demand!$A$13,ROW(A5)-1,4+((QUOTIENT(COLUMN(BQ$2)-69,3))*5)+MOD(COLUMN(BQ$2),3),1,1),"")</f>
        <v>0</v>
      </c>
      <c r="BR8">
        <f ca="1">IF($AN8="",OFFSET(Demand!$A$13,ROW(B5)-1,4+((QUOTIENT(COLUMN(BR$2)-69,3))*5)+MOD(COLUMN(BR$2),3),1,1),"")</f>
        <v>0</v>
      </c>
      <c r="BS8">
        <f ca="1">IF($AN8="",OFFSET(Demand!$A$13,ROW(C5)-1,4+((QUOTIENT(COLUMN(BS$2)-69,3))*5)+MOD(COLUMN(BS$2),3),1,1),"")</f>
        <v>80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20</v>
      </c>
      <c r="DN8" s="322">
        <f t="shared" si="17"/>
        <v>43962</v>
      </c>
      <c r="DO8" s="5">
        <f ca="1">VLOOKUP(IF($DM8&lt;53,$DM8,52),'Summary Calculations (hide)'!$D$15:$F$67,2,0)</f>
        <v>160</v>
      </c>
      <c r="DP8" s="5">
        <f ca="1">VLOOKUP(IF($DM8&lt;53,$DM8,52),'Summary Calculations (hide)'!$D$15:$F$67,3,0)</f>
        <v>176</v>
      </c>
      <c r="DQ8" s="5">
        <f ca="1">IF(AND(DN8&gt;='Demand adjustments for Covid'!$F$12,DN8&lt;'Demand adjustments for Covid'!$F$17),'Demand adjustments for Covid'!$F$13,DO8)</f>
        <v>160</v>
      </c>
      <c r="DR8" s="5">
        <f t="shared" si="7"/>
        <v>1</v>
      </c>
      <c r="DS8" s="5">
        <f ca="1">IF('Demand adjustments for Covid'!$F$9="Yes",IF(DR8=0,DQ8,((SUM(DR$4:DR8)-1)*$EE$8)+'Demand adjustments for Covid'!F$13),'Demand background (hide)'!DO8)</f>
        <v>10</v>
      </c>
      <c r="DT8" s="5">
        <f ca="1">IF('Demand adjustments for Covid'!$F$9="Yes",IF(OR(AND(DN8&gt;='Demand adjustments for Covid'!$F$12,DN8&lt;'Demand adjustments for Covid'!$F$17),DR8=1),DS8+3,DP8),'Demand background (hide)'!DP8)</f>
        <v>13</v>
      </c>
      <c r="DU8" s="5">
        <f ca="1">IF(DS8&lt;='Demand adjustments for Covid'!$F$17,DO8-DS8,0)</f>
        <v>150</v>
      </c>
      <c r="DV8" s="5">
        <f ca="1">IF(AND(ROW(A5)&gt;$EE$5,ROW(A5)&lt;=$EA$5),OFFSET('Demand adjustments for Covid'!$F$35,0,ROW(A5)-'Demand background (hide)'!$EE$5,1,1),0)</f>
        <v>0</v>
      </c>
      <c r="DW8" s="5">
        <f ca="1">IF(AND(ROW(A5)&gt;$EE$5,ROW(A5)&lt;=$EA$5),OFFSET('Demand adjustments for Covid'!$F$36,0,ROW(A5)-'Demand background (hide)'!$EE$5,1,1),0)</f>
        <v>0</v>
      </c>
      <c r="DX8" s="5">
        <f t="shared" ca="1" si="11"/>
        <v>13</v>
      </c>
      <c r="ED8" s="5" t="s">
        <v>1205</v>
      </c>
      <c r="EE8" s="5">
        <f ca="1">(EE7-'Demand adjustments for Covid'!F13)/'Demand adjustments for Covid'!F18</f>
        <v>33</v>
      </c>
    </row>
    <row r="9" spans="1:135" s="5" customFormat="1" x14ac:dyDescent="0.25">
      <c r="A9" s="5">
        <f t="shared" ca="1" si="3"/>
        <v>0</v>
      </c>
      <c r="B9" s="5">
        <f ca="1">COUNTBLANK(OFFSET(Demand!$I18,0,(COLUMN(A6)-1)*5,1,1))</f>
        <v>0</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156</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156</v>
      </c>
      <c r="Y9" s="5">
        <f t="shared" ca="1" si="5"/>
        <v>156</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156</v>
      </c>
      <c r="AM9" s="5">
        <f t="shared" ca="1" si="9"/>
        <v>0</v>
      </c>
      <c r="AN9" s="5" t="str">
        <f>IF(Demand!BE18="Yes","Yes","")</f>
        <v/>
      </c>
      <c r="AP9" s="36" t="str">
        <f ca="1">Demand!B18</f>
        <v xml:space="preserve"> </v>
      </c>
      <c r="AQ9" s="5" t="str">
        <f ca="1">IF(TEXT(Demand!D18,"MMM")&lt;&gt;TEXT(Demand!D17,"MMM"),TEXT(Demand!D18,"MMM"),"")</f>
        <v>Apr</v>
      </c>
      <c r="AT9" s="5">
        <f t="shared" ca="1" si="12"/>
        <v>4</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0</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78</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21</v>
      </c>
      <c r="DN9" s="322">
        <f t="shared" si="17"/>
        <v>43969</v>
      </c>
      <c r="DO9" s="5">
        <f ca="1">VLOOKUP(IF($DM9&lt;53,$DM9,52),'Summary Calculations (hide)'!$D$15:$F$67,2,0)</f>
        <v>156</v>
      </c>
      <c r="DP9" s="5">
        <f ca="1">VLOOKUP(IF($DM9&lt;53,$DM9,52),'Summary Calculations (hide)'!$D$15:$F$67,3,0)</f>
        <v>171.60000000000002</v>
      </c>
      <c r="DQ9" s="5">
        <f ca="1">IF(AND(DN9&gt;='Demand adjustments for Covid'!$F$12,DN9&lt;'Demand adjustments for Covid'!$F$17),'Demand adjustments for Covid'!$F$13,DO9)</f>
        <v>156</v>
      </c>
      <c r="DR9" s="5">
        <f t="shared" si="7"/>
        <v>1</v>
      </c>
      <c r="DS9" s="5">
        <f ca="1">IF('Demand adjustments for Covid'!$F$9="Yes",IF(DR9=0,DQ9,((SUM(DR$4:DR9)-1)*$EE$8)+'Demand adjustments for Covid'!F$13),'Demand background (hide)'!DO9)</f>
        <v>43</v>
      </c>
      <c r="DT9" s="5">
        <f ca="1">IF('Demand adjustments for Covid'!$F$9="Yes",IF(OR(AND(DN9&gt;='Demand adjustments for Covid'!$F$12,DN9&lt;'Demand adjustments for Covid'!$F$17),DR9=1),DS9+3,DP9),'Demand background (hide)'!DP9)</f>
        <v>46</v>
      </c>
      <c r="DU9" s="5">
        <f ca="1">IF(DS9&lt;='Demand adjustments for Covid'!$F$17,DO9-DS9,0)</f>
        <v>113</v>
      </c>
      <c r="DV9" s="5">
        <f ca="1">IF(AND(ROW(A6)&gt;$EE$5,ROW(A6)&lt;=$EA$5),OFFSET('Demand adjustments for Covid'!$F$35,0,ROW(A6)-'Demand background (hide)'!$EE$5,1,1),0)</f>
        <v>0</v>
      </c>
      <c r="DW9" s="5">
        <f ca="1">IF(AND(ROW(A6)&gt;$EE$5,ROW(A6)&lt;=$EA$5),OFFSET('Demand adjustments for Covid'!$F$36,0,ROW(A6)-'Demand background (hide)'!$EE$5,1,1),0)</f>
        <v>0</v>
      </c>
      <c r="DX9" s="5">
        <f t="shared" ca="1" si="11"/>
        <v>46</v>
      </c>
    </row>
    <row r="10" spans="1:135" s="5" customFormat="1" x14ac:dyDescent="0.25">
      <c r="A10" s="5">
        <f t="shared" ca="1" si="3"/>
        <v>0</v>
      </c>
      <c r="B10" s="5">
        <f ca="1">COUNTBLANK(OFFSET(Demand!$I19,0,(COLUMN(A7)-1)*5,1,1))</f>
        <v>0</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154</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154</v>
      </c>
      <c r="Y10" s="5">
        <f t="shared" ca="1" si="5"/>
        <v>154</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154</v>
      </c>
      <c r="AM10" s="5">
        <f t="shared" ca="1" si="9"/>
        <v>0</v>
      </c>
      <c r="AN10" s="5" t="str">
        <f>IF(Demand!BE19="Yes","Yes","")</f>
        <v/>
      </c>
      <c r="AP10" s="36" t="str">
        <f ca="1">Demand!B19</f>
        <v xml:space="preserve"> </v>
      </c>
      <c r="AQ10" s="5" t="str">
        <f ca="1">IF(TEXT(Demand!D19,"MMM")&lt;&gt;TEXT(Demand!D18,"MMM"),TEXT(Demand!D19,"MMM"),"")</f>
        <v/>
      </c>
      <c r="AT10" s="5">
        <f t="shared" ca="1" si="12"/>
        <v>2</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0</v>
      </c>
      <c r="BO10" s="84">
        <f t="shared" ca="1" si="22"/>
        <v>0</v>
      </c>
      <c r="BQ10">
        <f ca="1">IF($AN10="",OFFSET(Demand!$A$13,ROW(A7)-1,4+((QUOTIENT(COLUMN(BQ$2)-69,3))*5)+MOD(COLUMN(BQ$2),3),1,1),"")</f>
        <v>0</v>
      </c>
      <c r="BR10">
        <f ca="1">IF($AN10="",OFFSET(Demand!$A$13,ROW(B7)-1,4+((QUOTIENT(COLUMN(BR$2)-69,3))*5)+MOD(COLUMN(BR$2),3),1,1),"")</f>
        <v>0</v>
      </c>
      <c r="BS10">
        <f ca="1">IF($AN10="",OFFSET(Demand!$A$13,ROW(C7)-1,4+((QUOTIENT(COLUMN(BS$2)-69,3))*5)+MOD(COLUMN(BS$2),3),1,1),"")</f>
        <v>77</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22</v>
      </c>
      <c r="DN10" s="322">
        <f t="shared" si="17"/>
        <v>43976</v>
      </c>
      <c r="DO10" s="5">
        <f ca="1">VLOOKUP(IF($DM10&lt;53,$DM10,52),'Summary Calculations (hide)'!$D$15:$F$67,2,0)</f>
        <v>154</v>
      </c>
      <c r="DP10" s="5">
        <f ca="1">VLOOKUP(IF($DM10&lt;53,$DM10,52),'Summary Calculations (hide)'!$D$15:$F$67,3,0)</f>
        <v>169.4</v>
      </c>
      <c r="DQ10" s="5">
        <f ca="1">IF(AND(DN10&gt;='Demand adjustments for Covid'!$F$12,DN10&lt;'Demand adjustments for Covid'!$F$17),'Demand adjustments for Covid'!$F$13,DO10)</f>
        <v>154</v>
      </c>
      <c r="DR10" s="5">
        <f t="shared" si="7"/>
        <v>1</v>
      </c>
      <c r="DS10" s="5">
        <f ca="1">IF('Demand adjustments for Covid'!$F$9="Yes",IF(DR10=0,DQ10,((SUM(DR$4:DR10)-1)*$EE$8)+'Demand adjustments for Covid'!F$13),'Demand background (hide)'!DO10)</f>
        <v>76</v>
      </c>
      <c r="DT10" s="5">
        <f ca="1">IF('Demand adjustments for Covid'!$F$9="Yes",IF(OR(AND(DN10&gt;='Demand adjustments for Covid'!$F$12,DN10&lt;'Demand adjustments for Covid'!$F$17),DR10=1),DS10+3,DP10),'Demand background (hide)'!DP10)</f>
        <v>79</v>
      </c>
      <c r="DU10" s="5">
        <f ca="1">IF(DS10&lt;='Demand adjustments for Covid'!$F$17,DO10-DS10,0)</f>
        <v>78</v>
      </c>
      <c r="DV10" s="5">
        <f ca="1">IF(AND(ROW(A7)&gt;$EE$5,ROW(A7)&lt;=$EA$5),OFFSET('Demand adjustments for Covid'!$F$35,0,ROW(A7)-'Demand background (hide)'!$EE$5,1,1),0)</f>
        <v>0</v>
      </c>
      <c r="DW10" s="5">
        <f ca="1">IF(AND(ROW(A7)&gt;$EE$5,ROW(A7)&lt;=$EA$5),OFFSET('Demand adjustments for Covid'!$F$36,0,ROW(A7)-'Demand background (hide)'!$EE$5,1,1),0)</f>
        <v>0</v>
      </c>
      <c r="DX10" s="5">
        <f t="shared" ca="1" si="11"/>
        <v>79</v>
      </c>
      <c r="ED10" s="5" t="s">
        <v>1208</v>
      </c>
      <c r="EE10" s="5">
        <f ca="1">SUM(DU4:DU55)</f>
        <v>860</v>
      </c>
    </row>
    <row r="11" spans="1:135" s="5" customFormat="1" x14ac:dyDescent="0.25">
      <c r="A11" s="5">
        <f t="shared" ca="1" si="3"/>
        <v>0</v>
      </c>
      <c r="B11" s="5">
        <f ca="1">COUNTBLANK(OFFSET(Demand!$I20,0,(COLUMN(A8)-1)*5,1,1))</f>
        <v>0</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142</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142</v>
      </c>
      <c r="Y11" s="5">
        <f t="shared" ca="1" si="5"/>
        <v>142</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142</v>
      </c>
      <c r="AM11" s="5">
        <f t="shared" ca="1" si="9"/>
        <v>0</v>
      </c>
      <c r="AN11" s="5" t="str">
        <f>IF(Demand!BE20="Yes","Yes","")</f>
        <v/>
      </c>
      <c r="AP11" s="36" t="str">
        <f ca="1">Demand!B20</f>
        <v xml:space="preserve"> </v>
      </c>
      <c r="AQ11" s="5" t="str">
        <f ca="1">IF(TEXT(Demand!D20,"MMM")&lt;&gt;TEXT(Demand!D19,"MMM"),TEXT(Demand!D20,"MMM"),"")</f>
        <v/>
      </c>
      <c r="AT11" s="5">
        <f t="shared" ca="1" si="12"/>
        <v>12</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0</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71</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23</v>
      </c>
      <c r="DN11" s="322">
        <f t="shared" si="17"/>
        <v>43983</v>
      </c>
      <c r="DO11" s="5">
        <f ca="1">VLOOKUP(IF($DM11&lt;53,$DM11,52),'Summary Calculations (hide)'!$D$15:$F$67,2,0)</f>
        <v>142</v>
      </c>
      <c r="DP11" s="5">
        <f ca="1">VLOOKUP(IF($DM11&lt;53,$DM11,52),'Summary Calculations (hide)'!$D$15:$F$67,3,0)</f>
        <v>156.20000000000002</v>
      </c>
      <c r="DQ11" s="5">
        <f ca="1">IF(AND(DN11&gt;='Demand adjustments for Covid'!$F$12,DN11&lt;'Demand adjustments for Covid'!$F$17),'Demand adjustments for Covid'!$F$13,DO11)</f>
        <v>142</v>
      </c>
      <c r="DR11" s="5">
        <f t="shared" si="7"/>
        <v>1</v>
      </c>
      <c r="DS11" s="5">
        <f ca="1">IF('Demand adjustments for Covid'!$F$9="Yes",IF(DR11=0,DQ11,((SUM(DR$4:DR11)-1)*$EE$8)+'Demand adjustments for Covid'!F$13),'Demand background (hide)'!DO11)</f>
        <v>109</v>
      </c>
      <c r="DT11" s="5">
        <f ca="1">IF('Demand adjustments for Covid'!$F$9="Yes",IF(OR(AND(DN11&gt;='Demand adjustments for Covid'!$F$12,DN11&lt;'Demand adjustments for Covid'!$F$17),DR11=1),DS11+3,DP11),'Demand background (hide)'!DP11)</f>
        <v>112</v>
      </c>
      <c r="DU11" s="5">
        <f ca="1">IF(DS11&lt;='Demand adjustments for Covid'!$F$17,DO11-DS11,0)</f>
        <v>33</v>
      </c>
      <c r="DV11" s="5">
        <f ca="1">IF(AND(ROW(A8)&gt;$EE$5,ROW(A8)&lt;=$EA$5),OFFSET('Demand adjustments for Covid'!$F$35,0,ROW(A8)-'Demand background (hide)'!$EE$5,1,1),0)</f>
        <v>0</v>
      </c>
      <c r="DW11" s="5">
        <f ca="1">IF(AND(ROW(A8)&gt;$EE$5,ROW(A8)&lt;=$EA$5),OFFSET('Demand adjustments for Covid'!$F$36,0,ROW(A8)-'Demand background (hide)'!$EE$5,1,1),0)</f>
        <v>0</v>
      </c>
      <c r="DX11" s="5">
        <f t="shared" ca="1" si="11"/>
        <v>112</v>
      </c>
    </row>
    <row r="12" spans="1:135" s="5" customFormat="1" x14ac:dyDescent="0.25">
      <c r="A12" s="5">
        <f t="shared" ca="1" si="3"/>
        <v>0</v>
      </c>
      <c r="B12" s="5">
        <f ca="1">COUNTBLANK(OFFSET(Demand!$I21,0,(COLUMN(A9)-1)*5,1,1))</f>
        <v>0</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142</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142</v>
      </c>
      <c r="Y12" s="5">
        <f t="shared" ca="1" si="5"/>
        <v>142</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142</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0</v>
      </c>
      <c r="BO12" s="84">
        <f t="shared" ca="1" si="22"/>
        <v>0</v>
      </c>
      <c r="BQ12">
        <f ca="1">IF($AN12="",OFFSET(Demand!$A$13,ROW(A9)-1,4+((QUOTIENT(COLUMN(BQ$2)-69,3))*5)+MOD(COLUMN(BQ$2),3),1,1),"")</f>
        <v>0</v>
      </c>
      <c r="BR12">
        <f ca="1">IF($AN12="",OFFSET(Demand!$A$13,ROW(B9)-1,4+((QUOTIENT(COLUMN(BR$2)-69,3))*5)+MOD(COLUMN(BR$2),3),1,1),"")</f>
        <v>0</v>
      </c>
      <c r="BS12">
        <f ca="1">IF($AN12="",OFFSET(Demand!$A$13,ROW(C9)-1,4+((QUOTIENT(COLUMN(BS$2)-69,3))*5)+MOD(COLUMN(BS$2),3),1,1),"")</f>
        <v>71</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24</v>
      </c>
      <c r="DN12" s="322">
        <f t="shared" si="17"/>
        <v>43990</v>
      </c>
      <c r="DO12" s="5">
        <f ca="1">VLOOKUP(IF($DM12&lt;53,$DM12,52),'Summary Calculations (hide)'!$D$15:$F$67,2,0)</f>
        <v>142</v>
      </c>
      <c r="DP12" s="5">
        <f ca="1">VLOOKUP(IF($DM12&lt;53,$DM12,52),'Summary Calculations (hide)'!$D$15:$F$67,3,0)</f>
        <v>156.20000000000002</v>
      </c>
      <c r="DQ12" s="5">
        <f ca="1">IF(AND(DN12&gt;='Demand adjustments for Covid'!$F$12,DN12&lt;'Demand adjustments for Covid'!$F$17),'Demand adjustments for Covid'!$F$13,DO12)</f>
        <v>142</v>
      </c>
      <c r="DR12" s="5">
        <f t="shared" si="7"/>
        <v>1</v>
      </c>
      <c r="DS12" s="5">
        <f ca="1">IF('Demand adjustments for Covid'!$F$9="Yes",IF(DR12=0,DQ12,((SUM(DR$4:DR12)-1)*$EE$8)+'Demand adjustments for Covid'!F$13),'Demand background (hide)'!DO12)</f>
        <v>142</v>
      </c>
      <c r="DT12" s="5">
        <f ca="1">IF('Demand adjustments for Covid'!$F$9="Yes",IF(OR(AND(DN12&gt;='Demand adjustments for Covid'!$F$12,DN12&lt;'Demand adjustments for Covid'!$F$17),DR12=1),DS12+3,DP12),'Demand background (hide)'!DP12)</f>
        <v>145</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145</v>
      </c>
    </row>
    <row r="13" spans="1:135" s="5" customFormat="1" x14ac:dyDescent="0.25">
      <c r="A13" s="5">
        <f t="shared" ca="1" si="3"/>
        <v>0</v>
      </c>
      <c r="B13" s="5">
        <f ca="1">COUNTBLANK(OFFSET(Demand!$I22,0,(COLUMN(A10)-1)*5,1,1))</f>
        <v>0</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140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140</v>
      </c>
      <c r="Y13" s="5">
        <f t="shared" ca="1" si="5"/>
        <v>140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140</v>
      </c>
      <c r="AM13" s="5">
        <f t="shared" ca="1" si="9"/>
        <v>0</v>
      </c>
      <c r="AN13" s="5" t="str">
        <f>IF(Demand!BE22="Yes","Yes","")</f>
        <v/>
      </c>
      <c r="AP13" s="36" t="str">
        <f ca="1">Demand!B22</f>
        <v xml:space="preserve"> </v>
      </c>
      <c r="AQ13" s="5" t="str">
        <f ca="1">IF(TEXT(Demand!D22,"MMM")&lt;&gt;TEXT(Demand!D21,"MMM"),TEXT(Demand!D22,"MMM"),"")</f>
        <v>May</v>
      </c>
      <c r="AT13" s="5">
        <f t="shared" ca="1" si="12"/>
        <v>2</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0</v>
      </c>
      <c r="BO13" s="84">
        <f t="shared" ca="1" si="22"/>
        <v>0</v>
      </c>
      <c r="BQ13">
        <f ca="1">IF($AN13="",OFFSET(Demand!$A$13,ROW(A10)-1,4+((QUOTIENT(COLUMN(BQ$2)-69,3))*5)+MOD(COLUMN(BQ$2),3),1,1),"")</f>
        <v>0</v>
      </c>
      <c r="BR13">
        <f ca="1">IF($AN13="",OFFSET(Demand!$A$13,ROW(B10)-1,4+((QUOTIENT(COLUMN(BR$2)-69,3))*5)+MOD(COLUMN(BR$2),3),1,1),"")</f>
        <v>0</v>
      </c>
      <c r="BS13">
        <f ca="1">IF($AN13="",OFFSET(Demand!$A$13,ROW(C10)-1,4+((QUOTIENT(COLUMN(BS$2)-69,3))*5)+MOD(COLUMN(BS$2),3),1,1),"")</f>
        <v>70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25</v>
      </c>
      <c r="DN13" s="322">
        <f t="shared" si="17"/>
        <v>43997</v>
      </c>
      <c r="DO13" s="5">
        <f ca="1">VLOOKUP(IF($DM13&lt;53,$DM13,52),'Summary Calculations (hide)'!$D$15:$F$67,2,0)</f>
        <v>140</v>
      </c>
      <c r="DP13" s="5">
        <f ca="1">VLOOKUP(IF($DM13&lt;53,$DM13,52),'Summary Calculations (hide)'!$D$15:$F$67,3,0)</f>
        <v>154</v>
      </c>
      <c r="DQ13" s="5">
        <f ca="1">IF(AND(DN13&gt;='Demand adjustments for Covid'!$F$12,DN13&lt;'Demand adjustments for Covid'!$F$17),'Demand adjustments for Covid'!$F$13,DO13)</f>
        <v>140</v>
      </c>
      <c r="DR13" s="5">
        <f t="shared" si="7"/>
        <v>0</v>
      </c>
      <c r="DS13" s="5">
        <f ca="1">IF('Demand adjustments for Covid'!$F$9="Yes",IF(DR13=0,DQ13,((SUM(DR$4:DR13)-1)*$EE$8)+'Demand adjustments for Covid'!F$13),'Demand background (hide)'!DO13)</f>
        <v>140</v>
      </c>
      <c r="DT13" s="5">
        <f ca="1">IF('Demand adjustments for Covid'!$F$9="Yes",IF(OR(AND(DN13&gt;='Demand adjustments for Covid'!$F$12,DN13&lt;'Demand adjustments for Covid'!$F$17),DR13=1),DS13+3,DP13),'Demand background (hide)'!DP13)</f>
        <v>154</v>
      </c>
      <c r="DU13" s="5">
        <f ca="1">IF(DS13&lt;='Demand adjustments for Covid'!$F$17,DO13-DS13,0)</f>
        <v>0</v>
      </c>
      <c r="DV13" s="5">
        <f ca="1">IF(AND(ROW(A10)&gt;$EE$5,ROW(A10)&lt;=$EA$5),OFFSET('Demand adjustments for Covid'!$F$35,0,ROW(A10)-'Demand background (hide)'!$EE$5,1,1),0)</f>
        <v>10</v>
      </c>
      <c r="DW13" s="5">
        <f ca="1">IF(AND(ROW(A10)&gt;$EE$5,ROW(A10)&lt;=$EA$5),OFFSET('Demand adjustments for Covid'!$F$36,0,ROW(A10)-'Demand background (hide)'!$EE$5,1,1),0)</f>
        <v>12</v>
      </c>
      <c r="DX13" s="5">
        <f t="shared" ca="1" si="11"/>
        <v>176</v>
      </c>
    </row>
    <row r="14" spans="1:135" s="5" customFormat="1" x14ac:dyDescent="0.25">
      <c r="A14" s="5">
        <f t="shared" ca="1" si="3"/>
        <v>0</v>
      </c>
      <c r="B14" s="5">
        <f ca="1">COUNTBLANK(OFFSET(Demand!$I23,0,(COLUMN(A11)-1)*5,1,1))</f>
        <v>0</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152</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152</v>
      </c>
      <c r="Y14" s="5">
        <f t="shared" ca="1" si="5"/>
        <v>152</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152</v>
      </c>
      <c r="AM14" s="5">
        <f t="shared" ca="1" si="9"/>
        <v>0</v>
      </c>
      <c r="AN14" s="5" t="str">
        <f>IF(Demand!BE23="Yes","Yes","")</f>
        <v/>
      </c>
      <c r="AP14" s="36" t="str">
        <f ca="1">Demand!B23</f>
        <v xml:space="preserve"> </v>
      </c>
      <c r="AQ14" s="5" t="str">
        <f ca="1">IF(TEXT(Demand!D23,"MMM")&lt;&gt;TEXT(Demand!D22,"MMM"),TEXT(Demand!D23,"MMM"),"")</f>
        <v/>
      </c>
      <c r="AT14" s="5">
        <f t="shared" ca="1" si="12"/>
        <v>12</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0</v>
      </c>
      <c r="BO14" s="84">
        <f t="shared" ca="1" si="22"/>
        <v>0</v>
      </c>
      <c r="BQ14">
        <f ca="1">IF($AN14="",OFFSET(Demand!$A$13,ROW(A11)-1,4+((QUOTIENT(COLUMN(BQ$2)-69,3))*5)+MOD(COLUMN(BQ$2),3),1,1),"")</f>
        <v>0</v>
      </c>
      <c r="BR14">
        <f ca="1">IF($AN14="",OFFSET(Demand!$A$13,ROW(B11)-1,4+((QUOTIENT(COLUMN(BR$2)-69,3))*5)+MOD(COLUMN(BR$2),3),1,1),"")</f>
        <v>0</v>
      </c>
      <c r="BS14">
        <f ca="1">IF($AN14="",OFFSET(Demand!$A$13,ROW(C11)-1,4+((QUOTIENT(COLUMN(BS$2)-69,3))*5)+MOD(COLUMN(BS$2),3),1,1),"")</f>
        <v>76</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26</v>
      </c>
      <c r="DN14" s="322">
        <f t="shared" si="17"/>
        <v>44004</v>
      </c>
      <c r="DO14" s="5">
        <f ca="1">VLOOKUP(IF($DM14&lt;53,$DM14,52),'Summary Calculations (hide)'!$D$15:$F$67,2,0)</f>
        <v>152</v>
      </c>
      <c r="DP14" s="5">
        <f ca="1">VLOOKUP(IF($DM14&lt;53,$DM14,52),'Summary Calculations (hide)'!$D$15:$F$67,3,0)</f>
        <v>167.20000000000002</v>
      </c>
      <c r="DQ14" s="5">
        <f ca="1">IF(AND(DN14&gt;='Demand adjustments for Covid'!$F$12,DN14&lt;'Demand adjustments for Covid'!$F$17),'Demand adjustments for Covid'!$F$13,DO14)</f>
        <v>152</v>
      </c>
      <c r="DR14" s="5">
        <f t="shared" si="7"/>
        <v>0</v>
      </c>
      <c r="DS14" s="5">
        <f ca="1">IF('Demand adjustments for Covid'!$F$9="Yes",IF(DR14=0,DQ14,((SUM(DR$4:DR14)-1)*$EE$8)+'Demand adjustments for Covid'!F$13),'Demand background (hide)'!DO14)</f>
        <v>152</v>
      </c>
      <c r="DT14" s="5">
        <f ca="1">IF('Demand adjustments for Covid'!$F$9="Yes",IF(OR(AND(DN14&gt;='Demand adjustments for Covid'!$F$12,DN14&lt;'Demand adjustments for Covid'!$F$17),DR14=1),DS14+3,DP14),'Demand background (hide)'!DP14)</f>
        <v>167.20000000000002</v>
      </c>
      <c r="DU14" s="5">
        <f ca="1">IF(DS14&lt;='Demand adjustments for Covid'!$F$17,DO14-DS14,0)</f>
        <v>0</v>
      </c>
      <c r="DV14" s="5">
        <f ca="1">IF(AND(ROW(A11)&gt;$EE$5,ROW(A11)&lt;=$EA$5),OFFSET('Demand adjustments for Covid'!$F$35,0,ROW(A11)-'Demand background (hide)'!$EE$5,1,1),0)</f>
        <v>10</v>
      </c>
      <c r="DW14" s="5">
        <f ca="1">IF(AND(ROW(A11)&gt;$EE$5,ROW(A11)&lt;=$EA$5),OFFSET('Demand adjustments for Covid'!$F$36,0,ROW(A11)-'Demand background (hide)'!$EE$5,1,1),0)</f>
        <v>12</v>
      </c>
      <c r="DX14" s="5">
        <f t="shared" ca="1" si="11"/>
        <v>189.20000000000002</v>
      </c>
    </row>
    <row r="15" spans="1:135" s="5" customFormat="1" x14ac:dyDescent="0.25">
      <c r="A15" s="5">
        <f t="shared" ca="1" si="3"/>
        <v>0</v>
      </c>
      <c r="B15" s="5">
        <f ca="1">COUNTBLANK(OFFSET(Demand!$I24,0,(COLUMN(A12)-1)*5,1,1))</f>
        <v>0</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138</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138</v>
      </c>
      <c r="Y15" s="5">
        <f t="shared" ca="1" si="5"/>
        <v>138</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138</v>
      </c>
      <c r="AM15" s="5">
        <f t="shared" ca="1" si="9"/>
        <v>0</v>
      </c>
      <c r="AN15" s="5" t="str">
        <f>IF(Demand!BE24="Yes","Yes","")</f>
        <v/>
      </c>
      <c r="AP15" s="36" t="str">
        <f ca="1">Demand!B24</f>
        <v xml:space="preserve"> </v>
      </c>
      <c r="AQ15" s="5" t="str">
        <f ca="1">IF(TEXT(Demand!D24,"MMM")&lt;&gt;TEXT(Demand!D23,"MMM"),TEXT(Demand!D24,"MMM"),"")</f>
        <v/>
      </c>
      <c r="AT15" s="5">
        <f t="shared" ca="1" si="12"/>
        <v>14</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0</v>
      </c>
      <c r="BO15" s="84">
        <f t="shared" ca="1" si="22"/>
        <v>0</v>
      </c>
      <c r="BQ15">
        <f ca="1">IF($AN15="",OFFSET(Demand!$A$13,ROW(A12)-1,4+((QUOTIENT(COLUMN(BQ$2)-69,3))*5)+MOD(COLUMN(BQ$2),3),1,1),"")</f>
        <v>0</v>
      </c>
      <c r="BR15">
        <f ca="1">IF($AN15="",OFFSET(Demand!$A$13,ROW(B12)-1,4+((QUOTIENT(COLUMN(BR$2)-69,3))*5)+MOD(COLUMN(BR$2),3),1,1),"")</f>
        <v>0</v>
      </c>
      <c r="BS15">
        <f ca="1">IF($AN15="",OFFSET(Demand!$A$13,ROW(C12)-1,4+((QUOTIENT(COLUMN(BS$2)-69,3))*5)+MOD(COLUMN(BS$2),3),1,1),"")</f>
        <v>69</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27</v>
      </c>
      <c r="DN15" s="322">
        <f t="shared" si="17"/>
        <v>44011</v>
      </c>
      <c r="DO15" s="5">
        <f ca="1">VLOOKUP(IF($DM15&lt;53,$DM15,52),'Summary Calculations (hide)'!$D$15:$F$67,2,0)</f>
        <v>138</v>
      </c>
      <c r="DP15" s="5">
        <f ca="1">VLOOKUP(IF($DM15&lt;53,$DM15,52),'Summary Calculations (hide)'!$D$15:$F$67,3,0)</f>
        <v>151.80000000000001</v>
      </c>
      <c r="DQ15" s="5">
        <f ca="1">IF(AND(DN15&gt;='Demand adjustments for Covid'!$F$12,DN15&lt;'Demand adjustments for Covid'!$F$17),'Demand adjustments for Covid'!$F$13,DO15)</f>
        <v>138</v>
      </c>
      <c r="DR15" s="5">
        <f t="shared" si="7"/>
        <v>0</v>
      </c>
      <c r="DS15" s="5">
        <f ca="1">IF('Demand adjustments for Covid'!$F$9="Yes",IF(DR15=0,DQ15,((SUM(DR$4:DR15)-1)*$EE$8)+'Demand adjustments for Covid'!F$13),'Demand background (hide)'!DO15)</f>
        <v>138</v>
      </c>
      <c r="DT15" s="5">
        <f ca="1">IF('Demand adjustments for Covid'!$F$9="Yes",IF(OR(AND(DN15&gt;='Demand adjustments for Covid'!$F$12,DN15&lt;'Demand adjustments for Covid'!$F$17),DR15=1),DS15+3,DP15),'Demand background (hide)'!DP15)</f>
        <v>151.80000000000001</v>
      </c>
      <c r="DU15" s="5">
        <f ca="1">IF(DS15&lt;='Demand adjustments for Covid'!$F$17,DO15-DS15,0)</f>
        <v>0</v>
      </c>
      <c r="DV15" s="5">
        <f ca="1">IF(AND(ROW(A12)&gt;$EE$5,ROW(A12)&lt;=$EA$5),OFFSET('Demand adjustments for Covid'!$F$35,0,ROW(A12)-'Demand background (hide)'!$EE$5,1,1),0)</f>
        <v>10</v>
      </c>
      <c r="DW15" s="5">
        <f ca="1">IF(AND(ROW(A12)&gt;$EE$5,ROW(A12)&lt;=$EA$5),OFFSET('Demand adjustments for Covid'!$F$36,0,ROW(A12)-'Demand background (hide)'!$EE$5,1,1),0)</f>
        <v>12</v>
      </c>
      <c r="DX15" s="5">
        <f t="shared" ca="1" si="11"/>
        <v>173.8</v>
      </c>
    </row>
    <row r="16" spans="1:135" s="5" customFormat="1" x14ac:dyDescent="0.25">
      <c r="A16" s="5">
        <f t="shared" ca="1" si="3"/>
        <v>0</v>
      </c>
      <c r="B16" s="5">
        <f ca="1">COUNTBLANK(OFFSET(Demand!$I25,0,(COLUMN(A13)-1)*5,1,1))</f>
        <v>0</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120</v>
      </c>
      <c r="Y16" s="5">
        <f t="shared" ca="1" si="5"/>
        <v>120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120</v>
      </c>
      <c r="AM16" s="5">
        <f t="shared" ca="1" si="9"/>
        <v>0</v>
      </c>
      <c r="AN16" s="5" t="str">
        <f>IF(Demand!BE25="Yes","Yes","")</f>
        <v/>
      </c>
      <c r="AP16" s="36" t="str">
        <f ca="1">Demand!B25</f>
        <v xml:space="preserve"> </v>
      </c>
      <c r="AQ16" s="5" t="str">
        <f ca="1">IF(TEXT(Demand!D25,"MMM")&lt;&gt;TEXT(Demand!D24,"MMM"),TEXT(Demand!D25,"MMM"),"")</f>
        <v/>
      </c>
      <c r="AT16" s="5">
        <f t="shared" ca="1" si="12"/>
        <v>18</v>
      </c>
      <c r="BB16" s="5" t="s">
        <v>24</v>
      </c>
      <c r="BC16" s="46">
        <f ca="1">BJ16/$BM16</f>
        <v>0</v>
      </c>
      <c r="BD16" s="46">
        <f ca="1">BK16/$BM16</f>
        <v>0</v>
      </c>
      <c r="BE16" s="46">
        <f ca="1">BL16/$BM16</f>
        <v>1</v>
      </c>
      <c r="BF16" s="5">
        <f t="shared" ref="BF16:BM16" ca="1" si="31">SUM(OFFSET(BF$6,0,0,Num_Modalities,1))</f>
        <v>0</v>
      </c>
      <c r="BG16" s="5">
        <f t="shared" ca="1" si="31"/>
        <v>0</v>
      </c>
      <c r="BH16" s="5">
        <f t="shared" ca="1" si="31"/>
        <v>710</v>
      </c>
      <c r="BI16" s="5">
        <f t="shared" ca="1" si="31"/>
        <v>710</v>
      </c>
      <c r="BJ16" s="5">
        <f t="shared" ca="1" si="31"/>
        <v>0</v>
      </c>
      <c r="BK16" s="5">
        <f t="shared" ca="1" si="31"/>
        <v>0</v>
      </c>
      <c r="BL16" s="5">
        <f t="shared" ca="1" si="31"/>
        <v>1420</v>
      </c>
      <c r="BM16" s="5">
        <f t="shared" ca="1" si="31"/>
        <v>1420</v>
      </c>
      <c r="BN16" s="5">
        <f ca="1">IF(BI16=0,1,BM16/BI16)</f>
        <v>2</v>
      </c>
      <c r="BQ16">
        <f ca="1">IF($AN16="",OFFSET(Demand!$A$13,ROW(A13)-1,4+((QUOTIENT(COLUMN(BQ$2)-69,3))*5)+MOD(COLUMN(BQ$2),3),1,1),"")</f>
        <v>0</v>
      </c>
      <c r="BR16">
        <f ca="1">IF($AN16="",OFFSET(Demand!$A$13,ROW(B13)-1,4+((QUOTIENT(COLUMN(BR$2)-69,3))*5)+MOD(COLUMN(BR$2),3),1,1),"")</f>
        <v>0</v>
      </c>
      <c r="BS16">
        <f ca="1">IF($AN16="",OFFSET(Demand!$A$13,ROW(C13)-1,4+((QUOTIENT(COLUMN(BS$2)-69,3))*5)+MOD(COLUMN(BS$2),3),1,1),"")</f>
        <v>60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28</v>
      </c>
      <c r="DN16" s="322">
        <f t="shared" si="17"/>
        <v>44018</v>
      </c>
      <c r="DO16" s="5">
        <f ca="1">VLOOKUP(IF($DM16&lt;53,$DM16,52),'Summary Calculations (hide)'!$D$15:$F$67,2,0)</f>
        <v>120</v>
      </c>
      <c r="DP16" s="5">
        <f ca="1">VLOOKUP(IF($DM16&lt;53,$DM16,52),'Summary Calculations (hide)'!$D$15:$F$67,3,0)</f>
        <v>132</v>
      </c>
      <c r="DQ16" s="5">
        <f ca="1">IF(AND(DN16&gt;='Demand adjustments for Covid'!$F$12,DN16&lt;'Demand adjustments for Covid'!$F$17),'Demand adjustments for Covid'!$F$13,DO16)</f>
        <v>120</v>
      </c>
      <c r="DR16" s="5">
        <f t="shared" si="7"/>
        <v>0</v>
      </c>
      <c r="DS16" s="5">
        <f ca="1">IF('Demand adjustments for Covid'!$F$9="Yes",IF(DR16=0,DQ16,((SUM(DR$4:DR16)-1)*$EE$8)+'Demand adjustments for Covid'!F$13),'Demand background (hide)'!DO16)</f>
        <v>120</v>
      </c>
      <c r="DT16" s="5">
        <f ca="1">IF('Demand adjustments for Covid'!$F$9="Yes",IF(OR(AND(DN16&gt;='Demand adjustments for Covid'!$F$12,DN16&lt;'Demand adjustments for Covid'!$F$17),DR16=1),DS16+3,DP16),'Demand background (hide)'!DP16)</f>
        <v>132</v>
      </c>
      <c r="DU16" s="5">
        <f ca="1">IF(DS16&lt;='Demand adjustments for Covid'!$F$17,DO16-DS16,0)</f>
        <v>0</v>
      </c>
      <c r="DV16" s="5">
        <f ca="1">IF(AND(ROW(A13)&gt;$EE$5,ROW(A13)&lt;=$EA$5),OFFSET('Demand adjustments for Covid'!$F$35,0,ROW(A13)-'Demand background (hide)'!$EE$5,1,1),0)</f>
        <v>10</v>
      </c>
      <c r="DW16" s="5">
        <f ca="1">IF(AND(ROW(A13)&gt;$EE$5,ROW(A13)&lt;=$EA$5),OFFSET('Demand adjustments for Covid'!$F$36,0,ROW(A13)-'Demand background (hide)'!$EE$5,1,1),0)</f>
        <v>0</v>
      </c>
      <c r="DX16" s="5">
        <f t="shared" ca="1" si="11"/>
        <v>142</v>
      </c>
    </row>
    <row r="17" spans="1:128" s="5" customFormat="1" x14ac:dyDescent="0.25">
      <c r="A17" s="5">
        <f t="shared" ca="1" si="3"/>
        <v>0</v>
      </c>
      <c r="B17" s="5">
        <f ca="1">COUNTBLANK(OFFSET(Demand!$I26,0,(COLUMN(A14)-1)*5,1,1))</f>
        <v>0</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136</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136</v>
      </c>
      <c r="Y17" s="5">
        <f t="shared" ca="1" si="5"/>
        <v>136</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136</v>
      </c>
      <c r="AM17" s="5">
        <f t="shared" ca="1" si="9"/>
        <v>0</v>
      </c>
      <c r="AN17" s="5" t="str">
        <f>IF(Demand!BE26="Yes","Yes","")</f>
        <v/>
      </c>
      <c r="AP17" s="36" t="str">
        <f ca="1">Demand!B26</f>
        <v xml:space="preserve"> </v>
      </c>
      <c r="AQ17" s="5" t="str">
        <f ca="1">IF(TEXT(Demand!D26,"MMM")&lt;&gt;TEXT(Demand!D25,"MMM"),TEXT(Demand!D26,"MMM"),"")</f>
        <v>Jun</v>
      </c>
      <c r="AT17" s="5">
        <f t="shared" ca="1" si="12"/>
        <v>16</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68</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29</v>
      </c>
      <c r="DN17" s="322">
        <f t="shared" si="17"/>
        <v>44025</v>
      </c>
      <c r="DO17" s="5">
        <f ca="1">VLOOKUP(IF($DM17&lt;53,$DM17,52),'Summary Calculations (hide)'!$D$15:$F$67,2,0)</f>
        <v>136</v>
      </c>
      <c r="DP17" s="5">
        <f ca="1">VLOOKUP(IF($DM17&lt;53,$DM17,52),'Summary Calculations (hide)'!$D$15:$F$67,3,0)</f>
        <v>149.60000000000002</v>
      </c>
      <c r="DQ17" s="5">
        <f ca="1">IF(AND(DN17&gt;='Demand adjustments for Covid'!$F$12,DN17&lt;'Demand adjustments for Covid'!$F$17),'Demand adjustments for Covid'!$F$13,DO17)</f>
        <v>136</v>
      </c>
      <c r="DR17" s="5">
        <f t="shared" si="7"/>
        <v>0</v>
      </c>
      <c r="DS17" s="5">
        <f ca="1">IF('Demand adjustments for Covid'!$F$9="Yes",IF(DR17=0,DQ17,((SUM(DR$4:DR17)-1)*$EE$8)+'Demand adjustments for Covid'!F$13),'Demand background (hide)'!DO17)</f>
        <v>136</v>
      </c>
      <c r="DT17" s="5">
        <f ca="1">IF('Demand adjustments for Covid'!$F$9="Yes",IF(OR(AND(DN17&gt;='Demand adjustments for Covid'!$F$12,DN17&lt;'Demand adjustments for Covid'!$F$17),DR17=1),DS17+3,DP17),'Demand background (hide)'!DP17)</f>
        <v>149.60000000000002</v>
      </c>
      <c r="DU17" s="5">
        <f ca="1">IF(DS17&lt;='Demand adjustments for Covid'!$F$17,DO17-DS17,0)</f>
        <v>0</v>
      </c>
      <c r="DV17" s="5">
        <f ca="1">IF(AND(ROW(A14)&gt;$EE$5,ROW(A14)&lt;=$EA$5),OFFSET('Demand adjustments for Covid'!$F$35,0,ROW(A14)-'Demand background (hide)'!$EE$5,1,1),0)</f>
        <v>10</v>
      </c>
      <c r="DW17" s="5">
        <f ca="1">IF(AND(ROW(A14)&gt;$EE$5,ROW(A14)&lt;=$EA$5),OFFSET('Demand adjustments for Covid'!$F$36,0,ROW(A14)-'Demand background (hide)'!$EE$5,1,1),0)</f>
        <v>0</v>
      </c>
      <c r="DX17" s="5">
        <f t="shared" ca="1" si="11"/>
        <v>159.60000000000002</v>
      </c>
    </row>
    <row r="18" spans="1:128" s="5" customFormat="1" x14ac:dyDescent="0.25">
      <c r="A18" s="5">
        <f t="shared" ca="1" si="3"/>
        <v>0</v>
      </c>
      <c r="B18" s="5">
        <f ca="1">COUNTBLANK(OFFSET(Demand!$I27,0,(COLUMN(A15)-1)*5,1,1))</f>
        <v>0</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138</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138</v>
      </c>
      <c r="Y18" s="5">
        <f t="shared" ca="1" si="5"/>
        <v>138</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138</v>
      </c>
      <c r="AM18" s="5">
        <f t="shared" ca="1" si="9"/>
        <v>0</v>
      </c>
      <c r="AN18" s="5" t="str">
        <f>IF(Demand!BE27="Yes","Yes","")</f>
        <v/>
      </c>
      <c r="AP18" s="36" t="str">
        <f ca="1">Demand!B27</f>
        <v xml:space="preserve"> </v>
      </c>
      <c r="AQ18" s="5" t="str">
        <f ca="1">IF(TEXT(Demand!D27,"MMM")&lt;&gt;TEXT(Demand!D26,"MMM"),TEXT(Demand!D27,"MMM"),"")</f>
        <v/>
      </c>
      <c r="AT18" s="5">
        <f t="shared" ca="1" si="12"/>
        <v>2</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71</v>
      </c>
      <c r="BI18" s="5">
        <f ca="1">BI16/MAX('SPC background (hide)'!$I$5:$I$11)</f>
        <v>71</v>
      </c>
      <c r="BJ18" s="5">
        <f ca="1">BJ16/MAX('SPC background (hide)'!$I$5:$I$11)</f>
        <v>0</v>
      </c>
      <c r="BK18" s="5">
        <f ca="1">BK16/MAX('SPC background (hide)'!$I$5:$I$11)</f>
        <v>0</v>
      </c>
      <c r="BL18" s="5">
        <f ca="1">BL16/MAX('SPC background (hide)'!$I$5:$I$11)</f>
        <v>142</v>
      </c>
      <c r="BM18" s="5">
        <f ca="1">BM16/MAX('SPC background (hide)'!$I$5:$I$11)</f>
        <v>142</v>
      </c>
      <c r="BQ18">
        <f ca="1">IF($AN18="",OFFSET(Demand!$A$13,ROW(A15)-1,4+((QUOTIENT(COLUMN(BQ$2)-69,3))*5)+MOD(COLUMN(BQ$2),3),1,1),"")</f>
        <v>0</v>
      </c>
      <c r="BR18">
        <f ca="1">IF($AN18="",OFFSET(Demand!$A$13,ROW(B15)-1,4+((QUOTIENT(COLUMN(BR$2)-69,3))*5)+MOD(COLUMN(BR$2),3),1,1),"")</f>
        <v>0</v>
      </c>
      <c r="BS18">
        <f ca="1">IF($AN18="",OFFSET(Demand!$A$13,ROW(C15)-1,4+((QUOTIENT(COLUMN(BS$2)-69,3))*5)+MOD(COLUMN(BS$2),3),1,1),"")</f>
        <v>69</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30</v>
      </c>
      <c r="DN18" s="322">
        <f t="shared" si="17"/>
        <v>44032</v>
      </c>
      <c r="DO18" s="5">
        <f ca="1">VLOOKUP(IF($DM18&lt;53,$DM18,52),'Summary Calculations (hide)'!$D$15:$F$67,2,0)</f>
        <v>138</v>
      </c>
      <c r="DP18" s="5">
        <f ca="1">VLOOKUP(IF($DM18&lt;53,$DM18,52),'Summary Calculations (hide)'!$D$15:$F$67,3,0)</f>
        <v>151.80000000000001</v>
      </c>
      <c r="DQ18" s="5">
        <f ca="1">IF(AND(DN18&gt;='Demand adjustments for Covid'!$F$12,DN18&lt;'Demand adjustments for Covid'!$F$17),'Demand adjustments for Covid'!$F$13,DO18)</f>
        <v>138</v>
      </c>
      <c r="DR18" s="5">
        <f t="shared" si="7"/>
        <v>0</v>
      </c>
      <c r="DS18" s="5">
        <f ca="1">IF('Demand adjustments for Covid'!$F$9="Yes",IF(DR18=0,DQ18,((SUM(DR$4:DR18)-1)*$EE$8)+'Demand adjustments for Covid'!F$13),'Demand background (hide)'!DO18)</f>
        <v>138</v>
      </c>
      <c r="DT18" s="5">
        <f ca="1">IF('Demand adjustments for Covid'!$F$9="Yes",IF(OR(AND(DN18&gt;='Demand adjustments for Covid'!$F$12,DN18&lt;'Demand adjustments for Covid'!$F$17),DR18=1),DS18+3,DP18),'Demand background (hide)'!DP18)</f>
        <v>151.80000000000001</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151.80000000000001</v>
      </c>
    </row>
    <row r="19" spans="1:128" s="5" customFormat="1" x14ac:dyDescent="0.25">
      <c r="A19" s="5">
        <f t="shared" ca="1" si="3"/>
        <v>0</v>
      </c>
      <c r="B19" s="5">
        <f ca="1">COUNTBLANK(OFFSET(Demand!$I28,0,(COLUMN(A16)-1)*5,1,1))</f>
        <v>0</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126</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126</v>
      </c>
      <c r="Y19" s="5">
        <f t="shared" ca="1" si="5"/>
        <v>126</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126</v>
      </c>
      <c r="AM19" s="5">
        <f t="shared" ca="1" si="9"/>
        <v>0</v>
      </c>
      <c r="AN19" s="5" t="str">
        <f>IF(Demand!BE28="Yes","Yes","")</f>
        <v/>
      </c>
      <c r="AP19" s="36" t="str">
        <f ca="1">Demand!B28</f>
        <v xml:space="preserve"> </v>
      </c>
      <c r="AQ19" s="5" t="str">
        <f ca="1">IF(TEXT(Demand!D28,"MMM")&lt;&gt;TEXT(Demand!D27,"MMM"),TEXT(Demand!D28,"MMM"),"")</f>
        <v/>
      </c>
      <c r="AT19" s="5">
        <f t="shared" ca="1" si="12"/>
        <v>12</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63</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31</v>
      </c>
      <c r="DN19" s="322">
        <f t="shared" si="17"/>
        <v>44039</v>
      </c>
      <c r="DO19" s="5">
        <f ca="1">VLOOKUP(IF($DM19&lt;53,$DM19,52),'Summary Calculations (hide)'!$D$15:$F$67,2,0)</f>
        <v>126</v>
      </c>
      <c r="DP19" s="5">
        <f ca="1">VLOOKUP(IF($DM19&lt;53,$DM19,52),'Summary Calculations (hide)'!$D$15:$F$67,3,0)</f>
        <v>138.60000000000002</v>
      </c>
      <c r="DQ19" s="5">
        <f ca="1">IF(AND(DN19&gt;='Demand adjustments for Covid'!$F$12,DN19&lt;'Demand adjustments for Covid'!$F$17),'Demand adjustments for Covid'!$F$13,DO19)</f>
        <v>126</v>
      </c>
      <c r="DR19" s="5">
        <f t="shared" si="7"/>
        <v>0</v>
      </c>
      <c r="DS19" s="5">
        <f ca="1">IF('Demand adjustments for Covid'!$F$9="Yes",IF(DR19=0,DQ19,((SUM(DR$4:DR19)-1)*$EE$8)+'Demand adjustments for Covid'!F$13),'Demand background (hide)'!DO19)</f>
        <v>126</v>
      </c>
      <c r="DT19" s="5">
        <f ca="1">IF('Demand adjustments for Covid'!$F$9="Yes",IF(OR(AND(DN19&gt;='Demand adjustments for Covid'!$F$12,DN19&lt;'Demand adjustments for Covid'!$F$17),DR19=1),DS19+3,DP19),'Demand background (hide)'!DP19)</f>
        <v>138.60000000000002</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138.60000000000002</v>
      </c>
    </row>
    <row r="20" spans="1:128" s="5" customFormat="1" x14ac:dyDescent="0.25">
      <c r="A20" s="5">
        <f t="shared" ca="1" si="3"/>
        <v>0</v>
      </c>
      <c r="B20" s="5">
        <f ca="1">COUNTBLANK(OFFSET(Demand!$I29,0,(COLUMN(A17)-1)*5,1,1))</f>
        <v>0</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152</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152</v>
      </c>
      <c r="Y20" s="5">
        <f t="shared" ca="1" si="5"/>
        <v>152</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152</v>
      </c>
      <c r="AM20" s="5">
        <f t="shared" ca="1" si="9"/>
        <v>0</v>
      </c>
      <c r="AN20" s="5" t="str">
        <f>IF(Demand!BE29="Yes","Yes","")</f>
        <v/>
      </c>
      <c r="AP20" s="36" t="str">
        <f ca="1">Demand!B29</f>
        <v xml:space="preserve"> </v>
      </c>
      <c r="AQ20" s="5" t="str">
        <f ca="1">IF(TEXT(Demand!D29,"MMM")&lt;&gt;TEXT(Demand!D28,"MMM"),TEXT(Demand!D29,"MMM"),"")</f>
        <v/>
      </c>
      <c r="AT20" s="5">
        <f t="shared" ca="1" si="12"/>
        <v>26</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v>
      </c>
      <c r="BL20" s="46">
        <f ca="1">BL18/BM18</f>
        <v>1</v>
      </c>
      <c r="BQ20">
        <f ca="1">IF($AN20="",OFFSET(Demand!$A$13,ROW(A17)-1,4+((QUOTIENT(COLUMN(BQ$2)-69,3))*5)+MOD(COLUMN(BQ$2),3),1,1),"")</f>
        <v>0</v>
      </c>
      <c r="BR20">
        <f ca="1">IF($AN20="",OFFSET(Demand!$A$13,ROW(B17)-1,4+((QUOTIENT(COLUMN(BR$2)-69,3))*5)+MOD(COLUMN(BR$2),3),1,1),"")</f>
        <v>0</v>
      </c>
      <c r="BS20">
        <f ca="1">IF($AN20="",OFFSET(Demand!$A$13,ROW(C17)-1,4+((QUOTIENT(COLUMN(BS$2)-69,3))*5)+MOD(COLUMN(BS$2),3),1,1),"")</f>
        <v>76</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32</v>
      </c>
      <c r="DN20" s="322">
        <f t="shared" si="17"/>
        <v>44046</v>
      </c>
      <c r="DO20" s="5">
        <f ca="1">VLOOKUP(IF($DM20&lt;53,$DM20,52),'Summary Calculations (hide)'!$D$15:$F$67,2,0)</f>
        <v>152</v>
      </c>
      <c r="DP20" s="5">
        <f ca="1">VLOOKUP(IF($DM20&lt;53,$DM20,52),'Summary Calculations (hide)'!$D$15:$F$67,3,0)</f>
        <v>167.20000000000002</v>
      </c>
      <c r="DQ20" s="5">
        <f ca="1">IF(AND(DN20&gt;='Demand adjustments for Covid'!$F$12,DN20&lt;'Demand adjustments for Covid'!$F$17),'Demand adjustments for Covid'!$F$13,DO20)</f>
        <v>152</v>
      </c>
      <c r="DR20" s="5">
        <f t="shared" si="7"/>
        <v>0</v>
      </c>
      <c r="DS20" s="5">
        <f ca="1">IF('Demand adjustments for Covid'!$F$9="Yes",IF(DR20=0,DQ20,((SUM(DR$4:DR20)-1)*$EE$8)+'Demand adjustments for Covid'!F$13),'Demand background (hide)'!DO20)</f>
        <v>152</v>
      </c>
      <c r="DT20" s="5">
        <f ca="1">IF('Demand adjustments for Covid'!$F$9="Yes",IF(OR(AND(DN20&gt;='Demand adjustments for Covid'!$F$12,DN20&lt;'Demand adjustments for Covid'!$F$17),DR20=1),DS20+3,DP20),'Demand background (hide)'!DP20)</f>
        <v>167.20000000000002</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167.20000000000002</v>
      </c>
    </row>
    <row r="21" spans="1:128" s="5" customFormat="1" x14ac:dyDescent="0.25">
      <c r="A21" s="5">
        <f t="shared" ca="1" si="3"/>
        <v>0</v>
      </c>
      <c r="B21" s="5">
        <f ca="1">COUNTBLANK(OFFSET(Demand!$I30,0,(COLUMN(A18)-1)*5,1,1))</f>
        <v>0</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128</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128</v>
      </c>
      <c r="Y21" s="5">
        <f t="shared" ca="1" si="5"/>
        <v>128</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128</v>
      </c>
      <c r="AM21" s="5">
        <f t="shared" ca="1" si="9"/>
        <v>0</v>
      </c>
      <c r="AN21" s="5" t="str">
        <f>IF(Demand!BE30="Yes","Yes","")</f>
        <v/>
      </c>
      <c r="AP21" s="36" t="str">
        <f ca="1">Demand!B30</f>
        <v xml:space="preserve"> </v>
      </c>
      <c r="AQ21" s="5" t="str">
        <f ca="1">IF(TEXT(Demand!D30,"MMM")&lt;&gt;TEXT(Demand!D29,"MMM"),TEXT(Demand!D30,"MMM"),"")</f>
        <v/>
      </c>
      <c r="AT21" s="5">
        <f t="shared" ca="1" si="12"/>
        <v>24</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64</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33</v>
      </c>
      <c r="DN21" s="322">
        <f t="shared" si="17"/>
        <v>44053</v>
      </c>
      <c r="DO21" s="5">
        <f ca="1">VLOOKUP(IF($DM21&lt;53,$DM21,52),'Summary Calculations (hide)'!$D$15:$F$67,2,0)</f>
        <v>128</v>
      </c>
      <c r="DP21" s="5">
        <f ca="1">VLOOKUP(IF($DM21&lt;53,$DM21,52),'Summary Calculations (hide)'!$D$15:$F$67,3,0)</f>
        <v>140.80000000000001</v>
      </c>
      <c r="DQ21" s="5">
        <f ca="1">IF(AND(DN21&gt;='Demand adjustments for Covid'!$F$12,DN21&lt;'Demand adjustments for Covid'!$F$17),'Demand adjustments for Covid'!$F$13,DO21)</f>
        <v>128</v>
      </c>
      <c r="DR21" s="5">
        <f t="shared" si="7"/>
        <v>0</v>
      </c>
      <c r="DS21" s="5">
        <f ca="1">IF('Demand adjustments for Covid'!$F$9="Yes",IF(DR21=0,DQ21,((SUM(DR$4:DR21)-1)*$EE$8)+'Demand adjustments for Covid'!F$13),'Demand background (hide)'!DO21)</f>
        <v>128</v>
      </c>
      <c r="DT21" s="5">
        <f ca="1">IF('Demand adjustments for Covid'!$F$9="Yes",IF(OR(AND(DN21&gt;='Demand adjustments for Covid'!$F$12,DN21&lt;'Demand adjustments for Covid'!$F$17),DR21=1),DS21+3,DP21),'Demand background (hide)'!DP21)</f>
        <v>140.80000000000001</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140.80000000000001</v>
      </c>
    </row>
    <row r="22" spans="1:128" s="5" customFormat="1" x14ac:dyDescent="0.25">
      <c r="A22" s="5">
        <f t="shared" ca="1" si="3"/>
        <v>0</v>
      </c>
      <c r="B22" s="5">
        <f ca="1">COUNTBLANK(OFFSET(Demand!$I31,0,(COLUMN(A19)-1)*5,1,1))</f>
        <v>0</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152</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152</v>
      </c>
      <c r="Y22" s="5">
        <f t="shared" ca="1" si="5"/>
        <v>152</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152</v>
      </c>
      <c r="AM22" s="5">
        <f t="shared" ca="1" si="9"/>
        <v>0</v>
      </c>
      <c r="AN22" s="5" t="str">
        <f>IF(Demand!BE31="Yes","Yes","")</f>
        <v/>
      </c>
      <c r="AP22" s="36" t="str">
        <f ca="1">Demand!B31</f>
        <v xml:space="preserve"> </v>
      </c>
      <c r="AQ22" s="5" t="str">
        <f ca="1">IF(TEXT(Demand!D31,"MMM")&lt;&gt;TEXT(Demand!D30,"MMM"),TEXT(Demand!D31,"MMM"),"")</f>
        <v>Jul</v>
      </c>
      <c r="AT22" s="5">
        <f t="shared" ca="1" si="12"/>
        <v>24</v>
      </c>
      <c r="BQ22">
        <f ca="1">IF($AN22="",OFFSET(Demand!$A$13,ROW(A19)-1,4+((QUOTIENT(COLUMN(BQ$2)-69,3))*5)+MOD(COLUMN(BQ$2),3),1,1),"")</f>
        <v>0</v>
      </c>
      <c r="BR22">
        <f ca="1">IF($AN22="",OFFSET(Demand!$A$13,ROW(B19)-1,4+((QUOTIENT(COLUMN(BR$2)-69,3))*5)+MOD(COLUMN(BR$2),3),1,1),"")</f>
        <v>0</v>
      </c>
      <c r="BS22">
        <f ca="1">IF($AN22="",OFFSET(Demand!$A$13,ROW(C19)-1,4+((QUOTIENT(COLUMN(BS$2)-69,3))*5)+MOD(COLUMN(BS$2),3),1,1),"")</f>
        <v>76</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34</v>
      </c>
      <c r="DN22" s="322">
        <f t="shared" si="17"/>
        <v>44060</v>
      </c>
      <c r="DO22" s="5">
        <f ca="1">VLOOKUP(IF($DM22&lt;53,$DM22,52),'Summary Calculations (hide)'!$D$15:$F$67,2,0)</f>
        <v>152</v>
      </c>
      <c r="DP22" s="5">
        <f ca="1">VLOOKUP(IF($DM22&lt;53,$DM22,52),'Summary Calculations (hide)'!$D$15:$F$67,3,0)</f>
        <v>167.20000000000002</v>
      </c>
      <c r="DQ22" s="5">
        <f ca="1">IF(AND(DN22&gt;='Demand adjustments for Covid'!$F$12,DN22&lt;'Demand adjustments for Covid'!$F$17),'Demand adjustments for Covid'!$F$13,DO22)</f>
        <v>152</v>
      </c>
      <c r="DR22" s="5">
        <f t="shared" si="7"/>
        <v>0</v>
      </c>
      <c r="DS22" s="5">
        <f ca="1">IF('Demand adjustments for Covid'!$F$9="Yes",IF(DR22=0,DQ22,((SUM(DR$4:DR22)-1)*$EE$8)+'Demand adjustments for Covid'!F$13),'Demand background (hide)'!DO22)</f>
        <v>152</v>
      </c>
      <c r="DT22" s="5">
        <f ca="1">IF('Demand adjustments for Covid'!$F$9="Yes",IF(OR(AND(DN22&gt;='Demand adjustments for Covid'!$F$12,DN22&lt;'Demand adjustments for Covid'!$F$17),DR22=1),DS22+3,DP22),'Demand background (hide)'!DP22)</f>
        <v>167.20000000000002</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167.20000000000002</v>
      </c>
    </row>
    <row r="23" spans="1:128" s="5" customFormat="1" x14ac:dyDescent="0.25">
      <c r="A23" s="5">
        <f t="shared" ca="1" si="3"/>
        <v>0</v>
      </c>
      <c r="B23" s="5">
        <f ca="1">COUNTBLANK(OFFSET(Demand!$I32,0,(COLUMN(A20)-1)*5,1,1))</f>
        <v>0</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138</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138</v>
      </c>
      <c r="Y23" s="5">
        <f t="shared" ca="1" si="5"/>
        <v>138</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138</v>
      </c>
      <c r="AM23" s="5">
        <f t="shared" ca="1" si="9"/>
        <v>0</v>
      </c>
      <c r="AN23" s="5" t="str">
        <f>IF(Demand!BE32="Yes","Yes","")</f>
        <v/>
      </c>
      <c r="AP23" s="36" t="str">
        <f ca="1">Demand!B32</f>
        <v xml:space="preserve"> </v>
      </c>
      <c r="AQ23" s="5" t="str">
        <f ca="1">IF(TEXT(Demand!D32,"MMM")&lt;&gt;TEXT(Demand!D31,"MMM"),TEXT(Demand!D32,"MMM"),"")</f>
        <v/>
      </c>
      <c r="AT23" s="5">
        <f t="shared" ca="1" si="12"/>
        <v>14</v>
      </c>
      <c r="BQ23">
        <f ca="1">IF($AN23="",OFFSET(Demand!$A$13,ROW(A20)-1,4+((QUOTIENT(COLUMN(BQ$2)-69,3))*5)+MOD(COLUMN(BQ$2),3),1,1),"")</f>
        <v>0</v>
      </c>
      <c r="BR23">
        <f ca="1">IF($AN23="",OFFSET(Demand!$A$13,ROW(B20)-1,4+((QUOTIENT(COLUMN(BR$2)-69,3))*5)+MOD(COLUMN(BR$2),3),1,1),"")</f>
        <v>0</v>
      </c>
      <c r="BS23">
        <f ca="1">IF($AN23="",OFFSET(Demand!$A$13,ROW(C20)-1,4+((QUOTIENT(COLUMN(BS$2)-69,3))*5)+MOD(COLUMN(BS$2),3),1,1),"")</f>
        <v>69</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35</v>
      </c>
      <c r="DN23" s="322">
        <f t="shared" si="17"/>
        <v>44067</v>
      </c>
      <c r="DO23" s="5">
        <f ca="1">VLOOKUP(IF($DM23&lt;53,$DM23,52),'Summary Calculations (hide)'!$D$15:$F$67,2,0)</f>
        <v>138</v>
      </c>
      <c r="DP23" s="5">
        <f ca="1">VLOOKUP(IF($DM23&lt;53,$DM23,52),'Summary Calculations (hide)'!$D$15:$F$67,3,0)</f>
        <v>151.80000000000001</v>
      </c>
      <c r="DQ23" s="5">
        <f ca="1">IF(AND(DN23&gt;='Demand adjustments for Covid'!$F$12,DN23&lt;'Demand adjustments for Covid'!$F$17),'Demand adjustments for Covid'!$F$13,DO23)</f>
        <v>138</v>
      </c>
      <c r="DR23" s="5">
        <f t="shared" si="7"/>
        <v>0</v>
      </c>
      <c r="DS23" s="5">
        <f ca="1">IF('Demand adjustments for Covid'!$F$9="Yes",IF(DR23=0,DQ23,((SUM(DR$4:DR23)-1)*$EE$8)+'Demand adjustments for Covid'!F$13),'Demand background (hide)'!DO23)</f>
        <v>138</v>
      </c>
      <c r="DT23" s="5">
        <f ca="1">IF('Demand adjustments for Covid'!$F$9="Yes",IF(OR(AND(DN23&gt;='Demand adjustments for Covid'!$F$12,DN23&lt;'Demand adjustments for Covid'!$F$17),DR23=1),DS23+3,DP23),'Demand background (hide)'!DP23)</f>
        <v>151.80000000000001</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151.80000000000001</v>
      </c>
    </row>
    <row r="24" spans="1:128" s="5" customFormat="1" x14ac:dyDescent="0.25">
      <c r="A24" s="5">
        <f t="shared" ca="1" si="3"/>
        <v>0</v>
      </c>
      <c r="B24" s="5">
        <f ca="1">COUNTBLANK(OFFSET(Demand!$I33,0,(COLUMN(A21)-1)*5,1,1))</f>
        <v>0</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160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160</v>
      </c>
      <c r="Y24" s="5">
        <f t="shared" ca="1" si="5"/>
        <v>160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160</v>
      </c>
      <c r="AM24" s="5">
        <f t="shared" ca="1" si="9"/>
        <v>0</v>
      </c>
      <c r="AN24" s="5" t="str">
        <f>IF(Demand!BE33="Yes","Yes","")</f>
        <v/>
      </c>
      <c r="AP24" s="36" t="str">
        <f ca="1">Demand!B33</f>
        <v xml:space="preserve"> </v>
      </c>
      <c r="AQ24" s="5" t="str">
        <f ca="1">IF(TEXT(Demand!D33,"MMM")&lt;&gt;TEXT(Demand!D32,"MMM"),TEXT(Demand!D33,"MMM"),"")</f>
        <v/>
      </c>
      <c r="AT24" s="5">
        <f t="shared" ca="1" si="12"/>
        <v>22</v>
      </c>
      <c r="BQ24">
        <f ca="1">IF($AN24="",OFFSET(Demand!$A$13,ROW(A21)-1,4+((QUOTIENT(COLUMN(BQ$2)-69,3))*5)+MOD(COLUMN(BQ$2),3),1,1),"")</f>
        <v>0</v>
      </c>
      <c r="BR24">
        <f ca="1">IF($AN24="",OFFSET(Demand!$A$13,ROW(B21)-1,4+((QUOTIENT(COLUMN(BR$2)-69,3))*5)+MOD(COLUMN(BR$2),3),1,1),"")</f>
        <v>0</v>
      </c>
      <c r="BS24">
        <f ca="1">IF($AN24="",OFFSET(Demand!$A$13,ROW(C21)-1,4+((QUOTIENT(COLUMN(BS$2)-69,3))*5)+MOD(COLUMN(BS$2),3),1,1),"")</f>
        <v>80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36</v>
      </c>
      <c r="DN24" s="322">
        <f t="shared" si="17"/>
        <v>44074</v>
      </c>
      <c r="DO24" s="5">
        <f ca="1">VLOOKUP(IF($DM24&lt;53,$DM24,52),'Summary Calculations (hide)'!$D$15:$F$67,2,0)</f>
        <v>160</v>
      </c>
      <c r="DP24" s="5">
        <f ca="1">VLOOKUP(IF($DM24&lt;53,$DM24,52),'Summary Calculations (hide)'!$D$15:$F$67,3,0)</f>
        <v>176</v>
      </c>
      <c r="DQ24" s="5">
        <f ca="1">IF(AND(DN24&gt;='Demand adjustments for Covid'!$F$12,DN24&lt;'Demand adjustments for Covid'!$F$17),'Demand adjustments for Covid'!$F$13,DO24)</f>
        <v>160</v>
      </c>
      <c r="DR24" s="5">
        <f t="shared" si="7"/>
        <v>0</v>
      </c>
      <c r="DS24" s="5">
        <f ca="1">IF('Demand adjustments for Covid'!$F$9="Yes",IF(DR24=0,DQ24,((SUM(DR$4:DR24)-1)*$EE$8)+'Demand adjustments for Covid'!F$13),'Demand background (hide)'!DO24)</f>
        <v>160</v>
      </c>
      <c r="DT24" s="5">
        <f ca="1">IF('Demand adjustments for Covid'!$F$9="Yes",IF(OR(AND(DN24&gt;='Demand adjustments for Covid'!$F$12,DN24&lt;'Demand adjustments for Covid'!$F$17),DR24=1),DS24+3,DP24),'Demand background (hide)'!DP24)</f>
        <v>176</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176</v>
      </c>
    </row>
    <row r="25" spans="1:128" s="5" customFormat="1" x14ac:dyDescent="0.25">
      <c r="A25" s="5">
        <f t="shared" ca="1" si="3"/>
        <v>0</v>
      </c>
      <c r="B25" s="5">
        <f ca="1">COUNTBLANK(OFFSET(Demand!$I34,0,(COLUMN(A22)-1)*5,1,1))</f>
        <v>0</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146</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146</v>
      </c>
      <c r="Y25" s="5">
        <f t="shared" ca="1" si="5"/>
        <v>146</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146</v>
      </c>
      <c r="AM25" s="5">
        <f t="shared" ca="1" si="9"/>
        <v>0</v>
      </c>
      <c r="AN25" s="5" t="str">
        <f>IF(Demand!BE34="Yes","Yes","")</f>
        <v/>
      </c>
      <c r="AP25" s="36" t="str">
        <f ca="1">Demand!B34</f>
        <v xml:space="preserve"> </v>
      </c>
      <c r="AQ25" s="5" t="str">
        <f ca="1">IF(TEXT(Demand!D34,"MMM")&lt;&gt;TEXT(Demand!D33,"MMM"),TEXT(Demand!D34,"MMM"),"")</f>
        <v/>
      </c>
      <c r="AT25" s="5">
        <f t="shared" ca="1" si="12"/>
        <v>14</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73</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37</v>
      </c>
      <c r="DN25" s="322">
        <f t="shared" si="17"/>
        <v>44081</v>
      </c>
      <c r="DO25" s="5">
        <f ca="1">VLOOKUP(IF($DM25&lt;53,$DM25,52),'Summary Calculations (hide)'!$D$15:$F$67,2,0)</f>
        <v>146</v>
      </c>
      <c r="DP25" s="5">
        <f ca="1">VLOOKUP(IF($DM25&lt;53,$DM25,52),'Summary Calculations (hide)'!$D$15:$F$67,3,0)</f>
        <v>160.60000000000002</v>
      </c>
      <c r="DQ25" s="5">
        <f ca="1">IF(AND(DN25&gt;='Demand adjustments for Covid'!$F$12,DN25&lt;'Demand adjustments for Covid'!$F$17),'Demand adjustments for Covid'!$F$13,DO25)</f>
        <v>146</v>
      </c>
      <c r="DR25" s="5">
        <f t="shared" si="7"/>
        <v>0</v>
      </c>
      <c r="DS25" s="5">
        <f ca="1">IF('Demand adjustments for Covid'!$F$9="Yes",IF(DR25=0,DQ25,((SUM(DR$4:DR25)-1)*$EE$8)+'Demand adjustments for Covid'!F$13),'Demand background (hide)'!DO25)</f>
        <v>146</v>
      </c>
      <c r="DT25" s="5">
        <f ca="1">IF('Demand adjustments for Covid'!$F$9="Yes",IF(OR(AND(DN25&gt;='Demand adjustments for Covid'!$F$12,DN25&lt;'Demand adjustments for Covid'!$F$17),DR25=1),DS25+3,DP25),'Demand background (hide)'!DP25)</f>
        <v>160.60000000000002</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160.60000000000002</v>
      </c>
    </row>
    <row r="26" spans="1:128" s="5" customFormat="1" x14ac:dyDescent="0.25">
      <c r="A26" s="5">
        <f t="shared" ca="1" si="3"/>
        <v>0</v>
      </c>
      <c r="B26" s="5">
        <f ca="1">COUNTBLANK(OFFSET(Demand!$I35,0,(COLUMN(A23)-1)*5,1,1))</f>
        <v>0</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148</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148</v>
      </c>
      <c r="Y26" s="5">
        <f t="shared" ca="1" si="5"/>
        <v>148</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148</v>
      </c>
      <c r="AM26" s="5">
        <f t="shared" ca="1" si="9"/>
        <v>0</v>
      </c>
      <c r="AN26" s="5" t="str">
        <f>IF(Demand!BE35="Yes","Yes","")</f>
        <v/>
      </c>
      <c r="AP26" s="36" t="str">
        <f ca="1">Demand!B35</f>
        <v xml:space="preserve"> </v>
      </c>
      <c r="AQ26" s="5" t="str">
        <f ca="1">IF(TEXT(Demand!D35,"MMM")&lt;&gt;TEXT(Demand!D34,"MMM"),TEXT(Demand!D35,"MMM"),"")</f>
        <v>Aug</v>
      </c>
      <c r="AT26" s="5">
        <f t="shared" ca="1" si="12"/>
        <v>2</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74</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38</v>
      </c>
      <c r="DN26" s="322">
        <f t="shared" si="17"/>
        <v>44088</v>
      </c>
      <c r="DO26" s="5">
        <f ca="1">VLOOKUP(IF($DM26&lt;53,$DM26,52),'Summary Calculations (hide)'!$D$15:$F$67,2,0)</f>
        <v>148</v>
      </c>
      <c r="DP26" s="5">
        <f ca="1">VLOOKUP(IF($DM26&lt;53,$DM26,52),'Summary Calculations (hide)'!$D$15:$F$67,3,0)</f>
        <v>162.80000000000001</v>
      </c>
      <c r="DQ26" s="5">
        <f ca="1">IF(AND(DN26&gt;='Demand adjustments for Covid'!$F$12,DN26&lt;'Demand adjustments for Covid'!$F$17),'Demand adjustments for Covid'!$F$13,DO26)</f>
        <v>148</v>
      </c>
      <c r="DR26" s="5">
        <f t="shared" si="7"/>
        <v>0</v>
      </c>
      <c r="DS26" s="5">
        <f ca="1">IF('Demand adjustments for Covid'!$F$9="Yes",IF(DR26=0,DQ26,((SUM(DR$4:DR26)-1)*$EE$8)+'Demand adjustments for Covid'!F$13),'Demand background (hide)'!DO26)</f>
        <v>148</v>
      </c>
      <c r="DT26" s="5">
        <f ca="1">IF('Demand adjustments for Covid'!$F$9="Yes",IF(OR(AND(DN26&gt;='Demand adjustments for Covid'!$F$12,DN26&lt;'Demand adjustments for Covid'!$F$17),DR26=1),DS26+3,DP26),'Demand background (hide)'!DP26)</f>
        <v>162.80000000000001</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162.80000000000001</v>
      </c>
    </row>
    <row r="27" spans="1:128" s="5" customFormat="1" x14ac:dyDescent="0.25">
      <c r="A27" s="5">
        <f t="shared" ca="1" si="3"/>
        <v>0</v>
      </c>
      <c r="B27" s="5">
        <f ca="1">COUNTBLANK(OFFSET(Demand!$I36,0,(COLUMN(A24)-1)*5,1,1))</f>
        <v>0</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130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130</v>
      </c>
      <c r="Y27" s="5">
        <f t="shared" ca="1" si="5"/>
        <v>130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130</v>
      </c>
      <c r="AM27" s="5">
        <f t="shared" ca="1" si="9"/>
        <v>0</v>
      </c>
      <c r="AN27" s="5" t="str">
        <f>IF(Demand!BE36="Yes","Yes","")</f>
        <v/>
      </c>
      <c r="AP27" s="36" t="str">
        <f ca="1">Demand!B36</f>
        <v xml:space="preserve"> </v>
      </c>
      <c r="AQ27" s="5" t="str">
        <f ca="1">IF(TEXT(Demand!D36,"MMM")&lt;&gt;TEXT(Demand!D35,"MMM"),TEXT(Demand!D36,"MMM"),"")</f>
        <v/>
      </c>
      <c r="AT27" s="5">
        <f t="shared" ca="1" si="12"/>
        <v>18</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65</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39</v>
      </c>
      <c r="DN27" s="322">
        <f t="shared" si="17"/>
        <v>44095</v>
      </c>
      <c r="DO27" s="5">
        <f ca="1">VLOOKUP(IF($DM27&lt;53,$DM27,52),'Summary Calculations (hide)'!$D$15:$F$67,2,0)</f>
        <v>130</v>
      </c>
      <c r="DP27" s="5">
        <f ca="1">VLOOKUP(IF($DM27&lt;53,$DM27,52),'Summary Calculations (hide)'!$D$15:$F$67,3,0)</f>
        <v>143</v>
      </c>
      <c r="DQ27" s="5">
        <f ca="1">IF(AND(DN27&gt;='Demand adjustments for Covid'!$F$12,DN27&lt;'Demand adjustments for Covid'!$F$17),'Demand adjustments for Covid'!$F$13,DO27)</f>
        <v>130</v>
      </c>
      <c r="DR27" s="5">
        <f t="shared" si="7"/>
        <v>0</v>
      </c>
      <c r="DS27" s="5">
        <f ca="1">IF('Demand adjustments for Covid'!$F$9="Yes",IF(DR27=0,DQ27,((SUM(DR$4:DR27)-1)*$EE$8)+'Demand adjustments for Covid'!F$13),'Demand background (hide)'!DO27)</f>
        <v>130</v>
      </c>
      <c r="DT27" s="5">
        <f ca="1">IF('Demand adjustments for Covid'!$F$9="Yes",IF(OR(AND(DN27&gt;='Demand adjustments for Covid'!$F$12,DN27&lt;'Demand adjustments for Covid'!$F$17),DR27=1),DS27+3,DP27),'Demand background (hide)'!DP27)</f>
        <v>143</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143</v>
      </c>
    </row>
    <row r="28" spans="1:128" s="5" customFormat="1" x14ac:dyDescent="0.25">
      <c r="A28" s="5">
        <f t="shared" ca="1" si="3"/>
        <v>0</v>
      </c>
      <c r="B28" s="5">
        <f ca="1">COUNTBLANK(OFFSET(Demand!$I37,0,(COLUMN(A25)-1)*5,1,1))</f>
        <v>0</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130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130</v>
      </c>
      <c r="Y28" s="5">
        <f t="shared" ca="1" si="5"/>
        <v>130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130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65</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40</v>
      </c>
      <c r="DN28" s="322">
        <f t="shared" si="17"/>
        <v>44102</v>
      </c>
      <c r="DO28" s="5">
        <f ca="1">VLOOKUP(IF($DM28&lt;53,$DM28,52),'Summary Calculations (hide)'!$D$15:$F$67,2,0)</f>
        <v>130</v>
      </c>
      <c r="DP28" s="5">
        <f ca="1">VLOOKUP(IF($DM28&lt;53,$DM28,52),'Summary Calculations (hide)'!$D$15:$F$67,3,0)</f>
        <v>143</v>
      </c>
      <c r="DQ28" s="5">
        <f ca="1">IF(AND(DN28&gt;='Demand adjustments for Covid'!$F$12,DN28&lt;'Demand adjustments for Covid'!$F$17),'Demand adjustments for Covid'!$F$13,DO28)</f>
        <v>130</v>
      </c>
      <c r="DR28" s="5">
        <f t="shared" si="7"/>
        <v>0</v>
      </c>
      <c r="DS28" s="5">
        <f ca="1">IF('Demand adjustments for Covid'!$F$9="Yes",IF(DR28=0,DQ28,((SUM(DR$4:DR28)-1)*$EE$8)+'Demand adjustments for Covid'!F$13),'Demand background (hide)'!DO28)</f>
        <v>130</v>
      </c>
      <c r="DT28" s="5">
        <f ca="1">IF('Demand adjustments for Covid'!$F$9="Yes",IF(OR(AND(DN28&gt;='Demand adjustments for Covid'!$F$12,DN28&lt;'Demand adjustments for Covid'!$F$17),DR28=1),DS28+3,DP28),'Demand background (hide)'!DP28)</f>
        <v>143</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143</v>
      </c>
    </row>
    <row r="29" spans="1:128" s="5" customFormat="1" x14ac:dyDescent="0.25">
      <c r="A29" s="5">
        <f t="shared" ca="1" si="3"/>
        <v>0</v>
      </c>
      <c r="B29" s="5">
        <f ca="1">COUNTBLANK(OFFSET(Demand!$I38,0,(COLUMN(A26)-1)*5,1,1))</f>
        <v>0</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120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120</v>
      </c>
      <c r="Y29" s="5">
        <f t="shared" ca="1" si="5"/>
        <v>120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120</v>
      </c>
      <c r="AM29" s="5">
        <f t="shared" ca="1" si="9"/>
        <v>0</v>
      </c>
      <c r="AN29" s="5" t="str">
        <f>IF(Demand!BE38="Yes","Yes","")</f>
        <v/>
      </c>
      <c r="AP29" s="36" t="str">
        <f ca="1">Demand!B38</f>
        <v xml:space="preserve"> </v>
      </c>
      <c r="AQ29" s="5" t="str">
        <f ca="1">IF(TEXT(Demand!D38,"MMM")&lt;&gt;TEXT(Demand!D37,"MMM"),TEXT(Demand!D38,"MMM"),"")</f>
        <v/>
      </c>
      <c r="AT29" s="5">
        <f t="shared" ca="1" si="12"/>
        <v>10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60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41</v>
      </c>
      <c r="DN29" s="322">
        <f t="shared" si="17"/>
        <v>44109</v>
      </c>
      <c r="DO29" s="5">
        <f ca="1">VLOOKUP(IF($DM29&lt;53,$DM29,52),'Summary Calculations (hide)'!$D$15:$F$67,2,0)</f>
        <v>120</v>
      </c>
      <c r="DP29" s="5">
        <f ca="1">VLOOKUP(IF($DM29&lt;53,$DM29,52),'Summary Calculations (hide)'!$D$15:$F$67,3,0)</f>
        <v>132</v>
      </c>
      <c r="DQ29" s="5">
        <f ca="1">IF(AND(DN29&gt;='Demand adjustments for Covid'!$F$12,DN29&lt;'Demand adjustments for Covid'!$F$17),'Demand adjustments for Covid'!$F$13,DO29)</f>
        <v>120</v>
      </c>
      <c r="DR29" s="5">
        <f t="shared" si="7"/>
        <v>0</v>
      </c>
      <c r="DS29" s="5">
        <f ca="1">IF('Demand adjustments for Covid'!$F$9="Yes",IF(DR29=0,DQ29,((SUM(DR$4:DR29)-1)*$EE$8)+'Demand adjustments for Covid'!F$13),'Demand background (hide)'!DO29)</f>
        <v>120</v>
      </c>
      <c r="DT29" s="5">
        <f ca="1">IF('Demand adjustments for Covid'!$F$9="Yes",IF(OR(AND(DN29&gt;='Demand adjustments for Covid'!$F$12,DN29&lt;'Demand adjustments for Covid'!$F$17),DR29=1),DS29+3,DP29),'Demand background (hide)'!DP29)</f>
        <v>132</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132</v>
      </c>
    </row>
    <row r="30" spans="1:128" s="5" customFormat="1" x14ac:dyDescent="0.25">
      <c r="A30" s="5">
        <f t="shared" ca="1" si="3"/>
        <v>0</v>
      </c>
      <c r="B30" s="5">
        <f ca="1">COUNTBLANK(OFFSET(Demand!$I39,0,(COLUMN(A27)-1)*5,1,1))</f>
        <v>0</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124</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124</v>
      </c>
      <c r="Y30" s="5">
        <f t="shared" ca="1" si="5"/>
        <v>124</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124</v>
      </c>
      <c r="AM30" s="5">
        <f t="shared" ca="1" si="9"/>
        <v>0</v>
      </c>
      <c r="AN30" s="5" t="str">
        <f>IF(Demand!BE39="Yes","Yes","")</f>
        <v/>
      </c>
      <c r="AP30" s="36" t="str">
        <f ca="1">Demand!B39</f>
        <v xml:space="preserve"> </v>
      </c>
      <c r="AQ30" s="5" t="str">
        <f ca="1">IF(TEXT(Demand!D39,"MMM")&lt;&gt;TEXT(Demand!D38,"MMM"),TEXT(Demand!D39,"MMM"),"")</f>
        <v/>
      </c>
      <c r="AT30" s="5">
        <f t="shared" ca="1" si="12"/>
        <v>4</v>
      </c>
      <c r="BQ30">
        <f ca="1">IF($AN30="",OFFSET(Demand!$A$13,ROW(A27)-1,4+((QUOTIENT(COLUMN(BQ$2)-69,3))*5)+MOD(COLUMN(BQ$2),3),1,1),"")</f>
        <v>0</v>
      </c>
      <c r="BR30">
        <f ca="1">IF($AN30="",OFFSET(Demand!$A$13,ROW(B27)-1,4+((QUOTIENT(COLUMN(BR$2)-69,3))*5)+MOD(COLUMN(BR$2),3),1,1),"")</f>
        <v>0</v>
      </c>
      <c r="BS30">
        <f ca="1">IF($AN30="",OFFSET(Demand!$A$13,ROW(C27)-1,4+((QUOTIENT(COLUMN(BS$2)-69,3))*5)+MOD(COLUMN(BS$2),3),1,1),"")</f>
        <v>62</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42</v>
      </c>
      <c r="DN30" s="322">
        <f t="shared" si="17"/>
        <v>44116</v>
      </c>
      <c r="DO30" s="5">
        <f ca="1">VLOOKUP(IF($DM30&lt;53,$DM30,52),'Summary Calculations (hide)'!$D$15:$F$67,2,0)</f>
        <v>124</v>
      </c>
      <c r="DP30" s="5">
        <f ca="1">VLOOKUP(IF($DM30&lt;53,$DM30,52),'Summary Calculations (hide)'!$D$15:$F$67,3,0)</f>
        <v>136.4</v>
      </c>
      <c r="DQ30" s="5">
        <f ca="1">IF(AND(DN30&gt;='Demand adjustments for Covid'!$F$12,DN30&lt;'Demand adjustments for Covid'!$F$17),'Demand adjustments for Covid'!$F$13,DO30)</f>
        <v>124</v>
      </c>
      <c r="DR30" s="5">
        <f t="shared" si="7"/>
        <v>0</v>
      </c>
      <c r="DS30" s="5">
        <f ca="1">IF('Demand adjustments for Covid'!$F$9="Yes",IF(DR30=0,DQ30,((SUM(DR$4:DR30)-1)*$EE$8)+'Demand adjustments for Covid'!F$13),'Demand background (hide)'!DO30)</f>
        <v>124</v>
      </c>
      <c r="DT30" s="5">
        <f ca="1">IF('Demand adjustments for Covid'!$F$9="Yes",IF(OR(AND(DN30&gt;='Demand adjustments for Covid'!$F$12,DN30&lt;'Demand adjustments for Covid'!$F$17),DR30=1),DS30+3,DP30),'Demand background (hide)'!DP30)</f>
        <v>136.4</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136.4</v>
      </c>
    </row>
    <row r="31" spans="1:128" s="5" customFormat="1" x14ac:dyDescent="0.25">
      <c r="A31" s="5">
        <f t="shared" ca="1" si="3"/>
        <v>0</v>
      </c>
      <c r="B31" s="5">
        <f ca="1">COUNTBLANK(OFFSET(Demand!$I40,0,(COLUMN(A28)-1)*5,1,1))</f>
        <v>0</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140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140</v>
      </c>
      <c r="Y31" s="5">
        <f t="shared" ca="1" si="5"/>
        <v>140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140</v>
      </c>
      <c r="AM31" s="5">
        <f t="shared" ca="1" si="9"/>
        <v>0</v>
      </c>
      <c r="AN31" s="5" t="str">
        <f>IF(Demand!BE40="Yes","Yes","")</f>
        <v/>
      </c>
      <c r="AP31" s="36" t="str">
        <f ca="1">Demand!B40</f>
        <v xml:space="preserve"> </v>
      </c>
      <c r="AQ31" s="5" t="str">
        <f ca="1">IF(TEXT(Demand!D40,"MMM")&lt;&gt;TEXT(Demand!D39,"MMM"),TEXT(Demand!D40,"MMM"),"")</f>
        <v>Sep</v>
      </c>
      <c r="AT31" s="5">
        <f t="shared" ca="1" si="12"/>
        <v>16</v>
      </c>
      <c r="BQ31">
        <f ca="1">IF($AN31="",OFFSET(Demand!$A$13,ROW(A28)-1,4+((QUOTIENT(COLUMN(BQ$2)-69,3))*5)+MOD(COLUMN(BQ$2),3),1,1),"")</f>
        <v>0</v>
      </c>
      <c r="BR31">
        <f ca="1">IF($AN31="",OFFSET(Demand!$A$13,ROW(B28)-1,4+((QUOTIENT(COLUMN(BR$2)-69,3))*5)+MOD(COLUMN(BR$2),3),1,1),"")</f>
        <v>0</v>
      </c>
      <c r="BS31">
        <f ca="1">IF($AN31="",OFFSET(Demand!$A$13,ROW(C28)-1,4+((QUOTIENT(COLUMN(BS$2)-69,3))*5)+MOD(COLUMN(BS$2),3),1,1),"")</f>
        <v>70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43</v>
      </c>
      <c r="DN31" s="322">
        <f t="shared" si="17"/>
        <v>44123</v>
      </c>
      <c r="DO31" s="5">
        <f ca="1">VLOOKUP(IF($DM31&lt;53,$DM31,52),'Summary Calculations (hide)'!$D$15:$F$67,2,0)</f>
        <v>140</v>
      </c>
      <c r="DP31" s="5">
        <f ca="1">VLOOKUP(IF($DM31&lt;53,$DM31,52),'Summary Calculations (hide)'!$D$15:$F$67,3,0)</f>
        <v>154</v>
      </c>
      <c r="DQ31" s="5">
        <f ca="1">IF(AND(DN31&gt;='Demand adjustments for Covid'!$F$12,DN31&lt;'Demand adjustments for Covid'!$F$17),'Demand adjustments for Covid'!$F$13,DO31)</f>
        <v>140</v>
      </c>
      <c r="DR31" s="5">
        <f t="shared" si="7"/>
        <v>0</v>
      </c>
      <c r="DS31" s="5">
        <f ca="1">IF('Demand adjustments for Covid'!$F$9="Yes",IF(DR31=0,DQ31,((SUM(DR$4:DR31)-1)*$EE$8)+'Demand adjustments for Covid'!F$13),'Demand background (hide)'!DO31)</f>
        <v>140</v>
      </c>
      <c r="DT31" s="5">
        <f ca="1">IF('Demand adjustments for Covid'!$F$9="Yes",IF(OR(AND(DN31&gt;='Demand adjustments for Covid'!$F$12,DN31&lt;'Demand adjustments for Covid'!$F$17),DR31=1),DS31+3,DP31),'Demand background (hide)'!DP31)</f>
        <v>154</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154</v>
      </c>
    </row>
    <row r="32" spans="1:128" s="5" customFormat="1" x14ac:dyDescent="0.25">
      <c r="A32" s="5">
        <f t="shared" ca="1" si="3"/>
        <v>0</v>
      </c>
      <c r="B32" s="5">
        <f ca="1">COUNTBLANK(OFFSET(Demand!$I41,0,(COLUMN(A29)-1)*5,1,1))</f>
        <v>0</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148</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148</v>
      </c>
      <c r="Y32" s="5">
        <f t="shared" ca="1" si="5"/>
        <v>148</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148</v>
      </c>
      <c r="AM32" s="5">
        <f t="shared" ca="1" si="9"/>
        <v>0</v>
      </c>
      <c r="AN32" s="5" t="str">
        <f>IF(Demand!BE41="Yes","Yes","")</f>
        <v/>
      </c>
      <c r="AP32" s="36" t="str">
        <f ca="1">Demand!B41</f>
        <v xml:space="preserve"> </v>
      </c>
      <c r="AQ32" s="5" t="str">
        <f ca="1">IF(TEXT(Demand!D41,"MMM")&lt;&gt;TEXT(Demand!D40,"MMM"),TEXT(Demand!D41,"MMM"),"")</f>
        <v/>
      </c>
      <c r="AT32" s="5">
        <f t="shared" ca="1" si="12"/>
        <v>8</v>
      </c>
      <c r="BQ32">
        <f ca="1">IF($AN32="",OFFSET(Demand!$A$13,ROW(A29)-1,4+((QUOTIENT(COLUMN(BQ$2)-69,3))*5)+MOD(COLUMN(BQ$2),3),1,1),"")</f>
        <v>0</v>
      </c>
      <c r="BR32">
        <f ca="1">IF($AN32="",OFFSET(Demand!$A$13,ROW(B29)-1,4+((QUOTIENT(COLUMN(BR$2)-69,3))*5)+MOD(COLUMN(BR$2),3),1,1),"")</f>
        <v>0</v>
      </c>
      <c r="BS32">
        <f ca="1">IF($AN32="",OFFSET(Demand!$A$13,ROW(C29)-1,4+((QUOTIENT(COLUMN(BS$2)-69,3))*5)+MOD(COLUMN(BS$2),3),1,1),"")</f>
        <v>74</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44</v>
      </c>
      <c r="DN32" s="322">
        <f t="shared" si="17"/>
        <v>44130</v>
      </c>
      <c r="DO32" s="5">
        <f ca="1">VLOOKUP(IF($DM32&lt;53,$DM32,52),'Summary Calculations (hide)'!$D$15:$F$67,2,0)</f>
        <v>148</v>
      </c>
      <c r="DP32" s="5">
        <f ca="1">VLOOKUP(IF($DM32&lt;53,$DM32,52),'Summary Calculations (hide)'!$D$15:$F$67,3,0)</f>
        <v>162.80000000000001</v>
      </c>
      <c r="DQ32" s="5">
        <f ca="1">IF(AND(DN32&gt;='Demand adjustments for Covid'!$F$12,DN32&lt;'Demand adjustments for Covid'!$F$17),'Demand adjustments for Covid'!$F$13,DO32)</f>
        <v>148</v>
      </c>
      <c r="DR32" s="5">
        <f t="shared" si="7"/>
        <v>0</v>
      </c>
      <c r="DS32" s="5">
        <f ca="1">IF('Demand adjustments for Covid'!$F$9="Yes",IF(DR32=0,DQ32,((SUM(DR$4:DR32)-1)*$EE$8)+'Demand adjustments for Covid'!F$13),'Demand background (hide)'!DO32)</f>
        <v>148</v>
      </c>
      <c r="DT32" s="5">
        <f ca="1">IF('Demand adjustments for Covid'!$F$9="Yes",IF(OR(AND(DN32&gt;='Demand adjustments for Covid'!$F$12,DN32&lt;'Demand adjustments for Covid'!$F$17),DR32=1),DS32+3,DP32),'Demand background (hide)'!DP32)</f>
        <v>162.80000000000001</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162.80000000000001</v>
      </c>
    </row>
    <row r="33" spans="1:128" s="5" customFormat="1" x14ac:dyDescent="0.25">
      <c r="A33" s="5">
        <f t="shared" ca="1" si="3"/>
        <v>0</v>
      </c>
      <c r="B33" s="5">
        <f ca="1">COUNTBLANK(OFFSET(Demand!$I42,0,(COLUMN(A30)-1)*5,1,1))</f>
        <v>0</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150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150</v>
      </c>
      <c r="Y33" s="5">
        <f t="shared" ca="1" si="5"/>
        <v>150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150</v>
      </c>
      <c r="AM33" s="5">
        <f t="shared" ca="1" si="9"/>
        <v>0</v>
      </c>
      <c r="AN33" s="5" t="str">
        <f>IF(Demand!BE42="Yes","Yes","")</f>
        <v/>
      </c>
      <c r="AP33" s="36" t="str">
        <f ca="1">Demand!B42</f>
        <v xml:space="preserve"> </v>
      </c>
      <c r="AQ33" s="5" t="str">
        <f ca="1">IF(TEXT(Demand!D42,"MMM")&lt;&gt;TEXT(Demand!D41,"MMM"),TEXT(Demand!D42,"MMM"),"")</f>
        <v/>
      </c>
      <c r="AT33" s="5">
        <f t="shared" ca="1" si="12"/>
        <v>2</v>
      </c>
      <c r="BQ33">
        <f ca="1">IF($AN33="",OFFSET(Demand!$A$13,ROW(A30)-1,4+((QUOTIENT(COLUMN(BQ$2)-69,3))*5)+MOD(COLUMN(BQ$2),3),1,1),"")</f>
        <v>0</v>
      </c>
      <c r="BR33">
        <f ca="1">IF($AN33="",OFFSET(Demand!$A$13,ROW(B30)-1,4+((QUOTIENT(COLUMN(BR$2)-69,3))*5)+MOD(COLUMN(BR$2),3),1,1),"")</f>
        <v>0</v>
      </c>
      <c r="BS33">
        <f ca="1">IF($AN33="",OFFSET(Demand!$A$13,ROW(C30)-1,4+((QUOTIENT(COLUMN(BS$2)-69,3))*5)+MOD(COLUMN(BS$2),3),1,1),"")</f>
        <v>75</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45</v>
      </c>
      <c r="DN33" s="322">
        <f t="shared" si="17"/>
        <v>44137</v>
      </c>
      <c r="DO33" s="5">
        <f ca="1">VLOOKUP(IF($DM33&lt;53,$DM33,52),'Summary Calculations (hide)'!$D$15:$F$67,2,0)</f>
        <v>150</v>
      </c>
      <c r="DP33" s="5">
        <f ca="1">VLOOKUP(IF($DM33&lt;53,$DM33,52),'Summary Calculations (hide)'!$D$15:$F$67,3,0)</f>
        <v>165</v>
      </c>
      <c r="DQ33" s="5">
        <f ca="1">IF(AND(DN33&gt;='Demand adjustments for Covid'!$F$12,DN33&lt;'Demand adjustments for Covid'!$F$17),'Demand adjustments for Covid'!$F$13,DO33)</f>
        <v>150</v>
      </c>
      <c r="DR33" s="5">
        <f t="shared" si="7"/>
        <v>0</v>
      </c>
      <c r="DS33" s="5">
        <f ca="1">IF('Demand adjustments for Covid'!$F$9="Yes",IF(DR33=0,DQ33,((SUM(DR$4:DR33)-1)*$EE$8)+'Demand adjustments for Covid'!F$13),'Demand background (hide)'!DO33)</f>
        <v>150</v>
      </c>
      <c r="DT33" s="5">
        <f ca="1">IF('Demand adjustments for Covid'!$F$9="Yes",IF(OR(AND(DN33&gt;='Demand adjustments for Covid'!$F$12,DN33&lt;'Demand adjustments for Covid'!$F$17),DR33=1),DS33+3,DP33),'Demand background (hide)'!DP33)</f>
        <v>165</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165</v>
      </c>
    </row>
    <row r="34" spans="1:128" s="5" customFormat="1" x14ac:dyDescent="0.25">
      <c r="A34" s="5">
        <f t="shared" ca="1" si="3"/>
        <v>0</v>
      </c>
      <c r="B34" s="5">
        <f ca="1">COUNTBLANK(OFFSET(Demand!$I43,0,(COLUMN(A31)-1)*5,1,1))</f>
        <v>0</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142</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142</v>
      </c>
      <c r="Y34" s="5">
        <f t="shared" ca="1" si="5"/>
        <v>142</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142</v>
      </c>
      <c r="AM34" s="5">
        <f t="shared" ca="1" si="9"/>
        <v>0</v>
      </c>
      <c r="AN34" s="5" t="str">
        <f>IF(Demand!BE43="Yes","Yes","")</f>
        <v/>
      </c>
      <c r="AP34" s="36" t="str">
        <f ca="1">Demand!B43</f>
        <v xml:space="preserve"> </v>
      </c>
      <c r="AQ34" s="5" t="str">
        <f ca="1">IF(TEXT(Demand!D43,"MMM")&lt;&gt;TEXT(Demand!D42,"MMM"),TEXT(Demand!D43,"MMM"),"")</f>
        <v/>
      </c>
      <c r="AT34" s="5">
        <f t="shared" ca="1" si="12"/>
        <v>8</v>
      </c>
      <c r="BQ34">
        <f ca="1">IF($AN34="",OFFSET(Demand!$A$13,ROW(A31)-1,4+((QUOTIENT(COLUMN(BQ$2)-69,3))*5)+MOD(COLUMN(BQ$2),3),1,1),"")</f>
        <v>0</v>
      </c>
      <c r="BR34">
        <f ca="1">IF($AN34="",OFFSET(Demand!$A$13,ROW(B31)-1,4+((QUOTIENT(COLUMN(BR$2)-69,3))*5)+MOD(COLUMN(BR$2),3),1,1),"")</f>
        <v>0</v>
      </c>
      <c r="BS34">
        <f ca="1">IF($AN34="",OFFSET(Demand!$A$13,ROW(C31)-1,4+((QUOTIENT(COLUMN(BS$2)-69,3))*5)+MOD(COLUMN(BS$2),3),1,1),"")</f>
        <v>71</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46</v>
      </c>
      <c r="DN34" s="322">
        <f t="shared" si="17"/>
        <v>44144</v>
      </c>
      <c r="DO34" s="5">
        <f ca="1">VLOOKUP(IF($DM34&lt;53,$DM34,52),'Summary Calculations (hide)'!$D$15:$F$67,2,0)</f>
        <v>142</v>
      </c>
      <c r="DP34" s="5">
        <f ca="1">VLOOKUP(IF($DM34&lt;53,$DM34,52),'Summary Calculations (hide)'!$D$15:$F$67,3,0)</f>
        <v>156.20000000000002</v>
      </c>
      <c r="DQ34" s="5">
        <f ca="1">IF(AND(DN34&gt;='Demand adjustments for Covid'!$F$12,DN34&lt;'Demand adjustments for Covid'!$F$17),'Demand adjustments for Covid'!$F$13,DO34)</f>
        <v>142</v>
      </c>
      <c r="DR34" s="5">
        <f t="shared" si="7"/>
        <v>0</v>
      </c>
      <c r="DS34" s="5">
        <f ca="1">IF('Demand adjustments for Covid'!$F$9="Yes",IF(DR34=0,DQ34,((SUM(DR$4:DR34)-1)*$EE$8)+'Demand adjustments for Covid'!F$13),'Demand background (hide)'!DO34)</f>
        <v>142</v>
      </c>
      <c r="DT34" s="5">
        <f ca="1">IF('Demand adjustments for Covid'!$F$9="Yes",IF(OR(AND(DN34&gt;='Demand adjustments for Covid'!$F$12,DN34&lt;'Demand adjustments for Covid'!$F$17),DR34=1),DS34+3,DP34),'Demand background (hide)'!DP34)</f>
        <v>156.20000000000002</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156.20000000000002</v>
      </c>
    </row>
    <row r="35" spans="1:128" s="5" customFormat="1" x14ac:dyDescent="0.25">
      <c r="A35" s="5">
        <f t="shared" ca="1" si="3"/>
        <v>0</v>
      </c>
      <c r="B35" s="5">
        <f ca="1">COUNTBLANK(OFFSET(Demand!$I44,0,(COLUMN(A32)-1)*5,1,1))</f>
        <v>0</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132</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132</v>
      </c>
      <c r="Y35" s="5">
        <f t="shared" ca="1" si="5"/>
        <v>132</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132</v>
      </c>
      <c r="AM35" s="5">
        <f t="shared" ca="1" si="9"/>
        <v>0</v>
      </c>
      <c r="AN35" s="5" t="str">
        <f>IF(Demand!BE44="Yes","Yes","")</f>
        <v/>
      </c>
      <c r="AP35" s="36" t="str">
        <f ca="1">Demand!B44</f>
        <v xml:space="preserve"> </v>
      </c>
      <c r="AQ35" s="5" t="str">
        <f ca="1">IF(TEXT(Demand!D44,"MMM")&lt;&gt;TEXT(Demand!D43,"MMM"),TEXT(Demand!D44,"MMM"),"")</f>
        <v>Oct</v>
      </c>
      <c r="AT35" s="5">
        <f t="shared" ca="1" si="12"/>
        <v>10</v>
      </c>
      <c r="BQ35">
        <f ca="1">IF($AN35="",OFFSET(Demand!$A$13,ROW(A32)-1,4+((QUOTIENT(COLUMN(BQ$2)-69,3))*5)+MOD(COLUMN(BQ$2),3),1,1),"")</f>
        <v>0</v>
      </c>
      <c r="BR35">
        <f ca="1">IF($AN35="",OFFSET(Demand!$A$13,ROW(B32)-1,4+((QUOTIENT(COLUMN(BR$2)-69,3))*5)+MOD(COLUMN(BR$2),3),1,1),"")</f>
        <v>0</v>
      </c>
      <c r="BS35">
        <f ca="1">IF($AN35="",OFFSET(Demand!$A$13,ROW(C32)-1,4+((QUOTIENT(COLUMN(BS$2)-69,3))*5)+MOD(COLUMN(BS$2),3),1,1),"")</f>
        <v>66</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47</v>
      </c>
      <c r="DN35" s="322">
        <f t="shared" si="17"/>
        <v>44151</v>
      </c>
      <c r="DO35" s="5">
        <f ca="1">VLOOKUP(IF($DM35&lt;53,$DM35,52),'Summary Calculations (hide)'!$D$15:$F$67,2,0)</f>
        <v>132</v>
      </c>
      <c r="DP35" s="5">
        <f ca="1">VLOOKUP(IF($DM35&lt;53,$DM35,52),'Summary Calculations (hide)'!$D$15:$F$67,3,0)</f>
        <v>145.20000000000002</v>
      </c>
      <c r="DQ35" s="5">
        <f ca="1">IF(AND(DN35&gt;='Demand adjustments for Covid'!$F$12,DN35&lt;'Demand adjustments for Covid'!$F$17),'Demand adjustments for Covid'!$F$13,DO35)</f>
        <v>132</v>
      </c>
      <c r="DR35" s="5">
        <f t="shared" si="7"/>
        <v>0</v>
      </c>
      <c r="DS35" s="5">
        <f ca="1">IF('Demand adjustments for Covid'!$F$9="Yes",IF(DR35=0,DQ35,((SUM(DR$4:DR35)-1)*$EE$8)+'Demand adjustments for Covid'!F$13),'Demand background (hide)'!DO35)</f>
        <v>132</v>
      </c>
      <c r="DT35" s="5">
        <f ca="1">IF('Demand adjustments for Covid'!$F$9="Yes",IF(OR(AND(DN35&gt;='Demand adjustments for Covid'!$F$12,DN35&lt;'Demand adjustments for Covid'!$F$17),DR35=1),DS35+3,DP35),'Demand background (hide)'!DP35)</f>
        <v>145.20000000000002</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145.20000000000002</v>
      </c>
    </row>
    <row r="36" spans="1:128" s="5" customFormat="1" x14ac:dyDescent="0.25">
      <c r="A36" s="5">
        <f t="shared" ref="A36:A55" ca="1" si="32">SUM(OFFSET(B36,0,0,1,Num_Modalities))</f>
        <v>0</v>
      </c>
      <c r="B36" s="5">
        <f ca="1">COUNTBLANK(OFFSET(Demand!$I45,0,(COLUMN(A33)-1)*5,1,1))</f>
        <v>0</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136</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136</v>
      </c>
      <c r="Y36" s="5">
        <f t="shared" ca="1" si="5"/>
        <v>136</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136</v>
      </c>
      <c r="AM36" s="5">
        <f t="shared" ca="1" si="9"/>
        <v>0</v>
      </c>
      <c r="AN36" s="5" t="str">
        <f>IF(Demand!BE45="Yes","Yes","")</f>
        <v/>
      </c>
      <c r="AP36" s="36" t="str">
        <f ca="1">Demand!B45</f>
        <v xml:space="preserve"> </v>
      </c>
      <c r="AQ36" s="5" t="str">
        <f ca="1">IF(TEXT(Demand!D45,"MMM")&lt;&gt;TEXT(Demand!D44,"MMM"),TEXT(Demand!D45,"MMM"),"")</f>
        <v/>
      </c>
      <c r="AT36" s="5">
        <f t="shared" ca="1" si="12"/>
        <v>4</v>
      </c>
      <c r="BQ36">
        <f ca="1">IF($AN36="",OFFSET(Demand!$A$13,ROW(A33)-1,4+((QUOTIENT(COLUMN(BQ$2)-69,3))*5)+MOD(COLUMN(BQ$2),3),1,1),"")</f>
        <v>0</v>
      </c>
      <c r="BR36">
        <f ca="1">IF($AN36="",OFFSET(Demand!$A$13,ROW(B33)-1,4+((QUOTIENT(COLUMN(BR$2)-69,3))*5)+MOD(COLUMN(BR$2),3),1,1),"")</f>
        <v>0</v>
      </c>
      <c r="BS36">
        <f ca="1">IF($AN36="",OFFSET(Demand!$A$13,ROW(C33)-1,4+((QUOTIENT(COLUMN(BS$2)-69,3))*5)+MOD(COLUMN(BS$2),3),1,1),"")</f>
        <v>68</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48</v>
      </c>
      <c r="DN36" s="322">
        <f t="shared" si="17"/>
        <v>44158</v>
      </c>
      <c r="DO36" s="5">
        <f ca="1">VLOOKUP(IF($DM36&lt;53,$DM36,52),'Summary Calculations (hide)'!$D$15:$F$67,2,0)</f>
        <v>136</v>
      </c>
      <c r="DP36" s="5">
        <f ca="1">VLOOKUP(IF($DM36&lt;53,$DM36,52),'Summary Calculations (hide)'!$D$15:$F$67,3,0)</f>
        <v>149.60000000000002</v>
      </c>
      <c r="DQ36" s="5">
        <f ca="1">IF(AND(DN36&gt;='Demand adjustments for Covid'!$F$12,DN36&lt;'Demand adjustments for Covid'!$F$17),'Demand adjustments for Covid'!$F$13,DO36)</f>
        <v>136</v>
      </c>
      <c r="DR36" s="5">
        <f t="shared" ref="DR36:DR55" si="33">IF(AND(ROW(A33)&gt;=$EE$4,ROW(A33)&lt;=$EE$5),1,0)</f>
        <v>0</v>
      </c>
      <c r="DS36" s="5">
        <f ca="1">IF('Demand adjustments for Covid'!$F$9="Yes",IF(DR36=0,DQ36,((SUM(DR$4:DR36)-1)*$EE$8)+'Demand adjustments for Covid'!F$13),'Demand background (hide)'!DO36)</f>
        <v>136</v>
      </c>
      <c r="DT36" s="5">
        <f ca="1">IF('Demand adjustments for Covid'!$F$9="Yes",IF(OR(AND(DN36&gt;='Demand adjustments for Covid'!$F$12,DN36&lt;'Demand adjustments for Covid'!$F$17),DR36=1),DS36+3,DP36),'Demand background (hide)'!DP36)</f>
        <v>149.60000000000002</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149.60000000000002</v>
      </c>
    </row>
    <row r="37" spans="1:128" s="5" customFormat="1" x14ac:dyDescent="0.25">
      <c r="A37" s="5">
        <f t="shared" ca="1" si="32"/>
        <v>0</v>
      </c>
      <c r="B37" s="5">
        <f ca="1">COUNTBLANK(OFFSET(Demand!$I46,0,(COLUMN(A34)-1)*5,1,1))</f>
        <v>0</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140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140</v>
      </c>
      <c r="Y37" s="5">
        <f t="shared" ca="1" si="5"/>
        <v>140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140</v>
      </c>
      <c r="AM37" s="5">
        <f t="shared" ca="1" si="9"/>
        <v>0</v>
      </c>
      <c r="AN37" s="5" t="str">
        <f>IF(Demand!BE46="Yes","Yes","")</f>
        <v/>
      </c>
      <c r="AP37" s="36" t="str">
        <f ca="1">Demand!B46</f>
        <v xml:space="preserve"> </v>
      </c>
      <c r="AQ37" s="5" t="str">
        <f ca="1">IF(TEXT(Demand!D46,"MMM")&lt;&gt;TEXT(Demand!D45,"MMM"),TEXT(Demand!D46,"MMM"),"")</f>
        <v/>
      </c>
      <c r="AT37" s="5">
        <f t="shared" ca="1" si="12"/>
        <v>4</v>
      </c>
      <c r="BQ37">
        <f ca="1">IF($AN37="",OFFSET(Demand!$A$13,ROW(A34)-1,4+((QUOTIENT(COLUMN(BQ$2)-69,3))*5)+MOD(COLUMN(BQ$2),3),1,1),"")</f>
        <v>0</v>
      </c>
      <c r="BR37">
        <f ca="1">IF($AN37="",OFFSET(Demand!$A$13,ROW(B34)-1,4+((QUOTIENT(COLUMN(BR$2)-69,3))*5)+MOD(COLUMN(BR$2),3),1,1),"")</f>
        <v>0</v>
      </c>
      <c r="BS37">
        <f ca="1">IF($AN37="",OFFSET(Demand!$A$13,ROW(C34)-1,4+((QUOTIENT(COLUMN(BS$2)-69,3))*5)+MOD(COLUMN(BS$2),3),1,1),"")</f>
        <v>70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49</v>
      </c>
      <c r="DN37" s="322">
        <f t="shared" si="17"/>
        <v>44165</v>
      </c>
      <c r="DO37" s="5">
        <f ca="1">VLOOKUP(IF($DM37&lt;53,$DM37,52),'Summary Calculations (hide)'!$D$15:$F$67,2,0)</f>
        <v>140</v>
      </c>
      <c r="DP37" s="5">
        <f ca="1">VLOOKUP(IF($DM37&lt;53,$DM37,52),'Summary Calculations (hide)'!$D$15:$F$67,3,0)</f>
        <v>154</v>
      </c>
      <c r="DQ37" s="5">
        <f ca="1">IF(AND(DN37&gt;='Demand adjustments for Covid'!$F$12,DN37&lt;'Demand adjustments for Covid'!$F$17),'Demand adjustments for Covid'!$F$13,DO37)</f>
        <v>140</v>
      </c>
      <c r="DR37" s="5">
        <f t="shared" si="33"/>
        <v>0</v>
      </c>
      <c r="DS37" s="5">
        <f ca="1">IF('Demand adjustments for Covid'!$F$9="Yes",IF(DR37=0,DQ37,((SUM(DR$4:DR37)-1)*$EE$8)+'Demand adjustments for Covid'!F$13),'Demand background (hide)'!DO37)</f>
        <v>140</v>
      </c>
      <c r="DT37" s="5">
        <f ca="1">IF('Demand adjustments for Covid'!$F$9="Yes",IF(OR(AND(DN37&gt;='Demand adjustments for Covid'!$F$12,DN37&lt;'Demand adjustments for Covid'!$F$17),DR37=1),DS37+3,DP37),'Demand background (hide)'!DP37)</f>
        <v>154</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154</v>
      </c>
    </row>
    <row r="38" spans="1:128" s="5" customFormat="1" x14ac:dyDescent="0.25">
      <c r="A38" s="5">
        <f t="shared" ca="1" si="32"/>
        <v>0</v>
      </c>
      <c r="B38" s="5">
        <f ca="1">COUNTBLANK(OFFSET(Demand!$I47,0,(COLUMN(A35)-1)*5,1,1))</f>
        <v>0</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144</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144</v>
      </c>
      <c r="Y38" s="5">
        <f t="shared" ca="1" si="5"/>
        <v>144</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144</v>
      </c>
      <c r="AM38" s="5">
        <f t="shared" ca="1" si="9"/>
        <v>0</v>
      </c>
      <c r="AN38" s="5" t="str">
        <f>IF(Demand!BE47="Yes","Yes","")</f>
        <v/>
      </c>
      <c r="AP38" s="36" t="str">
        <f ca="1">Demand!B47</f>
        <v xml:space="preserve"> </v>
      </c>
      <c r="AQ38" s="5" t="str">
        <f ca="1">IF(TEXT(Demand!D47,"MMM")&lt;&gt;TEXT(Demand!D46,"MMM"),TEXT(Demand!D47,"MMM"),"")</f>
        <v/>
      </c>
      <c r="AT38" s="5">
        <f t="shared" ca="1" si="12"/>
        <v>4</v>
      </c>
      <c r="BQ38">
        <f ca="1">IF($AN38="",OFFSET(Demand!$A$13,ROW(A35)-1,4+((QUOTIENT(COLUMN(BQ$2)-69,3))*5)+MOD(COLUMN(BQ$2),3),1,1),"")</f>
        <v>0</v>
      </c>
      <c r="BR38">
        <f ca="1">IF($AN38="",OFFSET(Demand!$A$13,ROW(B35)-1,4+((QUOTIENT(COLUMN(BR$2)-69,3))*5)+MOD(COLUMN(BR$2),3),1,1),"")</f>
        <v>0</v>
      </c>
      <c r="BS38">
        <f ca="1">IF($AN38="",OFFSET(Demand!$A$13,ROW(C35)-1,4+((QUOTIENT(COLUMN(BS$2)-69,3))*5)+MOD(COLUMN(BS$2),3),1,1),"")</f>
        <v>72</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50</v>
      </c>
      <c r="DN38" s="322">
        <f t="shared" si="17"/>
        <v>44172</v>
      </c>
      <c r="DO38" s="5">
        <f ca="1">VLOOKUP(IF($DM38&lt;53,$DM38,52),'Summary Calculations (hide)'!$D$15:$F$67,2,0)</f>
        <v>144</v>
      </c>
      <c r="DP38" s="5">
        <f ca="1">VLOOKUP(IF($DM38&lt;53,$DM38,52),'Summary Calculations (hide)'!$D$15:$F$67,3,0)</f>
        <v>158.4</v>
      </c>
      <c r="DQ38" s="5">
        <f ca="1">IF(AND(DN38&gt;='Demand adjustments for Covid'!$F$12,DN38&lt;'Demand adjustments for Covid'!$F$17),'Demand adjustments for Covid'!$F$13,DO38)</f>
        <v>144</v>
      </c>
      <c r="DR38" s="5">
        <f t="shared" si="33"/>
        <v>0</v>
      </c>
      <c r="DS38" s="5">
        <f ca="1">IF('Demand adjustments for Covid'!$F$9="Yes",IF(DR38=0,DQ38,((SUM(DR$4:DR38)-1)*$EE$8)+'Demand adjustments for Covid'!F$13),'Demand background (hide)'!DO38)</f>
        <v>144</v>
      </c>
      <c r="DT38" s="5">
        <f ca="1">IF('Demand adjustments for Covid'!$F$9="Yes",IF(OR(AND(DN38&gt;='Demand adjustments for Covid'!$F$12,DN38&lt;'Demand adjustments for Covid'!$F$17),DR38=1),DS38+3,DP38),'Demand background (hide)'!DP38)</f>
        <v>158.4</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158.4</v>
      </c>
    </row>
    <row r="39" spans="1:128" s="5" customFormat="1" x14ac:dyDescent="0.25">
      <c r="A39" s="5">
        <f t="shared" ca="1" si="32"/>
        <v>0</v>
      </c>
      <c r="B39" s="5">
        <f ca="1">COUNTBLANK(OFFSET(Demand!$I48,0,(COLUMN(A36)-1)*5,1,1))</f>
        <v>0</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124</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124</v>
      </c>
      <c r="Y39" s="5">
        <f t="shared" ca="1" si="5"/>
        <v>124</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124</v>
      </c>
      <c r="AM39" s="5">
        <f t="shared" ca="1" si="9"/>
        <v>0</v>
      </c>
      <c r="AN39" s="5" t="str">
        <f>IF(Demand!BE48="Yes","Yes","")</f>
        <v/>
      </c>
      <c r="AP39" s="36" t="str">
        <f ca="1">Demand!B48</f>
        <v xml:space="preserve"> </v>
      </c>
      <c r="AQ39" s="5" t="str">
        <f ca="1">IF(TEXT(Demand!D48,"MMM")&lt;&gt;TEXT(Demand!D47,"MMM"),TEXT(Demand!D48,"MMM"),"")</f>
        <v>Nov</v>
      </c>
      <c r="AT39" s="5">
        <f t="shared" ca="1" si="12"/>
        <v>20</v>
      </c>
      <c r="BQ39">
        <f ca="1">IF($AN39="",OFFSET(Demand!$A$13,ROW(A36)-1,4+((QUOTIENT(COLUMN(BQ$2)-69,3))*5)+MOD(COLUMN(BQ$2),3),1,1),"")</f>
        <v>0</v>
      </c>
      <c r="BR39">
        <f ca="1">IF($AN39="",OFFSET(Demand!$A$13,ROW(B36)-1,4+((QUOTIENT(COLUMN(BR$2)-69,3))*5)+MOD(COLUMN(BR$2),3),1,1),"")</f>
        <v>0</v>
      </c>
      <c r="BS39">
        <f ca="1">IF($AN39="",OFFSET(Demand!$A$13,ROW(C36)-1,4+((QUOTIENT(COLUMN(BS$2)-69,3))*5)+MOD(COLUMN(BS$2),3),1,1),"")</f>
        <v>62</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51</v>
      </c>
      <c r="DN39" s="322">
        <f t="shared" si="17"/>
        <v>44179</v>
      </c>
      <c r="DO39" s="5">
        <f ca="1">VLOOKUP(IF($DM39&lt;53,$DM39,52),'Summary Calculations (hide)'!$D$15:$F$67,2,0)</f>
        <v>124</v>
      </c>
      <c r="DP39" s="5">
        <f ca="1">VLOOKUP(IF($DM39&lt;53,$DM39,52),'Summary Calculations (hide)'!$D$15:$F$67,3,0)</f>
        <v>136.4</v>
      </c>
      <c r="DQ39" s="5">
        <f ca="1">IF(AND(DN39&gt;='Demand adjustments for Covid'!$F$12,DN39&lt;'Demand adjustments for Covid'!$F$17),'Demand adjustments for Covid'!$F$13,DO39)</f>
        <v>124</v>
      </c>
      <c r="DR39" s="5">
        <f t="shared" si="33"/>
        <v>0</v>
      </c>
      <c r="DS39" s="5">
        <f ca="1">IF('Demand adjustments for Covid'!$F$9="Yes",IF(DR39=0,DQ39,((SUM(DR$4:DR39)-1)*$EE$8)+'Demand adjustments for Covid'!F$13),'Demand background (hide)'!DO39)</f>
        <v>124</v>
      </c>
      <c r="DT39" s="5">
        <f ca="1">IF('Demand adjustments for Covid'!$F$9="Yes",IF(OR(AND(DN39&gt;='Demand adjustments for Covid'!$F$12,DN39&lt;'Demand adjustments for Covid'!$F$17),DR39=1),DS39+3,DP39),'Demand background (hide)'!DP39)</f>
        <v>136.4</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136.4</v>
      </c>
    </row>
    <row r="40" spans="1:128" s="5" customFormat="1" x14ac:dyDescent="0.25">
      <c r="A40" s="5">
        <f t="shared" ca="1" si="32"/>
        <v>0</v>
      </c>
      <c r="B40" s="5">
        <f ca="1">COUNTBLANK(OFFSET(Demand!$I49,0,(COLUMN(A37)-1)*5,1,1))</f>
        <v>0</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142</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142</v>
      </c>
      <c r="Y40" s="5">
        <f t="shared" ca="1" si="5"/>
        <v>142</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142</v>
      </c>
      <c r="AM40" s="5">
        <f t="shared" ca="1" si="9"/>
        <v>0</v>
      </c>
      <c r="AN40" s="5" t="str">
        <f>IF(Demand!BE49="Yes","Yes","")</f>
        <v/>
      </c>
      <c r="AP40" s="36" t="str">
        <f ca="1">Demand!B49</f>
        <v xml:space="preserve"> </v>
      </c>
      <c r="AQ40" s="5" t="str">
        <f ca="1">IF(TEXT(Demand!D49,"MMM")&lt;&gt;TEXT(Demand!D48,"MMM"),TEXT(Demand!D49,"MMM"),"")</f>
        <v/>
      </c>
      <c r="AT40" s="5">
        <f t="shared" ca="1" si="12"/>
        <v>18</v>
      </c>
      <c r="BQ40">
        <f ca="1">IF($AN40="",OFFSET(Demand!$A$13,ROW(A37)-1,4+((QUOTIENT(COLUMN(BQ$2)-69,3))*5)+MOD(COLUMN(BQ$2),3),1,1),"")</f>
        <v>0</v>
      </c>
      <c r="BR40">
        <f ca="1">IF($AN40="",OFFSET(Demand!$A$13,ROW(B37)-1,4+((QUOTIENT(COLUMN(BR$2)-69,3))*5)+MOD(COLUMN(BR$2),3),1,1),"")</f>
        <v>0</v>
      </c>
      <c r="BS40">
        <f ca="1">IF($AN40="",OFFSET(Demand!$A$13,ROW(C37)-1,4+((QUOTIENT(COLUMN(BS$2)-69,3))*5)+MOD(COLUMN(BS$2),3),1,1),"")</f>
        <v>71</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52</v>
      </c>
      <c r="DN40" s="322">
        <f t="shared" si="17"/>
        <v>44186</v>
      </c>
      <c r="DO40" s="5">
        <f ca="1">VLOOKUP(IF($DM40&lt;53,$DM40,52),'Summary Calculations (hide)'!$D$15:$F$67,2,0)</f>
        <v>142</v>
      </c>
      <c r="DP40" s="5">
        <f ca="1">VLOOKUP(IF($DM40&lt;53,$DM40,52),'Summary Calculations (hide)'!$D$15:$F$67,3,0)</f>
        <v>156.20000000000002</v>
      </c>
      <c r="DQ40" s="5">
        <f ca="1">IF(AND(DN40&gt;='Demand adjustments for Covid'!$F$12,DN40&lt;'Demand adjustments for Covid'!$F$17),'Demand adjustments for Covid'!$F$13,DO40)</f>
        <v>142</v>
      </c>
      <c r="DR40" s="5">
        <f t="shared" si="33"/>
        <v>0</v>
      </c>
      <c r="DS40" s="5">
        <f ca="1">IF('Demand adjustments for Covid'!$F$9="Yes",IF(DR40=0,DQ40,((SUM(DR$4:DR40)-1)*$EE$8)+'Demand adjustments for Covid'!F$13),'Demand background (hide)'!DO40)</f>
        <v>142</v>
      </c>
      <c r="DT40" s="5">
        <f ca="1">IF('Demand adjustments for Covid'!$F$9="Yes",IF(OR(AND(DN40&gt;='Demand adjustments for Covid'!$F$12,DN40&lt;'Demand adjustments for Covid'!$F$17),DR40=1),DS40+3,DP40),'Demand background (hide)'!DP40)</f>
        <v>156.20000000000002</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156.20000000000002</v>
      </c>
    </row>
    <row r="41" spans="1:128" s="5" customFormat="1" x14ac:dyDescent="0.25">
      <c r="A41" s="5">
        <f t="shared" ca="1" si="32"/>
        <v>0</v>
      </c>
      <c r="B41" s="5">
        <f ca="1">COUNTBLANK(OFFSET(Demand!$I50,0,(COLUMN(A38)-1)*5,1,1))</f>
        <v>0</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156</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156</v>
      </c>
      <c r="Y41" s="5">
        <f t="shared" ca="1" si="5"/>
        <v>156</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156</v>
      </c>
      <c r="AM41" s="5">
        <f t="shared" ca="1" si="9"/>
        <v>0</v>
      </c>
      <c r="AN41" s="5" t="str">
        <f>IF(Demand!BE50="Yes","Yes","")</f>
        <v/>
      </c>
      <c r="AP41" s="36" t="str">
        <f ca="1">Demand!B50</f>
        <v xml:space="preserve"> </v>
      </c>
      <c r="AQ41" s="5" t="str">
        <f ca="1">IF(TEXT(Demand!D50,"MMM")&lt;&gt;TEXT(Demand!D49,"MMM"),TEXT(Demand!D50,"MMM"),"")</f>
        <v/>
      </c>
      <c r="AT41" s="5">
        <f t="shared" ca="1" si="12"/>
        <v>14</v>
      </c>
      <c r="BQ41">
        <f ca="1">IF($AN41="",OFFSET(Demand!$A$13,ROW(A38)-1,4+((QUOTIENT(COLUMN(BQ$2)-69,3))*5)+MOD(COLUMN(BQ$2),3),1,1),"")</f>
        <v>0</v>
      </c>
      <c r="BR41">
        <f ca="1">IF($AN41="",OFFSET(Demand!$A$13,ROW(B38)-1,4+((QUOTIENT(COLUMN(BR$2)-69,3))*5)+MOD(COLUMN(BR$2),3),1,1),"")</f>
        <v>0</v>
      </c>
      <c r="BS41">
        <f ca="1">IF($AN41="",OFFSET(Demand!$A$13,ROW(C38)-1,4+((QUOTIENT(COLUMN(BS$2)-69,3))*5)+MOD(COLUMN(BS$2),3),1,1),"")</f>
        <v>78</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53</v>
      </c>
      <c r="DN41" s="322">
        <f t="shared" si="17"/>
        <v>44193</v>
      </c>
      <c r="DO41" s="5">
        <f ca="1">VLOOKUP(IF($DM41&lt;53,$DM41,52),'Summary Calculations (hide)'!$D$15:$F$67,2,0)</f>
        <v>142</v>
      </c>
      <c r="DP41" s="5">
        <f ca="1">VLOOKUP(IF($DM41&lt;53,$DM41,52),'Summary Calculations (hide)'!$D$15:$F$67,3,0)</f>
        <v>156.20000000000002</v>
      </c>
      <c r="DQ41" s="5">
        <f ca="1">IF(AND(DN41&gt;='Demand adjustments for Covid'!$F$12,DN41&lt;'Demand adjustments for Covid'!$F$17),'Demand adjustments for Covid'!$F$13,DO41)</f>
        <v>142</v>
      </c>
      <c r="DR41" s="5">
        <f t="shared" si="33"/>
        <v>0</v>
      </c>
      <c r="DS41" s="5">
        <f ca="1">IF('Demand adjustments for Covid'!$F$9="Yes",IF(DR41=0,DQ41,((SUM(DR$4:DR41)-1)*$EE$8)+'Demand adjustments for Covid'!F$13),'Demand background (hide)'!DO41)</f>
        <v>142</v>
      </c>
      <c r="DT41" s="5">
        <f ca="1">IF('Demand adjustments for Covid'!$F$9="Yes",IF(OR(AND(DN41&gt;='Demand adjustments for Covid'!$F$12,DN41&lt;'Demand adjustments for Covid'!$F$17),DR41=1),DS41+3,DP41),'Demand background (hide)'!DP41)</f>
        <v>156.20000000000002</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156.20000000000002</v>
      </c>
    </row>
    <row r="42" spans="1:128" s="5" customFormat="1" x14ac:dyDescent="0.25">
      <c r="A42" s="5">
        <f t="shared" ca="1" si="32"/>
        <v>0</v>
      </c>
      <c r="B42" s="5">
        <f ca="1">COUNTBLANK(OFFSET(Demand!$I51,0,(COLUMN(A39)-1)*5,1,1))</f>
        <v>0</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140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140</v>
      </c>
      <c r="Y42" s="5">
        <f t="shared" ca="1" si="5"/>
        <v>140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140</v>
      </c>
      <c r="AM42" s="5">
        <f t="shared" ca="1" si="9"/>
        <v>0</v>
      </c>
      <c r="AN42" s="5" t="str">
        <f>IF(Demand!BE51="Yes","Yes","")</f>
        <v/>
      </c>
      <c r="AP42" s="36" t="str">
        <f ca="1">Demand!B51</f>
        <v xml:space="preserve"> </v>
      </c>
      <c r="AQ42" s="5" t="str">
        <f ca="1">IF(TEXT(Demand!D51,"MMM")&lt;&gt;TEXT(Demand!D50,"MMM"),TEXT(Demand!D51,"MMM"),"")</f>
        <v/>
      </c>
      <c r="AT42" s="5">
        <f t="shared" ca="1" si="12"/>
        <v>16</v>
      </c>
      <c r="BQ42">
        <f ca="1">IF($AN42="",OFFSET(Demand!$A$13,ROW(A39)-1,4+((QUOTIENT(COLUMN(BQ$2)-69,3))*5)+MOD(COLUMN(BQ$2),3),1,1),"")</f>
        <v>0</v>
      </c>
      <c r="BR42">
        <f ca="1">IF($AN42="",OFFSET(Demand!$A$13,ROW(B39)-1,4+((QUOTIENT(COLUMN(BR$2)-69,3))*5)+MOD(COLUMN(BR$2),3),1,1),"")</f>
        <v>0</v>
      </c>
      <c r="BS42">
        <f ca="1">IF($AN42="",OFFSET(Demand!$A$13,ROW(C39)-1,4+((QUOTIENT(COLUMN(BS$2)-69,3))*5)+MOD(COLUMN(BS$2),3),1,1),"")</f>
        <v>70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1</v>
      </c>
      <c r="DN42" s="322">
        <f t="shared" si="17"/>
        <v>44200</v>
      </c>
      <c r="DO42" s="5">
        <f ca="1">VLOOKUP(IF($DM42&lt;53,$DM42,52),'Summary Calculations (hide)'!$D$15:$F$67,2,0)</f>
        <v>140</v>
      </c>
      <c r="DP42" s="5">
        <f ca="1">VLOOKUP(IF($DM42&lt;53,$DM42,52),'Summary Calculations (hide)'!$D$15:$F$67,3,0)</f>
        <v>154</v>
      </c>
      <c r="DQ42" s="5">
        <f ca="1">IF(AND(DN42&gt;='Demand adjustments for Covid'!$F$12,DN42&lt;'Demand adjustments for Covid'!$F$17),'Demand adjustments for Covid'!$F$13,DO42)</f>
        <v>140</v>
      </c>
      <c r="DR42" s="5">
        <f t="shared" si="33"/>
        <v>0</v>
      </c>
      <c r="DS42" s="5">
        <f ca="1">IF('Demand adjustments for Covid'!$F$9="Yes",IF(DR42=0,DQ42,((SUM(DR$4:DR42)-1)*$EE$8)+'Demand adjustments for Covid'!F$13),'Demand background (hide)'!DO42)</f>
        <v>140</v>
      </c>
      <c r="DT42" s="5">
        <f ca="1">IF('Demand adjustments for Covid'!$F$9="Yes",IF(OR(AND(DN42&gt;='Demand adjustments for Covid'!$F$12,DN42&lt;'Demand adjustments for Covid'!$F$17),DR42=1),DS42+3,DP42),'Demand background (hide)'!DP42)</f>
        <v>154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154</v>
      </c>
    </row>
    <row r="43" spans="1:128" s="5" customFormat="1" x14ac:dyDescent="0.25">
      <c r="A43" s="5">
        <f t="shared" ca="1" si="32"/>
        <v>0</v>
      </c>
      <c r="B43" s="5">
        <f ca="1">COUNTBLANK(OFFSET(Demand!$I52,0,(COLUMN(A40)-1)*5,1,1))</f>
        <v>0</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130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130</v>
      </c>
      <c r="Y43" s="5">
        <f t="shared" ca="1" si="5"/>
        <v>130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130</v>
      </c>
      <c r="AM43" s="5">
        <f t="shared" ca="1" si="9"/>
        <v>0</v>
      </c>
      <c r="AN43" s="5" t="str">
        <f>IF(Demand!BE52="Yes","Yes","")</f>
        <v/>
      </c>
      <c r="AP43" s="36" t="str">
        <f ca="1">Demand!B52</f>
        <v xml:space="preserve"> </v>
      </c>
      <c r="AQ43" s="5" t="str">
        <f ca="1">IF(TEXT(Demand!D52,"MMM")&lt;&gt;TEXT(Demand!D51,"MMM"),TEXT(Demand!D52,"MMM"),"")</f>
        <v/>
      </c>
      <c r="AT43" s="5">
        <f t="shared" ca="1" si="12"/>
        <v>10</v>
      </c>
      <c r="BQ43">
        <f ca="1">IF($AN43="",OFFSET(Demand!$A$13,ROW(A40)-1,4+((QUOTIENT(COLUMN(BQ$2)-69,3))*5)+MOD(COLUMN(BQ$2),3),1,1),"")</f>
        <v>0</v>
      </c>
      <c r="BR43">
        <f ca="1">IF($AN43="",OFFSET(Demand!$A$13,ROW(B40)-1,4+((QUOTIENT(COLUMN(BR$2)-69,3))*5)+MOD(COLUMN(BR$2),3),1,1),"")</f>
        <v>0</v>
      </c>
      <c r="BS43">
        <f ca="1">IF($AN43="",OFFSET(Demand!$A$13,ROW(C40)-1,4+((QUOTIENT(COLUMN(BS$2)-69,3))*5)+MOD(COLUMN(BS$2),3),1,1),"")</f>
        <v>65</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2</v>
      </c>
      <c r="DN43" s="322">
        <f t="shared" si="17"/>
        <v>44207</v>
      </c>
      <c r="DO43" s="5">
        <f ca="1">VLOOKUP(IF($DM43&lt;53,$DM43,52),'Summary Calculations (hide)'!$D$15:$F$67,2,0)</f>
        <v>130</v>
      </c>
      <c r="DP43" s="5">
        <f ca="1">VLOOKUP(IF($DM43&lt;53,$DM43,52),'Summary Calculations (hide)'!$D$15:$F$67,3,0)</f>
        <v>143</v>
      </c>
      <c r="DQ43" s="5">
        <f ca="1">IF(AND(DN43&gt;='Demand adjustments for Covid'!$F$12,DN43&lt;'Demand adjustments for Covid'!$F$17),'Demand adjustments for Covid'!$F$13,DO43)</f>
        <v>130</v>
      </c>
      <c r="DR43" s="5">
        <f t="shared" si="33"/>
        <v>0</v>
      </c>
      <c r="DS43" s="5">
        <f ca="1">IF('Demand adjustments for Covid'!$F$9="Yes",IF(DR43=0,DQ43,((SUM(DR$4:DR43)-1)*$EE$8)+'Demand adjustments for Covid'!F$13),'Demand background (hide)'!DO43)</f>
        <v>130</v>
      </c>
      <c r="DT43" s="5">
        <f ca="1">IF('Demand adjustments for Covid'!$F$9="Yes",IF(OR(AND(DN43&gt;='Demand adjustments for Covid'!$F$12,DN43&lt;'Demand adjustments for Covid'!$F$17),DR43=1),DS43+3,DP43),'Demand background (hide)'!DP43)</f>
        <v>143</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143</v>
      </c>
    </row>
    <row r="44" spans="1:128" s="5" customFormat="1" x14ac:dyDescent="0.25">
      <c r="A44" s="5">
        <f t="shared" ca="1" si="32"/>
        <v>0</v>
      </c>
      <c r="B44" s="5">
        <f ca="1">COUNTBLANK(OFFSET(Demand!$I53,0,(COLUMN(A41)-1)*5,1,1))</f>
        <v>0</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120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120</v>
      </c>
      <c r="Y44" s="5">
        <f t="shared" ca="1" si="5"/>
        <v>120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120</v>
      </c>
      <c r="AM44" s="5">
        <f t="shared" ca="1" si="9"/>
        <v>0</v>
      </c>
      <c r="AN44" s="5" t="str">
        <f>IF(Demand!BE53="Yes","Yes","")</f>
        <v/>
      </c>
      <c r="AP44" s="36" t="str">
        <f ca="1">Demand!B53</f>
        <v xml:space="preserve"> </v>
      </c>
      <c r="AQ44" s="5" t="str">
        <f ca="1">IF(TEXT(Demand!D53,"MMM")&lt;&gt;TEXT(Demand!D52,"MMM"),TEXT(Demand!D53,"MMM"),"")</f>
        <v>Dec</v>
      </c>
      <c r="AT44" s="5">
        <f t="shared" ca="1" si="12"/>
        <v>10</v>
      </c>
      <c r="BQ44">
        <f ca="1">IF($AN44="",OFFSET(Demand!$A$13,ROW(A41)-1,4+((QUOTIENT(COLUMN(BQ$2)-69,3))*5)+MOD(COLUMN(BQ$2),3),1,1),"")</f>
        <v>0</v>
      </c>
      <c r="BR44">
        <f ca="1">IF($AN44="",OFFSET(Demand!$A$13,ROW(B41)-1,4+((QUOTIENT(COLUMN(BR$2)-69,3))*5)+MOD(COLUMN(BR$2),3),1,1),"")</f>
        <v>0</v>
      </c>
      <c r="BS44">
        <f ca="1">IF($AN44="",OFFSET(Demand!$A$13,ROW(C41)-1,4+((QUOTIENT(COLUMN(BS$2)-69,3))*5)+MOD(COLUMN(BS$2),3),1,1),"")</f>
        <v>60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3</v>
      </c>
      <c r="DN44" s="322">
        <f t="shared" si="17"/>
        <v>44214</v>
      </c>
      <c r="DO44" s="5">
        <f ca="1">VLOOKUP(IF($DM44&lt;53,$DM44,52),'Summary Calculations (hide)'!$D$15:$F$67,2,0)</f>
        <v>120</v>
      </c>
      <c r="DP44" s="5">
        <f ca="1">VLOOKUP(IF($DM44&lt;53,$DM44,52),'Summary Calculations (hide)'!$D$15:$F$67,3,0)</f>
        <v>132</v>
      </c>
      <c r="DQ44" s="5">
        <f ca="1">IF(AND(DN44&gt;='Demand adjustments for Covid'!$F$12,DN44&lt;'Demand adjustments for Covid'!$F$17),'Demand adjustments for Covid'!$F$13,DO44)</f>
        <v>120</v>
      </c>
      <c r="DR44" s="5">
        <f t="shared" si="33"/>
        <v>0</v>
      </c>
      <c r="DS44" s="5">
        <f ca="1">IF('Demand adjustments for Covid'!$F$9="Yes",IF(DR44=0,DQ44,((SUM(DR$4:DR44)-1)*$EE$8)+'Demand adjustments for Covid'!F$13),'Demand background (hide)'!DO44)</f>
        <v>120</v>
      </c>
      <c r="DT44" s="5">
        <f ca="1">IF('Demand adjustments for Covid'!$F$9="Yes",IF(OR(AND(DN44&gt;='Demand adjustments for Covid'!$F$12,DN44&lt;'Demand adjustments for Covid'!$F$17),DR44=1),DS44+3,DP44),'Demand background (hide)'!DP44)</f>
        <v>132</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132</v>
      </c>
    </row>
    <row r="45" spans="1:128" s="5" customFormat="1" x14ac:dyDescent="0.25">
      <c r="A45" s="5">
        <f t="shared" ca="1" si="32"/>
        <v>0</v>
      </c>
      <c r="B45" s="5">
        <f ca="1">COUNTBLANK(OFFSET(Demand!$I54,0,(COLUMN(A42)-1)*5,1,1))</f>
        <v>0</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150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150</v>
      </c>
      <c r="Y45" s="5">
        <f t="shared" ca="1" si="5"/>
        <v>150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150</v>
      </c>
      <c r="AM45" s="5">
        <f t="shared" ca="1" si="9"/>
        <v>0</v>
      </c>
      <c r="AN45" s="5" t="str">
        <f>IF(Demand!BE54="Yes","Yes","")</f>
        <v/>
      </c>
      <c r="AP45" s="36" t="str">
        <f ca="1">Demand!B54</f>
        <v xml:space="preserve"> </v>
      </c>
      <c r="AQ45" s="5" t="str">
        <f ca="1">IF(TEXT(Demand!D54,"MMM")&lt;&gt;TEXT(Demand!D53,"MMM"),TEXT(Demand!D54,"MMM"),"")</f>
        <v/>
      </c>
      <c r="AT45" s="5">
        <f t="shared" ca="1" si="12"/>
        <v>30</v>
      </c>
      <c r="BQ45">
        <f ca="1">IF($AN45="",OFFSET(Demand!$A$13,ROW(A42)-1,4+((QUOTIENT(COLUMN(BQ$2)-69,3))*5)+MOD(COLUMN(BQ$2),3),1,1),"")</f>
        <v>0</v>
      </c>
      <c r="BR45">
        <f ca="1">IF($AN45="",OFFSET(Demand!$A$13,ROW(B42)-1,4+((QUOTIENT(COLUMN(BR$2)-69,3))*5)+MOD(COLUMN(BR$2),3),1,1),"")</f>
        <v>0</v>
      </c>
      <c r="BS45">
        <f ca="1">IF($AN45="",OFFSET(Demand!$A$13,ROW(C42)-1,4+((QUOTIENT(COLUMN(BS$2)-69,3))*5)+MOD(COLUMN(BS$2),3),1,1),"")</f>
        <v>75</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4</v>
      </c>
      <c r="DN45" s="322">
        <f t="shared" si="17"/>
        <v>44221</v>
      </c>
      <c r="DO45" s="5">
        <f ca="1">VLOOKUP(IF($DM45&lt;53,$DM45,52),'Summary Calculations (hide)'!$D$15:$F$67,2,0)</f>
        <v>150</v>
      </c>
      <c r="DP45" s="5">
        <f ca="1">VLOOKUP(IF($DM45&lt;53,$DM45,52),'Summary Calculations (hide)'!$D$15:$F$67,3,0)</f>
        <v>165</v>
      </c>
      <c r="DQ45" s="5">
        <f ca="1">IF(AND(DN45&gt;='Demand adjustments for Covid'!$F$12,DN45&lt;'Demand adjustments for Covid'!$F$17),'Demand adjustments for Covid'!$F$13,DO45)</f>
        <v>150</v>
      </c>
      <c r="DR45" s="5">
        <f t="shared" si="33"/>
        <v>0</v>
      </c>
      <c r="DS45" s="5">
        <f ca="1">IF('Demand adjustments for Covid'!$F$9="Yes",IF(DR45=0,DQ45,((SUM(DR$4:DR45)-1)*$EE$8)+'Demand adjustments for Covid'!F$13),'Demand background (hide)'!DO45)</f>
        <v>150</v>
      </c>
      <c r="DT45" s="5">
        <f ca="1">IF('Demand adjustments for Covid'!$F$9="Yes",IF(OR(AND(DN45&gt;='Demand adjustments for Covid'!$F$12,DN45&lt;'Demand adjustments for Covid'!$F$17),DR45=1),DS45+3,DP45),'Demand background (hide)'!DP45)</f>
        <v>165</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165</v>
      </c>
    </row>
    <row r="46" spans="1:128" s="5" customFormat="1" x14ac:dyDescent="0.25">
      <c r="A46" s="5">
        <f t="shared" ca="1" si="32"/>
        <v>0</v>
      </c>
      <c r="B46" s="5">
        <f ca="1">COUNTBLANK(OFFSET(Demand!$I55,0,(COLUMN(A43)-1)*5,1,1))</f>
        <v>0</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154</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154</v>
      </c>
      <c r="Y46" s="5">
        <f t="shared" ca="1" si="5"/>
        <v>154</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154</v>
      </c>
      <c r="AM46" s="5">
        <f t="shared" ca="1" si="9"/>
        <v>0</v>
      </c>
      <c r="AN46" s="5" t="str">
        <f>IF(Demand!BE55="Yes","Yes","")</f>
        <v/>
      </c>
      <c r="AP46" s="36" t="str">
        <f ca="1">Demand!B55</f>
        <v xml:space="preserve"> </v>
      </c>
      <c r="AQ46" s="5" t="str">
        <f ca="1">IF(TEXT(Demand!D55,"MMM")&lt;&gt;TEXT(Demand!D54,"MMM"),TEXT(Demand!D55,"MMM"),"")</f>
        <v/>
      </c>
      <c r="AT46" s="5">
        <f t="shared" ca="1" si="12"/>
        <v>4</v>
      </c>
      <c r="BQ46">
        <f ca="1">IF($AN46="",OFFSET(Demand!$A$13,ROW(A43)-1,4+((QUOTIENT(COLUMN(BQ$2)-69,3))*5)+MOD(COLUMN(BQ$2),3),1,1),"")</f>
        <v>0</v>
      </c>
      <c r="BR46">
        <f ca="1">IF($AN46="",OFFSET(Demand!$A$13,ROW(B43)-1,4+((QUOTIENT(COLUMN(BR$2)-69,3))*5)+MOD(COLUMN(BR$2),3),1,1),"")</f>
        <v>0</v>
      </c>
      <c r="BS46">
        <f ca="1">IF($AN46="",OFFSET(Demand!$A$13,ROW(C43)-1,4+((QUOTIENT(COLUMN(BS$2)-69,3))*5)+MOD(COLUMN(BS$2),3),1,1),"")</f>
        <v>77</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v>
      </c>
      <c r="DN46" s="322">
        <f t="shared" si="17"/>
        <v>44228</v>
      </c>
      <c r="DO46" s="5">
        <f ca="1">VLOOKUP(IF($DM46&lt;53,$DM46,52),'Summary Calculations (hide)'!$D$15:$F$67,2,0)</f>
        <v>154</v>
      </c>
      <c r="DP46" s="5">
        <f ca="1">VLOOKUP(IF($DM46&lt;53,$DM46,52),'Summary Calculations (hide)'!$D$15:$F$67,3,0)</f>
        <v>169.4</v>
      </c>
      <c r="DQ46" s="5">
        <f ca="1">IF(AND(DN46&gt;='Demand adjustments for Covid'!$F$12,DN46&lt;'Demand adjustments for Covid'!$F$17),'Demand adjustments for Covid'!$F$13,DO46)</f>
        <v>154</v>
      </c>
      <c r="DR46" s="5">
        <f t="shared" si="33"/>
        <v>0</v>
      </c>
      <c r="DS46" s="5">
        <f ca="1">IF('Demand adjustments for Covid'!$F$9="Yes",IF(DR46=0,DQ46,((SUM(DR$4:DR46)-1)*$EE$8)+'Demand adjustments for Covid'!F$13),'Demand background (hide)'!DO46)</f>
        <v>154</v>
      </c>
      <c r="DT46" s="5">
        <f ca="1">IF('Demand adjustments for Covid'!$F$9="Yes",IF(OR(AND(DN46&gt;='Demand adjustments for Covid'!$F$12,DN46&lt;'Demand adjustments for Covid'!$F$17),DR46=1),DS46+3,DP46),'Demand background (hide)'!DP46)</f>
        <v>169.4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169.4</v>
      </c>
    </row>
    <row r="47" spans="1:128" s="5" customFormat="1" x14ac:dyDescent="0.25">
      <c r="A47" s="5">
        <f t="shared" ca="1" si="32"/>
        <v>0</v>
      </c>
      <c r="B47" s="5">
        <f ca="1">COUNTBLANK(OFFSET(Demand!$I56,0,(COLUMN(A44)-1)*5,1,1))</f>
        <v>0</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140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140</v>
      </c>
      <c r="Y47" s="5">
        <f t="shared" ca="1" si="5"/>
        <v>140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140</v>
      </c>
      <c r="AM47" s="5">
        <f t="shared" ca="1" si="9"/>
        <v>0</v>
      </c>
      <c r="AN47" s="5" t="str">
        <f>IF(Demand!BE56="Yes","Yes","")</f>
        <v/>
      </c>
      <c r="AP47" s="36" t="str">
        <f ca="1">Demand!B56</f>
        <v xml:space="preserve"> </v>
      </c>
      <c r="AQ47" s="5" t="str">
        <f ca="1">IF(TEXT(Demand!D56,"MMM")&lt;&gt;TEXT(Demand!D55,"MMM"),TEXT(Demand!D56,"MMM"),"")</f>
        <v/>
      </c>
      <c r="AT47" s="5">
        <f t="shared" ca="1" si="12"/>
        <v>14</v>
      </c>
      <c r="BQ47">
        <f ca="1">IF($AN47="",OFFSET(Demand!$A$13,ROW(A44)-1,4+((QUOTIENT(COLUMN(BQ$2)-69,3))*5)+MOD(COLUMN(BQ$2),3),1,1),"")</f>
        <v>0</v>
      </c>
      <c r="BR47">
        <f ca="1">IF($AN47="",OFFSET(Demand!$A$13,ROW(B44)-1,4+((QUOTIENT(COLUMN(BR$2)-69,3))*5)+MOD(COLUMN(BR$2),3),1,1),"")</f>
        <v>0</v>
      </c>
      <c r="BS47">
        <f ca="1">IF($AN47="",OFFSET(Demand!$A$13,ROW(C44)-1,4+((QUOTIENT(COLUMN(BS$2)-69,3))*5)+MOD(COLUMN(BS$2),3),1,1),"")</f>
        <v>70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6</v>
      </c>
      <c r="DN47" s="322">
        <f t="shared" si="17"/>
        <v>44235</v>
      </c>
      <c r="DO47" s="5">
        <f ca="1">VLOOKUP(IF($DM47&lt;53,$DM47,52),'Summary Calculations (hide)'!$D$15:$F$67,2,0)</f>
        <v>140</v>
      </c>
      <c r="DP47" s="5">
        <f ca="1">VLOOKUP(IF($DM47&lt;53,$DM47,52),'Summary Calculations (hide)'!$D$15:$F$67,3,0)</f>
        <v>154</v>
      </c>
      <c r="DQ47" s="5">
        <f ca="1">IF(AND(DN47&gt;='Demand adjustments for Covid'!$F$12,DN47&lt;'Demand adjustments for Covid'!$F$17),'Demand adjustments for Covid'!$F$13,DO47)</f>
        <v>140</v>
      </c>
      <c r="DR47" s="5">
        <f t="shared" si="33"/>
        <v>0</v>
      </c>
      <c r="DS47" s="5">
        <f ca="1">IF('Demand adjustments for Covid'!$F$9="Yes",IF(DR47=0,DQ47,((SUM(DR$4:DR47)-1)*$EE$8)+'Demand adjustments for Covid'!F$13),'Demand background (hide)'!DO47)</f>
        <v>140</v>
      </c>
      <c r="DT47" s="5">
        <f ca="1">IF('Demand adjustments for Covid'!$F$9="Yes",IF(OR(AND(DN47&gt;='Demand adjustments for Covid'!$F$12,DN47&lt;'Demand adjustments for Covid'!$F$17),DR47=1),DS47+3,DP47),'Demand background (hide)'!DP47)</f>
        <v>154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154</v>
      </c>
    </row>
    <row r="48" spans="1:128" s="5" customFormat="1" x14ac:dyDescent="0.25">
      <c r="A48" s="5">
        <f t="shared" ca="1" si="32"/>
        <v>0</v>
      </c>
      <c r="B48" s="5">
        <f ca="1">COUNTBLANK(OFFSET(Demand!$I57,0,(COLUMN(A45)-1)*5,1,1))</f>
        <v>0</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136</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136</v>
      </c>
      <c r="Y48" s="5">
        <f t="shared" ca="1" si="5"/>
        <v>136</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136</v>
      </c>
      <c r="AM48" s="5">
        <f t="shared" ca="1" si="9"/>
        <v>0</v>
      </c>
      <c r="AN48" s="5" t="str">
        <f>IF(Demand!BE57="Yes","Yes","")</f>
        <v/>
      </c>
      <c r="AP48" s="36">
        <f ca="1">Demand!B57</f>
        <v>2021</v>
      </c>
      <c r="AQ48" s="5" t="str">
        <f ca="1">IF(TEXT(Demand!D57,"MMM")&lt;&gt;TEXT(Demand!D56,"MMM"),TEXT(Demand!D57,"MMM"),"")</f>
        <v>Jan</v>
      </c>
      <c r="AT48" s="5">
        <f t="shared" ca="1" si="12"/>
        <v>4</v>
      </c>
      <c r="BQ48">
        <f ca="1">IF($AN48="",OFFSET(Demand!$A$13,ROW(A45)-1,4+((QUOTIENT(COLUMN(BQ$2)-69,3))*5)+MOD(COLUMN(BQ$2),3),1,1),"")</f>
        <v>0</v>
      </c>
      <c r="BR48">
        <f ca="1">IF($AN48="",OFFSET(Demand!$A$13,ROW(B45)-1,4+((QUOTIENT(COLUMN(BR$2)-69,3))*5)+MOD(COLUMN(BR$2),3),1,1),"")</f>
        <v>0</v>
      </c>
      <c r="BS48">
        <f ca="1">IF($AN48="",OFFSET(Demand!$A$13,ROW(C45)-1,4+((QUOTIENT(COLUMN(BS$2)-69,3))*5)+MOD(COLUMN(BS$2),3),1,1),"")</f>
        <v>68</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7</v>
      </c>
      <c r="DN48" s="322">
        <f t="shared" si="17"/>
        <v>44242</v>
      </c>
      <c r="DO48" s="5">
        <f ca="1">VLOOKUP(IF($DM48&lt;53,$DM48,52),'Summary Calculations (hide)'!$D$15:$F$67,2,0)</f>
        <v>136</v>
      </c>
      <c r="DP48" s="5">
        <f ca="1">VLOOKUP(IF($DM48&lt;53,$DM48,52),'Summary Calculations (hide)'!$D$15:$F$67,3,0)</f>
        <v>149.60000000000002</v>
      </c>
      <c r="DQ48" s="5">
        <f ca="1">IF(AND(DN48&gt;='Demand adjustments for Covid'!$F$12,DN48&lt;'Demand adjustments for Covid'!$F$17),'Demand adjustments for Covid'!$F$13,DO48)</f>
        <v>136</v>
      </c>
      <c r="DR48" s="5">
        <f t="shared" si="33"/>
        <v>0</v>
      </c>
      <c r="DS48" s="5">
        <f ca="1">IF('Demand adjustments for Covid'!$F$9="Yes",IF(DR48=0,DQ48,((SUM(DR$4:DR48)-1)*$EE$8)+'Demand adjustments for Covid'!F$13),'Demand background (hide)'!DO48)</f>
        <v>136</v>
      </c>
      <c r="DT48" s="5">
        <f ca="1">IF('Demand adjustments for Covid'!$F$9="Yes",IF(OR(AND(DN48&gt;='Demand adjustments for Covid'!$F$12,DN48&lt;'Demand adjustments for Covid'!$F$17),DR48=1),DS48+3,DP48),'Demand background (hide)'!DP48)</f>
        <v>149.60000000000002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149.60000000000002</v>
      </c>
    </row>
    <row r="49" spans="1:132" s="5" customFormat="1" x14ac:dyDescent="0.25">
      <c r="A49" s="5">
        <f t="shared" ca="1" si="32"/>
        <v>0</v>
      </c>
      <c r="B49" s="5">
        <f ca="1">COUNTBLANK(OFFSET(Demand!$I58,0,(COLUMN(A46)-1)*5,1,1))</f>
        <v>0</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152</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152</v>
      </c>
      <c r="Y49" s="5">
        <f t="shared" ca="1" si="5"/>
        <v>152</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152</v>
      </c>
      <c r="AM49" s="5">
        <f t="shared" ca="1" si="9"/>
        <v>0</v>
      </c>
      <c r="AN49" s="5" t="str">
        <f>IF(Demand!BE58="Yes","Yes","")</f>
        <v/>
      </c>
      <c r="AP49" s="36" t="str">
        <f ca="1">Demand!B58</f>
        <v xml:space="preserve"> </v>
      </c>
      <c r="AQ49" s="5" t="str">
        <f ca="1">IF(TEXT(Demand!D58,"MMM")&lt;&gt;TEXT(Demand!D57,"MMM"),TEXT(Demand!D58,"MMM"),"")</f>
        <v/>
      </c>
      <c r="AT49" s="5">
        <f t="shared" ca="1" si="12"/>
        <v>16</v>
      </c>
      <c r="BQ49">
        <f ca="1">IF($AN49="",OFFSET(Demand!$A$13,ROW(A46)-1,4+((QUOTIENT(COLUMN(BQ$2)-69,3))*5)+MOD(COLUMN(BQ$2),3),1,1),"")</f>
        <v>0</v>
      </c>
      <c r="BR49">
        <f ca="1">IF($AN49="",OFFSET(Demand!$A$13,ROW(B46)-1,4+((QUOTIENT(COLUMN(BR$2)-69,3))*5)+MOD(COLUMN(BR$2),3),1,1),"")</f>
        <v>0</v>
      </c>
      <c r="BS49">
        <f ca="1">IF($AN49="",OFFSET(Demand!$A$13,ROW(C46)-1,4+((QUOTIENT(COLUMN(BS$2)-69,3))*5)+MOD(COLUMN(BS$2),3),1,1),"")</f>
        <v>76</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8</v>
      </c>
      <c r="DN49" s="322">
        <f t="shared" si="17"/>
        <v>44249</v>
      </c>
      <c r="DO49" s="5">
        <f ca="1">VLOOKUP(IF($DM49&lt;53,$DM49,52),'Summary Calculations (hide)'!$D$15:$F$67,2,0)</f>
        <v>152</v>
      </c>
      <c r="DP49" s="5">
        <f ca="1">VLOOKUP(IF($DM49&lt;53,$DM49,52),'Summary Calculations (hide)'!$D$15:$F$67,3,0)</f>
        <v>167.20000000000002</v>
      </c>
      <c r="DQ49" s="5">
        <f ca="1">IF(AND(DN49&gt;='Demand adjustments for Covid'!$F$12,DN49&lt;'Demand adjustments for Covid'!$F$17),'Demand adjustments for Covid'!$F$13,DO49)</f>
        <v>152</v>
      </c>
      <c r="DR49" s="5">
        <f t="shared" si="33"/>
        <v>0</v>
      </c>
      <c r="DS49" s="5">
        <f ca="1">IF('Demand adjustments for Covid'!$F$9="Yes",IF(DR49=0,DQ49,((SUM(DR$4:DR49)-1)*$EE$8)+'Demand adjustments for Covid'!F$13),'Demand background (hide)'!DO49)</f>
        <v>152</v>
      </c>
      <c r="DT49" s="5">
        <f ca="1">IF('Demand adjustments for Covid'!$F$9="Yes",IF(OR(AND(DN49&gt;='Demand adjustments for Covid'!$F$12,DN49&lt;'Demand adjustments for Covid'!$F$17),DR49=1),DS49+3,DP49),'Demand background (hide)'!DP49)</f>
        <v>167.20000000000002</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167.20000000000002</v>
      </c>
    </row>
    <row r="50" spans="1:132" s="5" customFormat="1" x14ac:dyDescent="0.25">
      <c r="A50" s="5">
        <f t="shared" ca="1" si="32"/>
        <v>0</v>
      </c>
      <c r="B50" s="5">
        <f ca="1">COUNTBLANK(OFFSET(Demand!$I59,0,(COLUMN(A47)-1)*5,1,1))</f>
        <v>0</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148</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148</v>
      </c>
      <c r="Y50" s="5">
        <f t="shared" ca="1" si="5"/>
        <v>148</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148</v>
      </c>
      <c r="AM50" s="5">
        <f t="shared" ca="1" si="9"/>
        <v>0</v>
      </c>
      <c r="AN50" s="5" t="str">
        <f>IF(Demand!BE59="Yes","Yes","")</f>
        <v/>
      </c>
      <c r="AP50" s="36" t="str">
        <f ca="1">Demand!B59</f>
        <v xml:space="preserve"> </v>
      </c>
      <c r="AQ50" s="5" t="str">
        <f ca="1">IF(TEXT(Demand!D59,"MMM")&lt;&gt;TEXT(Demand!D58,"MMM"),TEXT(Demand!D59,"MMM"),"")</f>
        <v/>
      </c>
      <c r="AT50" s="5">
        <f t="shared" ca="1" si="12"/>
        <v>4</v>
      </c>
      <c r="BQ50">
        <f ca="1">IF($AN50="",OFFSET(Demand!$A$13,ROW(A47)-1,4+((QUOTIENT(COLUMN(BQ$2)-69,3))*5)+MOD(COLUMN(BQ$2),3),1,1),"")</f>
        <v>0</v>
      </c>
      <c r="BR50">
        <f ca="1">IF($AN50="",OFFSET(Demand!$A$13,ROW(B47)-1,4+((QUOTIENT(COLUMN(BR$2)-69,3))*5)+MOD(COLUMN(BR$2),3),1,1),"")</f>
        <v>0</v>
      </c>
      <c r="BS50">
        <f ca="1">IF($AN50="",OFFSET(Demand!$A$13,ROW(C47)-1,4+((QUOTIENT(COLUMN(BS$2)-69,3))*5)+MOD(COLUMN(BS$2),3),1,1),"")</f>
        <v>74</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9</v>
      </c>
      <c r="DN50" s="322">
        <f t="shared" si="17"/>
        <v>44256</v>
      </c>
      <c r="DO50" s="5">
        <f ca="1">VLOOKUP(IF($DM50&lt;53,$DM50,52),'Summary Calculations (hide)'!$D$15:$F$67,2,0)</f>
        <v>148</v>
      </c>
      <c r="DP50" s="5">
        <f ca="1">VLOOKUP(IF($DM50&lt;53,$DM50,52),'Summary Calculations (hide)'!$D$15:$F$67,3,0)</f>
        <v>162.80000000000001</v>
      </c>
      <c r="DQ50" s="5">
        <f ca="1">IF(AND(DN50&gt;='Demand adjustments for Covid'!$F$12,DN50&lt;'Demand adjustments for Covid'!$F$17),'Demand adjustments for Covid'!$F$13,DO50)</f>
        <v>148</v>
      </c>
      <c r="DR50" s="5">
        <f t="shared" si="33"/>
        <v>0</v>
      </c>
      <c r="DS50" s="5">
        <f ca="1">IF('Demand adjustments for Covid'!$F$9="Yes",IF(DR50=0,DQ50,((SUM(DR$4:DR50)-1)*$EE$8)+'Demand adjustments for Covid'!F$13),'Demand background (hide)'!DO50)</f>
        <v>148</v>
      </c>
      <c r="DT50" s="5">
        <f ca="1">IF('Demand adjustments for Covid'!$F$9="Yes",IF(OR(AND(DN50&gt;='Demand adjustments for Covid'!$F$12,DN50&lt;'Demand adjustments for Covid'!$F$17),DR50=1),DS50+3,DP50),'Demand background (hide)'!DP50)</f>
        <v>162.80000000000001</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162.80000000000001</v>
      </c>
    </row>
    <row r="51" spans="1:132" s="5" customFormat="1" x14ac:dyDescent="0.25">
      <c r="A51" s="5">
        <f t="shared" ca="1" si="32"/>
        <v>0</v>
      </c>
      <c r="B51" s="5">
        <f ca="1">COUNTBLANK(OFFSET(Demand!$I60,0,(COLUMN(A48)-1)*5,1,1))</f>
        <v>0</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148</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148</v>
      </c>
      <c r="Y51" s="5">
        <f t="shared" ca="1" si="5"/>
        <v>148</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148</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74</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10</v>
      </c>
      <c r="DN51" s="322">
        <f t="shared" si="17"/>
        <v>44263</v>
      </c>
      <c r="DO51" s="5">
        <f ca="1">VLOOKUP(IF($DM51&lt;53,$DM51,52),'Summary Calculations (hide)'!$D$15:$F$67,2,0)</f>
        <v>148</v>
      </c>
      <c r="DP51" s="5">
        <f ca="1">VLOOKUP(IF($DM51&lt;53,$DM51,52),'Summary Calculations (hide)'!$D$15:$F$67,3,0)</f>
        <v>162.80000000000001</v>
      </c>
      <c r="DQ51" s="5">
        <f ca="1">IF(AND(DN51&gt;='Demand adjustments for Covid'!$F$12,DN51&lt;'Demand adjustments for Covid'!$F$17),'Demand adjustments for Covid'!$F$13,DO51)</f>
        <v>148</v>
      </c>
      <c r="DR51" s="5">
        <f t="shared" si="33"/>
        <v>0</v>
      </c>
      <c r="DS51" s="5">
        <f ca="1">IF('Demand adjustments for Covid'!$F$9="Yes",IF(DR51=0,DQ51,((SUM(DR$4:DR51)-1)*$EE$8)+'Demand adjustments for Covid'!F$13),'Demand background (hide)'!DO51)</f>
        <v>148</v>
      </c>
      <c r="DT51" s="5">
        <f ca="1">IF('Demand adjustments for Covid'!$F$9="Yes",IF(OR(AND(DN51&gt;='Demand adjustments for Covid'!$F$12,DN51&lt;'Demand adjustments for Covid'!$F$17),DR51=1),DS51+3,DP51),'Demand background (hide)'!DP51)</f>
        <v>162.80000000000001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162.80000000000001</v>
      </c>
    </row>
    <row r="52" spans="1:132" s="5" customFormat="1" x14ac:dyDescent="0.25">
      <c r="A52" s="5">
        <f t="shared" ca="1" si="32"/>
        <v>0</v>
      </c>
      <c r="B52" s="5">
        <f ca="1">COUNTBLANK(OFFSET(Demand!$I61,0,(COLUMN(A49)-1)*5,1,1))</f>
        <v>0</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140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140</v>
      </c>
      <c r="Y52" s="5">
        <f t="shared" ca="1" si="5"/>
        <v>140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140</v>
      </c>
      <c r="AM52" s="5">
        <f t="shared" ca="1" si="9"/>
        <v>0</v>
      </c>
      <c r="AN52" s="5" t="str">
        <f>IF(Demand!BE61="Yes","Yes","")</f>
        <v/>
      </c>
      <c r="AP52" s="36" t="str">
        <f ca="1">Demand!B61</f>
        <v xml:space="preserve"> </v>
      </c>
      <c r="AQ52" s="5" t="str">
        <f ca="1">IF(TEXT(Demand!D61,"MMM")&lt;&gt;TEXT(Demand!D60,"MMM"),TEXT(Demand!D61,"MMM"),"")</f>
        <v>Feb</v>
      </c>
      <c r="AT52" s="5">
        <f t="shared" ca="1" si="12"/>
        <v>8</v>
      </c>
      <c r="BQ52">
        <f ca="1">IF($AN52="",OFFSET(Demand!$A$13,ROW(A49)-1,4+((QUOTIENT(COLUMN(BQ$2)-69,3))*5)+MOD(COLUMN(BQ$2),3),1,1),"")</f>
        <v>0</v>
      </c>
      <c r="BR52">
        <f ca="1">IF($AN52="",OFFSET(Demand!$A$13,ROW(B49)-1,4+((QUOTIENT(COLUMN(BR$2)-69,3))*5)+MOD(COLUMN(BR$2),3),1,1),"")</f>
        <v>0</v>
      </c>
      <c r="BS52">
        <f ca="1">IF($AN52="",OFFSET(Demand!$A$13,ROW(C49)-1,4+((QUOTIENT(COLUMN(BS$2)-69,3))*5)+MOD(COLUMN(BS$2),3),1,1),"")</f>
        <v>70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11</v>
      </c>
      <c r="DN52" s="322">
        <f t="shared" si="17"/>
        <v>44270</v>
      </c>
      <c r="DO52" s="5">
        <f ca="1">VLOOKUP(IF($DM52&lt;53,$DM52,52),'Summary Calculations (hide)'!$D$15:$F$67,2,0)</f>
        <v>140</v>
      </c>
      <c r="DP52" s="5">
        <f ca="1">VLOOKUP(IF($DM52&lt;53,$DM52,52),'Summary Calculations (hide)'!$D$15:$F$67,3,0)</f>
        <v>154</v>
      </c>
      <c r="DQ52" s="5">
        <f ca="1">IF(AND(DN52&gt;='Demand adjustments for Covid'!$F$12,DN52&lt;'Demand adjustments for Covid'!$F$17),'Demand adjustments for Covid'!$F$13,DO52)</f>
        <v>140</v>
      </c>
      <c r="DR52" s="5">
        <f t="shared" si="33"/>
        <v>0</v>
      </c>
      <c r="DS52" s="5">
        <f ca="1">IF('Demand adjustments for Covid'!$F$9="Yes",IF(DR52=0,DQ52,((SUM(DR$4:DR52)-1)*$EE$8)+'Demand adjustments for Covid'!F$13),'Demand background (hide)'!DO52)</f>
        <v>140</v>
      </c>
      <c r="DT52" s="5">
        <f ca="1">IF('Demand adjustments for Covid'!$F$9="Yes",IF(OR(AND(DN52&gt;='Demand adjustments for Covid'!$F$12,DN52&lt;'Demand adjustments for Covid'!$F$17),DR52=1),DS52+3,DP52),'Demand background (hide)'!DP52)</f>
        <v>154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154</v>
      </c>
    </row>
    <row r="53" spans="1:132" s="5" customFormat="1" x14ac:dyDescent="0.25">
      <c r="A53" s="5">
        <f t="shared" ca="1" si="32"/>
        <v>0</v>
      </c>
      <c r="B53" s="5">
        <f ca="1">COUNTBLANK(OFFSET(Demand!$I62,0,(COLUMN(A50)-1)*5,1,1))</f>
        <v>0</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152</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152</v>
      </c>
      <c r="Y53" s="5">
        <f t="shared" ca="1" si="5"/>
        <v>152</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152</v>
      </c>
      <c r="AM53" s="5">
        <f t="shared" ca="1" si="9"/>
        <v>0</v>
      </c>
      <c r="AN53" s="5" t="str">
        <f>IF(Demand!BE62="Yes","Yes","")</f>
        <v/>
      </c>
      <c r="AP53" s="36" t="str">
        <f ca="1">Demand!B62</f>
        <v xml:space="preserve"> </v>
      </c>
      <c r="AQ53" s="5" t="str">
        <f ca="1">IF(TEXT(Demand!D62,"MMM")&lt;&gt;TEXT(Demand!D61,"MMM"),TEXT(Demand!D62,"MMM"),"")</f>
        <v/>
      </c>
      <c r="AT53" s="5">
        <f t="shared" ca="1" si="12"/>
        <v>12</v>
      </c>
      <c r="BQ53">
        <f ca="1">IF($AN53="",OFFSET(Demand!$A$13,ROW(A50)-1,4+((QUOTIENT(COLUMN(BQ$2)-69,3))*5)+MOD(COLUMN(BQ$2),3),1,1),"")</f>
        <v>0</v>
      </c>
      <c r="BR53">
        <f ca="1">IF($AN53="",OFFSET(Demand!$A$13,ROW(B50)-1,4+((QUOTIENT(COLUMN(BR$2)-69,3))*5)+MOD(COLUMN(BR$2),3),1,1),"")</f>
        <v>0</v>
      </c>
      <c r="BS53">
        <f ca="1">IF($AN53="",OFFSET(Demand!$A$13,ROW(C50)-1,4+((QUOTIENT(COLUMN(BS$2)-69,3))*5)+MOD(COLUMN(BS$2),3),1,1),"")</f>
        <v>76</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12</v>
      </c>
      <c r="DN53" s="322">
        <f t="shared" si="17"/>
        <v>44277</v>
      </c>
      <c r="DO53" s="5">
        <f ca="1">VLOOKUP(IF($DM53&lt;53,$DM53,52),'Summary Calculations (hide)'!$D$15:$F$67,2,0)</f>
        <v>152</v>
      </c>
      <c r="DP53" s="5">
        <f ca="1">VLOOKUP(IF($DM53&lt;53,$DM53,52),'Summary Calculations (hide)'!$D$15:$F$67,3,0)</f>
        <v>167.20000000000002</v>
      </c>
      <c r="DQ53" s="5">
        <f ca="1">IF(AND(DN53&gt;='Demand adjustments for Covid'!$F$12,DN53&lt;'Demand adjustments for Covid'!$F$17),'Demand adjustments for Covid'!$F$13,DO53)</f>
        <v>152</v>
      </c>
      <c r="DR53" s="5">
        <f t="shared" si="33"/>
        <v>0</v>
      </c>
      <c r="DS53" s="5">
        <f ca="1">IF('Demand adjustments for Covid'!$F$9="Yes",IF(DR53=0,DQ53,((SUM(DR$4:DR53)-1)*$EE$8)+'Demand adjustments for Covid'!F$13),'Demand background (hide)'!DO53)</f>
        <v>152</v>
      </c>
      <c r="DT53" s="5">
        <f ca="1">IF('Demand adjustments for Covid'!$F$9="Yes",IF(OR(AND(DN53&gt;='Demand adjustments for Covid'!$F$12,DN53&lt;'Demand adjustments for Covid'!$F$17),DR53=1),DS53+3,DP53),'Demand background (hide)'!DP53)</f>
        <v>167.20000000000002</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167.20000000000002</v>
      </c>
    </row>
    <row r="54" spans="1:132" s="5" customFormat="1" x14ac:dyDescent="0.25">
      <c r="A54" s="5">
        <f t="shared" ca="1" si="32"/>
        <v>0</v>
      </c>
      <c r="B54" s="5">
        <f ca="1">COUNTBLANK(OFFSET(Demand!$I63,0,(COLUMN(A51)-1)*5,1,1))</f>
        <v>0</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146</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146</v>
      </c>
      <c r="Y54" s="5">
        <f t="shared" ca="1" si="5"/>
        <v>146</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146</v>
      </c>
      <c r="AM54" s="5">
        <f t="shared" ca="1" si="9"/>
        <v>0</v>
      </c>
      <c r="AN54" s="5" t="str">
        <f>IF(Demand!BE63="Yes","Yes","")</f>
        <v/>
      </c>
      <c r="AP54" s="36" t="str">
        <f ca="1">Demand!B63</f>
        <v xml:space="preserve"> </v>
      </c>
      <c r="AQ54" s="5" t="str">
        <f ca="1">IF(TEXT(Demand!D63,"MMM")&lt;&gt;TEXT(Demand!D62,"MMM"),TEXT(Demand!D63,"MMM"),"")</f>
        <v/>
      </c>
      <c r="AT54" s="5">
        <f t="shared" ca="1" si="12"/>
        <v>6</v>
      </c>
      <c r="BQ54">
        <f ca="1">IF($AN54="",OFFSET(Demand!$A$13,ROW(A51)-1,4+((QUOTIENT(COLUMN(BQ$2)-69,3))*5)+MOD(COLUMN(BQ$2),3),1,1),"")</f>
        <v>0</v>
      </c>
      <c r="BR54">
        <f ca="1">IF($AN54="",OFFSET(Demand!$A$13,ROW(B51)-1,4+((QUOTIENT(COLUMN(BR$2)-69,3))*5)+MOD(COLUMN(BR$2),3),1,1),"")</f>
        <v>0</v>
      </c>
      <c r="BS54">
        <f ca="1">IF($AN54="",OFFSET(Demand!$A$13,ROW(C51)-1,4+((QUOTIENT(COLUMN(BS$2)-69,3))*5)+MOD(COLUMN(BS$2),3),1,1),"")</f>
        <v>73</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13</v>
      </c>
      <c r="DN54" s="322">
        <f t="shared" si="17"/>
        <v>44284</v>
      </c>
      <c r="DO54" s="5">
        <f ca="1">VLOOKUP(IF($DM54&lt;53,$DM54,52),'Summary Calculations (hide)'!$D$15:$F$67,2,0)</f>
        <v>146</v>
      </c>
      <c r="DP54" s="5">
        <f ca="1">VLOOKUP(IF($DM54&lt;53,$DM54,52),'Summary Calculations (hide)'!$D$15:$F$67,3,0)</f>
        <v>160.60000000000002</v>
      </c>
      <c r="DQ54" s="5">
        <f ca="1">IF(AND(DN54&gt;='Demand adjustments for Covid'!$F$12,DN54&lt;'Demand adjustments for Covid'!$F$17),'Demand adjustments for Covid'!$F$13,DO54)</f>
        <v>146</v>
      </c>
      <c r="DR54" s="5">
        <f t="shared" si="33"/>
        <v>0</v>
      </c>
      <c r="DS54" s="5">
        <f ca="1">IF('Demand adjustments for Covid'!$F$9="Yes",IF(DR54=0,DQ54,((SUM(DR$4:DR54)-1)*$EE$8)+'Demand adjustments for Covid'!F$13),'Demand background (hide)'!DO54)</f>
        <v>146</v>
      </c>
      <c r="DT54" s="5">
        <f ca="1">IF('Demand adjustments for Covid'!$F$9="Yes",IF(OR(AND(DN54&gt;='Demand adjustments for Covid'!$F$12,DN54&lt;'Demand adjustments for Covid'!$F$17),DR54=1),DS54+3,DP54),'Demand background (hide)'!DP54)</f>
        <v>160.60000000000002</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160.60000000000002</v>
      </c>
    </row>
    <row r="55" spans="1:132" s="5" customFormat="1" x14ac:dyDescent="0.25">
      <c r="A55" s="5">
        <f t="shared" ca="1" si="32"/>
        <v>0</v>
      </c>
      <c r="B55" s="5">
        <f ca="1">COUNTBLANK(OFFSET(Demand!$I64,0,(COLUMN(A52)-1)*5,1,1))</f>
        <v>0</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130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130</v>
      </c>
      <c r="Y55" s="5">
        <f t="shared" ca="1" si="5"/>
        <v>130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130</v>
      </c>
      <c r="AM55" s="5">
        <f t="shared" ca="1" si="9"/>
        <v>0</v>
      </c>
      <c r="AN55" s="5" t="str">
        <f>IF(Demand!BE64="Yes","Yes","")</f>
        <v/>
      </c>
      <c r="AP55" s="36" t="str">
        <f ca="1">Demand!B64</f>
        <v xml:space="preserve"> </v>
      </c>
      <c r="AQ55" s="5" t="str">
        <f ca="1">IF(TEXT(Demand!D64,"MMM")&lt;&gt;TEXT(Demand!D63,"MMM"),TEXT(Demand!D64,"MMM"),"")</f>
        <v/>
      </c>
      <c r="AT55" s="5">
        <f t="shared" ca="1" si="12"/>
        <v>16</v>
      </c>
      <c r="BQ55">
        <f ca="1">IF($AN55="",OFFSET(Demand!$A$13,ROW(A52)-1,4+((QUOTIENT(COLUMN(BQ$2)-69,3))*5)+MOD(COLUMN(BQ$2),3),1,1),"")</f>
        <v>0</v>
      </c>
      <c r="BR55">
        <f ca="1">IF($AN55="",OFFSET(Demand!$A$13,ROW(B52)-1,4+((QUOTIENT(COLUMN(BR$2)-69,3))*5)+MOD(COLUMN(BR$2),3),1,1),"")</f>
        <v>0</v>
      </c>
      <c r="BS55">
        <f ca="1">IF($AN55="",OFFSET(Demand!$A$13,ROW(C52)-1,4+((QUOTIENT(COLUMN(BS$2)-69,3))*5)+MOD(COLUMN(BS$2),3),1,1),"")</f>
        <v>65</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14</v>
      </c>
      <c r="DN55" s="322">
        <f t="shared" si="17"/>
        <v>44291</v>
      </c>
      <c r="DO55" s="5">
        <f ca="1">VLOOKUP(IF($DM55&lt;53,$DM55,52),'Summary Calculations (hide)'!$D$15:$F$67,2,0)</f>
        <v>130</v>
      </c>
      <c r="DP55" s="5">
        <f ca="1">VLOOKUP(IF($DM55&lt;53,$DM55,52),'Summary Calculations (hide)'!$D$15:$F$67,3,0)</f>
        <v>143</v>
      </c>
      <c r="DQ55" s="5">
        <f ca="1">IF(AND(DN55&gt;='Demand adjustments for Covid'!$F$12,DN55&lt;'Demand adjustments for Covid'!$F$17),'Demand adjustments for Covid'!$F$13,DO55)</f>
        <v>130</v>
      </c>
      <c r="DR55" s="5">
        <f t="shared" si="33"/>
        <v>0</v>
      </c>
      <c r="DS55" s="5">
        <f ca="1">IF('Demand adjustments for Covid'!$F$9="Yes",IF(DR55=0,DQ55,((SUM(DR$4:DR55)-1)*$EE$8)+'Demand adjustments for Covid'!F$13),'Demand background (hide)'!DO55)</f>
        <v>130</v>
      </c>
      <c r="DT55" s="5">
        <f ca="1">IF('Demand adjustments for Covid'!$F$9="Yes",IF(OR(AND(DN55&gt;='Demand adjustments for Covid'!$F$12,DN55&lt;'Demand adjustments for Covid'!$F$17),DR55=1),DS55+3,DP55),'Demand background (hide)'!DP55)</f>
        <v>143</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143</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130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15</v>
      </c>
      <c r="DN56" s="322">
        <f t="shared" si="17"/>
        <v>44298</v>
      </c>
      <c r="DO56" s="5">
        <f ca="1">VLOOKUP(IF($DM56&lt;53,$DM56,52),'Summary Calculations (hide)'!$D$15:$F$67,2,0)</f>
        <v>142</v>
      </c>
      <c r="DP56" s="5">
        <f ca="1">VLOOKUP(IF($DM56&lt;53,$DM56,52),'Summary Calculations (hide)'!$D$15:$F$67,3,0)</f>
        <v>155.30000000000001</v>
      </c>
      <c r="DQ56" s="5">
        <f ca="1">IF(AND(DN56&gt;='Demand adjustments for Covid'!$F$12,DN56&lt;'Demand adjustments for Covid'!$F$17),'Demand adjustments for Covid'!$F$13,DO56)</f>
        <v>142</v>
      </c>
      <c r="DR56" s="5">
        <f t="shared" ref="DR56" si="35">IF(AND(ROW(A53)&gt;=$EE$4,ROW(A53)&lt;=$EE$5),1,0)</f>
        <v>0</v>
      </c>
      <c r="DS56" s="5">
        <f ca="1">IF('Demand adjustments for Covid'!$F$9="Yes",IF(DR56=0,DQ56,((SUM(DR$4:DR56)-1)*$EE$8)+'Demand adjustments for Covid'!F$13),'Demand background (hide)'!DO56)</f>
        <v>142</v>
      </c>
      <c r="DT56" s="5">
        <f ca="1">IF('Demand adjustments for Covid'!$F$9="Yes",IF(OR(AND(DN56&gt;='Demand adjustments for Covid'!$F$12,DN56&lt;'Demand adjustments for Covid'!$F$17),DR56=1),DS56+3,DP56),'Demand background (hide)'!DP56)</f>
        <v>155.30000000000001</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155.30000000000001</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1420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1420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12" sqref="F12"/>
    </sheetView>
  </sheetViews>
  <sheetFormatPr defaultRowHeight="13.8" x14ac:dyDescent="0.25"/>
  <cols>
    <col min="1" max="3" width="10.3984375" customWidth="1"/>
    <col min="4" max="4" width="17.8984375" customWidth="1"/>
    <col min="5" max="5" width="13.8984375" customWidth="1"/>
    <col min="6" max="6" width="9.8984375" bestFit="1" customWidth="1"/>
  </cols>
  <sheetData>
    <row r="2" spans="1:18" x14ac:dyDescent="0.25">
      <c r="A2" s="342" t="s">
        <v>1187</v>
      </c>
      <c r="B2" s="342"/>
      <c r="C2" s="342"/>
      <c r="D2" s="342"/>
      <c r="E2" s="342"/>
      <c r="F2" s="342"/>
      <c r="G2" s="342"/>
      <c r="H2" s="342"/>
      <c r="I2" s="342"/>
      <c r="J2" s="342"/>
      <c r="K2" s="342"/>
      <c r="L2" s="342"/>
      <c r="M2" s="342"/>
      <c r="N2" s="342"/>
      <c r="O2" s="342"/>
      <c r="P2" s="342"/>
      <c r="Q2" s="342"/>
      <c r="R2" s="342"/>
    </row>
    <row r="3" spans="1:18" x14ac:dyDescent="0.25">
      <c r="A3" s="343" t="s">
        <v>1188</v>
      </c>
      <c r="B3" s="343"/>
      <c r="C3" s="343"/>
      <c r="D3" s="343"/>
      <c r="E3" s="343"/>
      <c r="F3" s="343"/>
      <c r="G3" s="343"/>
      <c r="H3" s="343"/>
      <c r="I3" s="343"/>
      <c r="J3" s="343"/>
      <c r="K3" s="343"/>
      <c r="L3" s="343"/>
      <c r="M3" s="343"/>
      <c r="N3" s="343"/>
      <c r="O3" s="343"/>
      <c r="P3" s="343"/>
      <c r="Q3" s="343"/>
      <c r="R3" s="343"/>
    </row>
    <row r="5" spans="1:18" x14ac:dyDescent="0.25">
      <c r="A5" t="s">
        <v>1220</v>
      </c>
    </row>
    <row r="6" spans="1:18" x14ac:dyDescent="0.25">
      <c r="A6" t="s">
        <v>1196</v>
      </c>
    </row>
    <row r="7" spans="1:18" x14ac:dyDescent="0.25">
      <c r="A7" t="s">
        <v>1197</v>
      </c>
    </row>
    <row r="9" spans="1:18" s="67" customFormat="1" x14ac:dyDescent="0.25">
      <c r="A9" s="340" t="s">
        <v>1189</v>
      </c>
      <c r="F9" s="338" t="s">
        <v>20</v>
      </c>
    </row>
    <row r="10" spans="1:18" s="67" customFormat="1" x14ac:dyDescent="0.25"/>
    <row r="11" spans="1:18" s="67" customFormat="1" x14ac:dyDescent="0.25">
      <c r="A11" s="340" t="s">
        <v>1194</v>
      </c>
    </row>
    <row r="12" spans="1:18" x14ac:dyDescent="0.25">
      <c r="A12" t="s">
        <v>1191</v>
      </c>
      <c r="F12" s="168">
        <v>43934</v>
      </c>
    </row>
    <row r="13" spans="1:18" x14ac:dyDescent="0.25">
      <c r="A13" t="str">
        <f>"Current (restricted) level of demand ("&amp;Setup!$I$17&amp;"):"</f>
        <v>Current (restricted) level of demand (Points):</v>
      </c>
      <c r="D13" s="126"/>
      <c r="F13" s="338">
        <v>10</v>
      </c>
    </row>
    <row r="14" spans="1:18" s="67" customFormat="1" x14ac:dyDescent="0.25">
      <c r="D14" s="126"/>
      <c r="F14" s="126"/>
    </row>
    <row r="16" spans="1:18" x14ac:dyDescent="0.25">
      <c r="A16" s="340" t="s">
        <v>1195</v>
      </c>
    </row>
    <row r="17" spans="1:16" x14ac:dyDescent="0.25">
      <c r="A17" t="s">
        <v>1193</v>
      </c>
      <c r="F17" s="168">
        <v>43962</v>
      </c>
    </row>
    <row r="18" spans="1:16" x14ac:dyDescent="0.25">
      <c r="A18" t="s">
        <v>1233</v>
      </c>
      <c r="F18" s="338">
        <v>4</v>
      </c>
    </row>
    <row r="20" spans="1:16" x14ac:dyDescent="0.25">
      <c r="A20" t="s">
        <v>1190</v>
      </c>
      <c r="F20" s="338" t="s">
        <v>22</v>
      </c>
    </row>
    <row r="23" spans="1:16" x14ac:dyDescent="0.25">
      <c r="A23" s="356" t="s">
        <v>1223</v>
      </c>
      <c r="D23" s="67"/>
    </row>
    <row r="24" spans="1:16" x14ac:dyDescent="0.25">
      <c r="A24" t="s">
        <v>1224</v>
      </c>
      <c r="D24" s="67"/>
    </row>
    <row r="25" spans="1:16" x14ac:dyDescent="0.25">
      <c r="D25" s="67"/>
    </row>
    <row r="26" spans="1:16" x14ac:dyDescent="0.25">
      <c r="A26" t="s">
        <v>1225</v>
      </c>
      <c r="D26" s="67"/>
    </row>
    <row r="27" spans="1:16" x14ac:dyDescent="0.25">
      <c r="A27" t="s">
        <v>1226</v>
      </c>
    </row>
    <row r="28" spans="1:16" x14ac:dyDescent="0.25">
      <c r="A28" s="292" t="s">
        <v>1231</v>
      </c>
    </row>
    <row r="31" spans="1:16" x14ac:dyDescent="0.25">
      <c r="A31" s="356" t="s">
        <v>1227</v>
      </c>
      <c r="P31" s="67"/>
    </row>
    <row r="32" spans="1:16" x14ac:dyDescent="0.25">
      <c r="O32" s="67"/>
      <c r="P32" s="67"/>
    </row>
    <row r="33" spans="1:16" x14ac:dyDescent="0.25">
      <c r="D33" s="392" t="str">
        <f>"Number of patients ("&amp;Setup!$I$17&amp;")"</f>
        <v>Number of patients (Points)</v>
      </c>
      <c r="E33" s="391" t="s">
        <v>1230</v>
      </c>
      <c r="F33" s="392" t="str">
        <f>Setup!$I$17&amp;" remaining"</f>
        <v>Points remaining</v>
      </c>
      <c r="G33" s="361" t="str">
        <f>"Backlog / unseen patients ("&amp;Setup!$I$17&amp;") brought in post-transition, by week"</f>
        <v>Backlog / unseen patients (Points) brought in post-transition, by week</v>
      </c>
      <c r="H33" s="362"/>
      <c r="I33" s="362"/>
      <c r="J33" s="362"/>
      <c r="K33" s="362"/>
      <c r="L33" s="362"/>
      <c r="M33" s="362"/>
      <c r="N33" s="363"/>
      <c r="O33" s="67"/>
      <c r="P33" s="67"/>
    </row>
    <row r="34" spans="1:16" x14ac:dyDescent="0.25">
      <c r="D34" s="392"/>
      <c r="E34" s="391"/>
      <c r="F34" s="392"/>
      <c r="G34" s="357">
        <v>1</v>
      </c>
      <c r="H34" s="357">
        <v>2</v>
      </c>
      <c r="I34" s="357">
        <v>3</v>
      </c>
      <c r="J34" s="357">
        <v>4</v>
      </c>
      <c r="K34" s="357">
        <v>5</v>
      </c>
      <c r="L34" s="357">
        <v>6</v>
      </c>
      <c r="M34" s="357">
        <v>7</v>
      </c>
      <c r="N34" s="357">
        <v>8</v>
      </c>
      <c r="O34" s="67"/>
      <c r="P34" s="67"/>
    </row>
    <row r="35" spans="1:16" x14ac:dyDescent="0.25">
      <c r="A35" t="s">
        <v>1228</v>
      </c>
      <c r="D35" s="358">
        <f ca="1">SUM(OFFSET('Parameters calculator (hide)'!$C$68,0,0,Num_Modalities,1))</f>
        <v>152</v>
      </c>
      <c r="E35" s="359">
        <v>0.15</v>
      </c>
      <c r="F35" s="366">
        <f ca="1">ROUNDUP(D35*(1-E35),0)-SUM(G35:N35)</f>
        <v>80</v>
      </c>
      <c r="G35" s="358">
        <v>10</v>
      </c>
      <c r="H35" s="358">
        <v>10</v>
      </c>
      <c r="I35" s="358">
        <v>10</v>
      </c>
      <c r="J35" s="358">
        <v>10</v>
      </c>
      <c r="K35" s="358">
        <v>10</v>
      </c>
      <c r="L35" s="358"/>
      <c r="M35" s="358"/>
      <c r="N35" s="358"/>
      <c r="O35" s="67"/>
      <c r="P35" s="67"/>
    </row>
    <row r="36" spans="1:16" x14ac:dyDescent="0.25">
      <c r="A36" t="s">
        <v>1229</v>
      </c>
      <c r="D36" s="360">
        <f ca="1">'Demand background (hide)'!EA3</f>
        <v>860</v>
      </c>
      <c r="E36" s="359">
        <v>0</v>
      </c>
      <c r="F36" s="367">
        <f ca="1">ROUNDUP(D36*(1-E36),0)-SUM(G36:N36)</f>
        <v>824</v>
      </c>
      <c r="G36" s="358">
        <v>12</v>
      </c>
      <c r="H36" s="358">
        <v>12</v>
      </c>
      <c r="I36" s="358">
        <v>12</v>
      </c>
      <c r="J36" s="358"/>
      <c r="K36" s="358"/>
      <c r="L36" s="358"/>
      <c r="M36" s="358"/>
      <c r="N36" s="358"/>
      <c r="O36" s="67"/>
      <c r="P36" s="67"/>
    </row>
    <row r="39" spans="1:16" x14ac:dyDescent="0.25">
      <c r="A39" t="s">
        <v>1239</v>
      </c>
    </row>
  </sheetData>
  <mergeCells count="3">
    <mergeCell ref="E33:E34"/>
    <mergeCell ref="D33:D34"/>
    <mergeCell ref="F33:F34"/>
  </mergeCells>
  <conditionalFormatting sqref="F35:F36">
    <cfRule type="expression" dxfId="32" priority="1">
      <formula>IF($F35&lt;0,1,0)</formula>
    </cfRule>
  </conditionalFormatting>
  <dataValidations count="4">
    <dataValidation type="whole" allowBlank="1" showInputMessage="1" showErrorMessage="1" sqref="F18" xr:uid="{BCD0C9E8-7B13-439D-9279-5CDB63D3CB62}">
      <formula1>0</formula1>
      <formula2>8</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18" sqref="C18"/>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7"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10 weeks</v>
      </c>
    </row>
    <row r="6" spans="1:3" ht="14.25" customHeight="1" x14ac:dyDescent="0.25"/>
    <row r="7" spans="1:3" ht="14.25" customHeight="1" x14ac:dyDescent="0.25">
      <c r="A7" s="333" t="s">
        <v>186</v>
      </c>
      <c r="B7" s="101"/>
      <c r="C7" s="101"/>
    </row>
    <row r="8" spans="1:3" ht="14.25" customHeight="1" x14ac:dyDescent="0.25">
      <c r="A8" s="333" t="s">
        <v>187</v>
      </c>
      <c r="B8" s="101"/>
      <c r="C8" s="101" t="str">
        <f ca="1">IF('SPC background (hide)'!H7&lt;&gt;"",'SPC background (hide)'!H7&amp;" weeks","")</f>
        <v/>
      </c>
    </row>
    <row r="9" spans="1:3" ht="14.25" customHeight="1" x14ac:dyDescent="0.25">
      <c r="A9" s="333"/>
      <c r="B9" s="101"/>
      <c r="C9" s="101"/>
    </row>
    <row r="10" spans="1:3" ht="14.25" customHeight="1" x14ac:dyDescent="0.25">
      <c r="A10" s="333" t="s">
        <v>188</v>
      </c>
      <c r="B10" s="101"/>
      <c r="C10" s="101"/>
    </row>
    <row r="11" spans="1:3" ht="14.25" customHeight="1" x14ac:dyDescent="0.25">
      <c r="A11" s="333" t="s">
        <v>189</v>
      </c>
      <c r="B11" s="101"/>
      <c r="C11" s="101" t="str">
        <f ca="1">IF('SPC background (hide)'!H9&lt;&gt;"",'SPC background (hide)'!H9&amp;" weeks","")</f>
        <v/>
      </c>
    </row>
    <row r="12" spans="1:3" ht="14.25" customHeight="1" x14ac:dyDescent="0.25">
      <c r="A12" s="333"/>
      <c r="B12" s="101"/>
      <c r="C12" s="101"/>
    </row>
    <row r="13" spans="1:3" ht="14.25" customHeight="1" x14ac:dyDescent="0.25">
      <c r="A13" s="333" t="s">
        <v>190</v>
      </c>
      <c r="B13" s="101"/>
      <c r="C13" s="101"/>
    </row>
    <row r="14" spans="1:3" ht="14.25" customHeight="1" x14ac:dyDescent="0.25">
      <c r="A14" s="333" t="s">
        <v>191</v>
      </c>
      <c r="B14" s="101"/>
      <c r="C14" s="101"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10 weeks</v>
      </c>
    </row>
    <row r="19" spans="1:3" x14ac:dyDescent="0.25">
      <c r="A19" t="str">
        <f ca="1">IF(AND('SPC background (hide)'!I11&lt;52,SPC_Type="1+ Seasons"),"Remaining wks use season:","")</f>
        <v/>
      </c>
      <c r="C19" s="179">
        <v>1</v>
      </c>
    </row>
    <row r="20" spans="1:3" x14ac:dyDescent="0.25">
      <c r="C20" s="45"/>
    </row>
    <row r="21" spans="1:3" x14ac:dyDescent="0.25">
      <c r="A21" t="s">
        <v>195</v>
      </c>
      <c r="C21" s="179" t="s">
        <v>20</v>
      </c>
    </row>
    <row r="22" spans="1:3" x14ac:dyDescent="0.25">
      <c r="C22" s="45"/>
    </row>
    <row r="23" spans="1:3" x14ac:dyDescent="0.25">
      <c r="A23" t="s">
        <v>196</v>
      </c>
      <c r="C23" s="179" t="s">
        <v>20</v>
      </c>
    </row>
    <row r="25" spans="1:3" hidden="1" x14ac:dyDescent="0.25">
      <c r="A25" t="s">
        <v>284</v>
      </c>
      <c r="C25" s="179"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NfqnmbG9j6WoezTcgwVRNAG0ww1Dh8WFTxfSwYXokwWSsoLFxpqHxVspcn9Sz1leJKmJrfHwV5SE5bEd/pP6+A==" saltValue="uIzjbUVl0Rk2igS9mBmDLA==" spinCount="100000" sheet="1" objects="1" scenarios="1"/>
  <conditionalFormatting sqref="C19">
    <cfRule type="expression" dxfId="31"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AD1" workbookViewId="0">
      <selection activeCell="AT1" sqref="AT1"/>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(Points)</v>
      </c>
      <c r="AG2" s="67">
        <f ca="1">OFFSET(Demand!$C$13,'SPC background (hide)'!$C$4-2+ROW(A1),0,1,1)</f>
        <v>10</v>
      </c>
      <c r="AH2" s="67">
        <v>1</v>
      </c>
      <c r="AI2" s="67">
        <f ca="1">IF(AH2&lt;=($M$4-$L$4+1),1,IF(AND($M$10&gt;=2,AH2&lt;=$M$5-$L$4+1),2,IF(AND($M$10&gt;=3,AH2&lt;=$M$6-$L$4+1),3,IF(AND($M$10=4,AH2&lt;=$M$7-$L$4+1),4,5))))</f>
        <v>1</v>
      </c>
      <c r="AJ2" s="39">
        <f ca="1">VLOOKUP(AI2,$K$4:$Q$9,4,0)</f>
        <v>5.7131599684791183</v>
      </c>
      <c r="AK2" s="39">
        <f ca="1">IF($AN2-(3*$AJ2)&lt;=0,0,$AN2-(3*$AJ2))</f>
        <v>124.86052009456264</v>
      </c>
      <c r="AL2" s="39">
        <f ca="1">IF($AN2-(2*$AJ2)&lt;=0,0,$AN2-(2*$AJ2))</f>
        <v>130.57368006304176</v>
      </c>
      <c r="AM2" s="39">
        <f ca="1">IF($AN2-(1*$AJ2)&lt;=0,0,$AN2-(1*$AJ2))</f>
        <v>136.28684003152088</v>
      </c>
      <c r="AN2" s="39">
        <f ca="1">VLOOKUP(AI2,$K$4:$Q$9,5,0)</f>
        <v>142</v>
      </c>
      <c r="AO2" s="39">
        <f t="shared" ref="AO2:AO54" ca="1" si="0">$AN2+(1*$AJ2)</f>
        <v>147.71315996847912</v>
      </c>
      <c r="AP2" s="39">
        <f t="shared" ref="AP2:AP54" ca="1" si="1">$AN2+(2*$AJ2)</f>
        <v>153.42631993695824</v>
      </c>
      <c r="AQ2" s="39">
        <f t="shared" ref="AQ2:AQ54" ca="1" si="2">$AN2+(3*$AJ2)</f>
        <v>159.13947990543736</v>
      </c>
      <c r="AR2" s="5">
        <f ca="1">VLOOKUP($AI2,$K$4:$Q$8,6,0)</f>
        <v>142</v>
      </c>
      <c r="AS2" s="5">
        <f t="shared" ref="AS2:AS54" ca="1" si="3">VLOOKUP($AI2,$K$4:$Q$8,7,0)</f>
        <v>155.30000000000001</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11</v>
      </c>
      <c r="AH3" s="67">
        <v>2</v>
      </c>
      <c r="AI3" s="67">
        <f t="shared" ref="AI3:AI54" ca="1" si="4">IF(AH3&lt;=($M$4-$L$4+1),1,IF(AND($M$10&gt;=2,AH3&lt;=$M$5-$L$4+1),2,IF(AND($M$10&gt;=3,AH3&lt;=$M$6-$L$4+1),3,IF(AND($M$10=4,AH3&lt;=$M$7-$L$4+1),4,5))))</f>
        <v>1</v>
      </c>
      <c r="AJ3" s="39">
        <f t="shared" ref="AJ3:AJ54" ca="1" si="5">VLOOKUP(AI3,$K$4:$Q$9,4,0)</f>
        <v>5.7131599684791183</v>
      </c>
      <c r="AK3" s="39">
        <f t="shared" ref="AK3:AK54" ca="1" si="6">IF($AN3-(3*$AJ3)&lt;=0,0,$AN3-(3*$AJ3))</f>
        <v>124.86052009456264</v>
      </c>
      <c r="AL3" s="39">
        <f t="shared" ref="AL3:AL54" ca="1" si="7">IF($AN3-(2*$AJ3)&lt;=0,0,$AN3-(2*$AJ3))</f>
        <v>130.57368006304176</v>
      </c>
      <c r="AM3" s="39">
        <f t="shared" ref="AM3:AM54" ca="1" si="8">IF($AN3-(1*$AJ3)&lt;=0,0,$AN3-(1*$AJ3))</f>
        <v>136.28684003152088</v>
      </c>
      <c r="AN3" s="39">
        <f t="shared" ref="AN3:AN54" ca="1" si="9">VLOOKUP(AI3,$K$4:$Q$9,5,0)</f>
        <v>142</v>
      </c>
      <c r="AO3" s="39">
        <f t="shared" ca="1" si="0"/>
        <v>147.71315996847912</v>
      </c>
      <c r="AP3" s="39">
        <f t="shared" ca="1" si="1"/>
        <v>153.42631993695824</v>
      </c>
      <c r="AQ3" s="39">
        <f t="shared" ca="1" si="2"/>
        <v>159.13947990543736</v>
      </c>
      <c r="AR3" s="5">
        <f t="shared" ref="AR3:AR54" ca="1" si="10">VLOOKUP($AI3,$K$4:$Q$8,6,0)</f>
        <v>142</v>
      </c>
      <c r="AS3" s="5">
        <f t="shared" ca="1" si="3"/>
        <v>155.30000000000001</v>
      </c>
      <c r="AT3" s="5">
        <f t="shared" ref="AT3:AT54" ca="1" si="11">VLOOKUP(AI3,$K$4:$R$8,8,0)</f>
        <v>0</v>
      </c>
    </row>
    <row r="4" spans="1:46" x14ac:dyDescent="0.25">
      <c r="B4" s="67" t="s">
        <v>118</v>
      </c>
      <c r="C4" s="67">
        <v>1</v>
      </c>
      <c r="D4" s="67">
        <v>1</v>
      </c>
      <c r="E4" s="67">
        <f ca="1">MAX(0,MaxRows-9)</f>
        <v>43</v>
      </c>
      <c r="F4" s="67">
        <f ca="1">E4-D4+1</f>
        <v>43</v>
      </c>
      <c r="K4" s="67">
        <v>1</v>
      </c>
      <c r="L4" s="67">
        <f>C4</f>
        <v>1</v>
      </c>
      <c r="M4" s="67">
        <f ca="1">H5+L4-1</f>
        <v>10</v>
      </c>
      <c r="N4" s="5">
        <f ca="1">Sigma1</f>
        <v>5.7131599684791183</v>
      </c>
      <c r="O4" s="5">
        <f ca="1">Mean1</f>
        <v>142</v>
      </c>
      <c r="P4" s="5">
        <f ca="1">PercLower1</f>
        <v>142</v>
      </c>
      <c r="Q4" s="5">
        <f ca="1">PercUpper1</f>
        <v>155.30000000000001</v>
      </c>
      <c r="R4" s="5">
        <f ca="1">Emergency1</f>
        <v>0</v>
      </c>
      <c r="S4" s="5">
        <f ca="1">O4*H5</f>
        <v>1420</v>
      </c>
      <c r="T4" s="5"/>
      <c r="AG4" s="67">
        <f t="shared" ref="AG4:AG54" ca="1" si="12">IF(MOD(AG3+1,53)=0,53,MOD(AG3+1,53))</f>
        <v>12</v>
      </c>
      <c r="AH4" s="67">
        <v>3</v>
      </c>
      <c r="AI4" s="67">
        <f t="shared" ca="1" si="4"/>
        <v>1</v>
      </c>
      <c r="AJ4" s="39">
        <f t="shared" ca="1" si="5"/>
        <v>5.7131599684791183</v>
      </c>
      <c r="AK4" s="39">
        <f t="shared" ca="1" si="6"/>
        <v>124.86052009456264</v>
      </c>
      <c r="AL4" s="39">
        <f t="shared" ca="1" si="7"/>
        <v>130.57368006304176</v>
      </c>
      <c r="AM4" s="39">
        <f t="shared" ca="1" si="8"/>
        <v>136.28684003152088</v>
      </c>
      <c r="AN4" s="39">
        <f t="shared" ca="1" si="9"/>
        <v>142</v>
      </c>
      <c r="AO4" s="39">
        <f t="shared" ca="1" si="0"/>
        <v>147.71315996847912</v>
      </c>
      <c r="AP4" s="39">
        <f t="shared" ca="1" si="1"/>
        <v>153.42631993695824</v>
      </c>
      <c r="AQ4" s="39">
        <f t="shared" ca="1" si="2"/>
        <v>159.13947990543736</v>
      </c>
      <c r="AR4" s="5">
        <f t="shared" ca="1" si="10"/>
        <v>142</v>
      </c>
      <c r="AS4" s="5">
        <f t="shared" ca="1" si="3"/>
        <v>155.30000000000001</v>
      </c>
      <c r="AT4" s="5">
        <f t="shared" ca="1" si="11"/>
        <v>0</v>
      </c>
    </row>
    <row r="5" spans="1:46" x14ac:dyDescent="0.25">
      <c r="B5" s="67" t="s">
        <v>119</v>
      </c>
      <c r="C5" s="67">
        <v>1</v>
      </c>
      <c r="D5" s="67">
        <f>C4+9</f>
        <v>10</v>
      </c>
      <c r="E5" s="67">
        <f ca="1">MIN(C4+52,MaxRows+1)</f>
        <v>53</v>
      </c>
      <c r="F5" s="67">
        <f ca="1">E5-D5+1</f>
        <v>44</v>
      </c>
      <c r="G5" s="67">
        <f ca="1">H5</f>
        <v>10</v>
      </c>
      <c r="H5" s="67">
        <f ca="1">MIN(C5+D5-C4,E5-C4)</f>
        <v>10</v>
      </c>
      <c r="I5" s="67">
        <f ca="1">G5</f>
        <v>10</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13</v>
      </c>
      <c r="AH5" s="67">
        <v>4</v>
      </c>
      <c r="AI5" s="67">
        <f t="shared" ca="1" si="4"/>
        <v>1</v>
      </c>
      <c r="AJ5" s="39">
        <f t="shared" ca="1" si="5"/>
        <v>5.7131599684791183</v>
      </c>
      <c r="AK5" s="39">
        <f t="shared" ca="1" si="6"/>
        <v>124.86052009456264</v>
      </c>
      <c r="AL5" s="39">
        <f t="shared" ca="1" si="7"/>
        <v>130.57368006304176</v>
      </c>
      <c r="AM5" s="39">
        <f t="shared" ca="1" si="8"/>
        <v>136.28684003152088</v>
      </c>
      <c r="AN5" s="39">
        <f t="shared" ca="1" si="9"/>
        <v>142</v>
      </c>
      <c r="AO5" s="39">
        <f t="shared" ca="1" si="0"/>
        <v>147.71315996847912</v>
      </c>
      <c r="AP5" s="39">
        <f t="shared" ca="1" si="1"/>
        <v>153.42631993695824</v>
      </c>
      <c r="AQ5" s="39">
        <f t="shared" ca="1" si="2"/>
        <v>159.13947990543736</v>
      </c>
      <c r="AR5" s="5">
        <f t="shared" ca="1" si="10"/>
        <v>142</v>
      </c>
      <c r="AS5" s="5">
        <f t="shared" ca="1" si="3"/>
        <v>155.30000000000001</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14</v>
      </c>
      <c r="AH6" s="67">
        <v>5</v>
      </c>
      <c r="AI6" s="67">
        <f t="shared" ca="1" si="4"/>
        <v>1</v>
      </c>
      <c r="AJ6" s="39">
        <f t="shared" ca="1" si="5"/>
        <v>5.7131599684791183</v>
      </c>
      <c r="AK6" s="39">
        <f t="shared" ca="1" si="6"/>
        <v>124.86052009456264</v>
      </c>
      <c r="AL6" s="39">
        <f t="shared" ca="1" si="7"/>
        <v>130.57368006304176</v>
      </c>
      <c r="AM6" s="39">
        <f t="shared" ca="1" si="8"/>
        <v>136.28684003152088</v>
      </c>
      <c r="AN6" s="39">
        <f t="shared" ca="1" si="9"/>
        <v>142</v>
      </c>
      <c r="AO6" s="39">
        <f t="shared" ca="1" si="0"/>
        <v>147.71315996847912</v>
      </c>
      <c r="AP6" s="39">
        <f t="shared" ca="1" si="1"/>
        <v>153.42631993695824</v>
      </c>
      <c r="AQ6" s="39">
        <f t="shared" ca="1" si="2"/>
        <v>159.13947990543736</v>
      </c>
      <c r="AR6" s="5">
        <f t="shared" ca="1" si="10"/>
        <v>142</v>
      </c>
      <c r="AS6" s="5">
        <f t="shared" ca="1" si="3"/>
        <v>155.30000000000001</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10</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15</v>
      </c>
      <c r="AH7" s="67">
        <v>6</v>
      </c>
      <c r="AI7" s="67">
        <f t="shared" ca="1" si="4"/>
        <v>1</v>
      </c>
      <c r="AJ7" s="39">
        <f t="shared" ca="1" si="5"/>
        <v>5.7131599684791183</v>
      </c>
      <c r="AK7" s="39">
        <f t="shared" ca="1" si="6"/>
        <v>124.86052009456264</v>
      </c>
      <c r="AL7" s="39">
        <f t="shared" ca="1" si="7"/>
        <v>130.57368006304176</v>
      </c>
      <c r="AM7" s="39">
        <f t="shared" ca="1" si="8"/>
        <v>136.28684003152088</v>
      </c>
      <c r="AN7" s="39">
        <f t="shared" ca="1" si="9"/>
        <v>142</v>
      </c>
      <c r="AO7" s="39">
        <f t="shared" ca="1" si="0"/>
        <v>147.71315996847912</v>
      </c>
      <c r="AP7" s="39">
        <f t="shared" ca="1" si="1"/>
        <v>153.42631993695824</v>
      </c>
      <c r="AQ7" s="39">
        <f t="shared" ca="1" si="2"/>
        <v>159.13947990543736</v>
      </c>
      <c r="AR7" s="5">
        <f t="shared" ca="1" si="10"/>
        <v>142</v>
      </c>
      <c r="AS7" s="5">
        <f t="shared" ca="1" si="3"/>
        <v>155.30000000000001</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11</v>
      </c>
      <c r="M8" s="67">
        <f ca="1">IF(L8&gt;0,52,0)</f>
        <v>52</v>
      </c>
      <c r="N8" s="70">
        <f ca="1">IF(L8&gt;0,INDIRECT("Sigma"&amp;$M$11),"")</f>
        <v>5.7131599684791183</v>
      </c>
      <c r="O8" s="70">
        <f ca="1">IF(M8&gt;0,INDIRECT("Mean"&amp;$M$11),"")</f>
        <v>142</v>
      </c>
      <c r="P8" s="67">
        <f ca="1">IF(N8&gt;0,INDIRECT("PercLower"&amp;$M$11),"")</f>
        <v>142</v>
      </c>
      <c r="Q8" s="67">
        <f ca="1">IF(O8&gt;0,INDIRECT("PercUpper"&amp;$M$11),"")</f>
        <v>155.30000000000001</v>
      </c>
      <c r="R8" s="67">
        <f ca="1">IF(O8&gt;0,INDIRECT("Emergency"&amp;$M$11),"")</f>
        <v>0</v>
      </c>
      <c r="S8" s="5"/>
      <c r="AG8" s="67">
        <f t="shared" ca="1" si="12"/>
        <v>16</v>
      </c>
      <c r="AH8" s="67">
        <v>7</v>
      </c>
      <c r="AI8" s="67">
        <f t="shared" ca="1" si="4"/>
        <v>1</v>
      </c>
      <c r="AJ8" s="39">
        <f t="shared" ca="1" si="5"/>
        <v>5.7131599684791183</v>
      </c>
      <c r="AK8" s="39">
        <f t="shared" ca="1" si="6"/>
        <v>124.86052009456264</v>
      </c>
      <c r="AL8" s="39">
        <f t="shared" ca="1" si="7"/>
        <v>130.57368006304176</v>
      </c>
      <c r="AM8" s="39">
        <f t="shared" ca="1" si="8"/>
        <v>136.28684003152088</v>
      </c>
      <c r="AN8" s="39">
        <f t="shared" ca="1" si="9"/>
        <v>142</v>
      </c>
      <c r="AO8" s="39">
        <f t="shared" ca="1" si="0"/>
        <v>147.71315996847912</v>
      </c>
      <c r="AP8" s="39">
        <f t="shared" ca="1" si="1"/>
        <v>153.42631993695824</v>
      </c>
      <c r="AQ8" s="39">
        <f t="shared" ca="1" si="2"/>
        <v>159.13947990543736</v>
      </c>
      <c r="AR8" s="5">
        <f t="shared" ca="1" si="10"/>
        <v>142</v>
      </c>
      <c r="AS8" s="5">
        <f t="shared" ca="1" si="3"/>
        <v>155.30000000000001</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10</v>
      </c>
      <c r="S9" s="5"/>
      <c r="AG9" s="67">
        <f t="shared" ca="1" si="12"/>
        <v>17</v>
      </c>
      <c r="AH9" s="67">
        <v>8</v>
      </c>
      <c r="AI9" s="67">
        <f t="shared" ca="1" si="4"/>
        <v>1</v>
      </c>
      <c r="AJ9" s="39">
        <f t="shared" ca="1" si="5"/>
        <v>5.7131599684791183</v>
      </c>
      <c r="AK9" s="39">
        <f t="shared" ca="1" si="6"/>
        <v>124.86052009456264</v>
      </c>
      <c r="AL9" s="39">
        <f t="shared" ca="1" si="7"/>
        <v>130.57368006304176</v>
      </c>
      <c r="AM9" s="39">
        <f t="shared" ca="1" si="8"/>
        <v>136.28684003152088</v>
      </c>
      <c r="AN9" s="39">
        <f t="shared" ca="1" si="9"/>
        <v>142</v>
      </c>
      <c r="AO9" s="39">
        <f t="shared" ca="1" si="0"/>
        <v>147.71315996847912</v>
      </c>
      <c r="AP9" s="39">
        <f t="shared" ca="1" si="1"/>
        <v>153.42631993695824</v>
      </c>
      <c r="AQ9" s="39">
        <f t="shared" ca="1" si="2"/>
        <v>159.13947990543736</v>
      </c>
      <c r="AR9" s="5">
        <f t="shared" ca="1" si="10"/>
        <v>142</v>
      </c>
      <c r="AS9" s="5">
        <f t="shared" ca="1" si="3"/>
        <v>155.30000000000001</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1420</v>
      </c>
      <c r="AG10" s="67">
        <f t="shared" ca="1" si="12"/>
        <v>18</v>
      </c>
      <c r="AH10" s="67">
        <v>9</v>
      </c>
      <c r="AI10" s="67">
        <f t="shared" ca="1" si="4"/>
        <v>1</v>
      </c>
      <c r="AJ10" s="39">
        <f t="shared" ca="1" si="5"/>
        <v>5.7131599684791183</v>
      </c>
      <c r="AK10" s="39">
        <f t="shared" ca="1" si="6"/>
        <v>124.86052009456264</v>
      </c>
      <c r="AL10" s="39">
        <f t="shared" ca="1" si="7"/>
        <v>130.57368006304176</v>
      </c>
      <c r="AM10" s="39">
        <f t="shared" ca="1" si="8"/>
        <v>136.28684003152088</v>
      </c>
      <c r="AN10" s="39">
        <f t="shared" ca="1" si="9"/>
        <v>142</v>
      </c>
      <c r="AO10" s="39">
        <f t="shared" ca="1" si="0"/>
        <v>147.71315996847912</v>
      </c>
      <c r="AP10" s="39">
        <f t="shared" ca="1" si="1"/>
        <v>153.42631993695824</v>
      </c>
      <c r="AQ10" s="39">
        <f t="shared" ca="1" si="2"/>
        <v>159.13947990543736</v>
      </c>
      <c r="AR10" s="5">
        <f t="shared" ca="1" si="10"/>
        <v>142</v>
      </c>
      <c r="AS10" s="5">
        <f t="shared" ca="1" si="3"/>
        <v>155.30000000000001</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10</v>
      </c>
      <c r="M11" s="67">
        <f>IF(SPC_Type="1 Season",1,IF(AND(M10=1,I11&lt;52),1,IF('SPC Chart'!C19="",1,'SPC Chart'!C19)))</f>
        <v>1</v>
      </c>
      <c r="S11" s="5">
        <f ca="1">S10/I11</f>
        <v>142</v>
      </c>
      <c r="AG11" s="67">
        <f t="shared" ca="1" si="12"/>
        <v>19</v>
      </c>
      <c r="AH11" s="67">
        <v>10</v>
      </c>
      <c r="AI11" s="67">
        <f t="shared" ca="1" si="4"/>
        <v>1</v>
      </c>
      <c r="AJ11" s="39">
        <f t="shared" ca="1" si="5"/>
        <v>5.7131599684791183</v>
      </c>
      <c r="AK11" s="39">
        <f t="shared" ca="1" si="6"/>
        <v>124.86052009456264</v>
      </c>
      <c r="AL11" s="39">
        <f t="shared" ca="1" si="7"/>
        <v>130.57368006304176</v>
      </c>
      <c r="AM11" s="39">
        <f t="shared" ca="1" si="8"/>
        <v>136.28684003152088</v>
      </c>
      <c r="AN11" s="39">
        <f t="shared" ca="1" si="9"/>
        <v>142</v>
      </c>
      <c r="AO11" s="39">
        <f t="shared" ca="1" si="0"/>
        <v>147.71315996847912</v>
      </c>
      <c r="AP11" s="39">
        <f t="shared" ca="1" si="1"/>
        <v>153.42631993695824</v>
      </c>
      <c r="AQ11" s="39">
        <f t="shared" ca="1" si="2"/>
        <v>159.13947990543736</v>
      </c>
      <c r="AR11" s="5">
        <f t="shared" ca="1" si="10"/>
        <v>142</v>
      </c>
      <c r="AS11" s="5">
        <f t="shared" ca="1" si="3"/>
        <v>155.30000000000001</v>
      </c>
      <c r="AT11" s="5">
        <f t="shared" ca="1" si="11"/>
        <v>0</v>
      </c>
    </row>
    <row r="12" spans="1:46" x14ac:dyDescent="0.25">
      <c r="S12" s="5"/>
      <c r="AG12" s="67">
        <f t="shared" ca="1" si="12"/>
        <v>20</v>
      </c>
      <c r="AH12" s="67">
        <v>11</v>
      </c>
      <c r="AI12" s="67">
        <f t="shared" ca="1" si="4"/>
        <v>5</v>
      </c>
      <c r="AJ12" s="39">
        <f t="shared" ca="1" si="5"/>
        <v>5.7131599684791183</v>
      </c>
      <c r="AK12" s="39">
        <f t="shared" ca="1" si="6"/>
        <v>124.86052009456264</v>
      </c>
      <c r="AL12" s="39">
        <f t="shared" ca="1" si="7"/>
        <v>130.57368006304176</v>
      </c>
      <c r="AM12" s="39">
        <f t="shared" ca="1" si="8"/>
        <v>136.28684003152088</v>
      </c>
      <c r="AN12" s="39">
        <f t="shared" ca="1" si="9"/>
        <v>142</v>
      </c>
      <c r="AO12" s="39">
        <f t="shared" ca="1" si="0"/>
        <v>147.71315996847912</v>
      </c>
      <c r="AP12" s="39">
        <f t="shared" ca="1" si="1"/>
        <v>153.42631993695824</v>
      </c>
      <c r="AQ12" s="39">
        <f t="shared" ca="1" si="2"/>
        <v>159.13947990543736</v>
      </c>
      <c r="AR12" s="5">
        <f t="shared" ca="1" si="10"/>
        <v>142</v>
      </c>
      <c r="AS12" s="5">
        <f t="shared" ca="1" si="3"/>
        <v>155.30000000000001</v>
      </c>
      <c r="AT12" s="5">
        <f t="shared" ca="1" si="11"/>
        <v>0</v>
      </c>
    </row>
    <row r="13" spans="1:46" x14ac:dyDescent="0.25">
      <c r="Q13" s="67" t="s">
        <v>161</v>
      </c>
      <c r="AG13" s="67">
        <f t="shared" ca="1" si="12"/>
        <v>21</v>
      </c>
      <c r="AH13" s="67">
        <v>12</v>
      </c>
      <c r="AI13" s="67">
        <f t="shared" ca="1" si="4"/>
        <v>5</v>
      </c>
      <c r="AJ13" s="39">
        <f t="shared" ca="1" si="5"/>
        <v>5.7131599684791183</v>
      </c>
      <c r="AK13" s="39">
        <f t="shared" ca="1" si="6"/>
        <v>124.86052009456264</v>
      </c>
      <c r="AL13" s="39">
        <f t="shared" ca="1" si="7"/>
        <v>130.57368006304176</v>
      </c>
      <c r="AM13" s="39">
        <f t="shared" ca="1" si="8"/>
        <v>136.28684003152088</v>
      </c>
      <c r="AN13" s="39">
        <f t="shared" ca="1" si="9"/>
        <v>142</v>
      </c>
      <c r="AO13" s="39">
        <f t="shared" ca="1" si="0"/>
        <v>147.71315996847912</v>
      </c>
      <c r="AP13" s="39">
        <f t="shared" ca="1" si="1"/>
        <v>153.42631993695824</v>
      </c>
      <c r="AQ13" s="39">
        <f t="shared" ca="1" si="2"/>
        <v>159.13947990543736</v>
      </c>
      <c r="AR13" s="5">
        <f t="shared" ca="1" si="10"/>
        <v>142</v>
      </c>
      <c r="AS13" s="5">
        <f t="shared" ca="1" si="3"/>
        <v>155.30000000000001</v>
      </c>
      <c r="AT13" s="5">
        <f t="shared" ca="1" si="11"/>
        <v>0</v>
      </c>
    </row>
    <row r="14" spans="1:46" x14ac:dyDescent="0.25">
      <c r="Q14" s="67" t="s">
        <v>171</v>
      </c>
      <c r="R14" s="67" t="s">
        <v>172</v>
      </c>
      <c r="T14" s="67" t="s">
        <v>173</v>
      </c>
      <c r="V14" s="67" t="s">
        <v>180</v>
      </c>
      <c r="X14" s="67" t="s">
        <v>179</v>
      </c>
      <c r="Z14" s="67" t="s">
        <v>174</v>
      </c>
      <c r="AC14" s="67" t="s">
        <v>162</v>
      </c>
      <c r="AG14" s="67">
        <f t="shared" ca="1" si="12"/>
        <v>22</v>
      </c>
      <c r="AH14" s="67">
        <v>13</v>
      </c>
      <c r="AI14" s="67">
        <f t="shared" ca="1" si="4"/>
        <v>5</v>
      </c>
      <c r="AJ14" s="39">
        <f t="shared" ca="1" si="5"/>
        <v>5.7131599684791183</v>
      </c>
      <c r="AK14" s="39">
        <f t="shared" ca="1" si="6"/>
        <v>124.86052009456264</v>
      </c>
      <c r="AL14" s="39">
        <f t="shared" ca="1" si="7"/>
        <v>130.57368006304176</v>
      </c>
      <c r="AM14" s="39">
        <f t="shared" ca="1" si="8"/>
        <v>136.28684003152088</v>
      </c>
      <c r="AN14" s="39">
        <f t="shared" ca="1" si="9"/>
        <v>142</v>
      </c>
      <c r="AO14" s="39">
        <f t="shared" ca="1" si="0"/>
        <v>147.71315996847912</v>
      </c>
      <c r="AP14" s="39">
        <f t="shared" ca="1" si="1"/>
        <v>153.42631993695824</v>
      </c>
      <c r="AQ14" s="39">
        <f t="shared" ca="1" si="2"/>
        <v>159.13947990543736</v>
      </c>
      <c r="AR14" s="5">
        <f t="shared" ca="1" si="10"/>
        <v>142</v>
      </c>
      <c r="AS14" s="5">
        <f t="shared" ca="1" si="3"/>
        <v>155.30000000000001</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23</v>
      </c>
      <c r="AH15" s="67">
        <v>14</v>
      </c>
      <c r="AI15" s="67">
        <f t="shared" ca="1" si="4"/>
        <v>5</v>
      </c>
      <c r="AJ15" s="39">
        <f t="shared" ca="1" si="5"/>
        <v>5.7131599684791183</v>
      </c>
      <c r="AK15" s="39">
        <f t="shared" ca="1" si="6"/>
        <v>124.86052009456264</v>
      </c>
      <c r="AL15" s="39">
        <f t="shared" ca="1" si="7"/>
        <v>130.57368006304176</v>
      </c>
      <c r="AM15" s="39">
        <f t="shared" ca="1" si="8"/>
        <v>136.28684003152088</v>
      </c>
      <c r="AN15" s="39">
        <f t="shared" ca="1" si="9"/>
        <v>142</v>
      </c>
      <c r="AO15" s="39">
        <f t="shared" ca="1" si="0"/>
        <v>147.71315996847912</v>
      </c>
      <c r="AP15" s="39">
        <f t="shared" ca="1" si="1"/>
        <v>153.42631993695824</v>
      </c>
      <c r="AQ15" s="39">
        <f t="shared" ca="1" si="2"/>
        <v>159.13947990543736</v>
      </c>
      <c r="AR15" s="5">
        <f t="shared" ca="1" si="10"/>
        <v>142</v>
      </c>
      <c r="AS15" s="5">
        <f t="shared" ca="1" si="3"/>
        <v>155.30000000000001</v>
      </c>
      <c r="AT15" s="5">
        <f t="shared" ca="1" si="11"/>
        <v>0</v>
      </c>
    </row>
    <row r="16" spans="1:46" x14ac:dyDescent="0.25">
      <c r="A16" s="67">
        <f>Demand!C13</f>
        <v>10</v>
      </c>
      <c r="B16" s="67">
        <v>1</v>
      </c>
      <c r="C16" s="5">
        <f ca="1">'Demand background (hide)'!Y4</f>
        <v>122</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124.86052009456264</v>
      </c>
      <c r="K16" s="5">
        <f t="shared" ca="1" si="13"/>
        <v>130.57368006304176</v>
      </c>
      <c r="L16" s="5">
        <f t="shared" ca="1" si="13"/>
        <v>136.28684003152088</v>
      </c>
      <c r="M16" s="5">
        <f t="shared" ca="1" si="13"/>
        <v>142</v>
      </c>
      <c r="N16" s="5">
        <f t="shared" ca="1" si="13"/>
        <v>147.71315996847912</v>
      </c>
      <c r="O16" s="5">
        <f t="shared" ca="1" si="13"/>
        <v>153.42631993695824</v>
      </c>
      <c r="P16" s="5">
        <f t="shared" ca="1" si="13"/>
        <v>159.13947990543736</v>
      </c>
      <c r="Q16" s="5">
        <f ca="1">IF(ISNA(H16)=TRUE,IF(OR(C16&gt;P16,C16&lt;J16),C16,NA()),NA())</f>
        <v>122</v>
      </c>
      <c r="V16" s="5">
        <f t="shared" ref="V16:V79" ca="1" si="14">IF(C16&lt;M16,-1,IF(C16&gt;M16,1,0))</f>
        <v>-1</v>
      </c>
      <c r="W16" s="5" t="e">
        <f ca="1">IF(ISNA(H16)=TRUE,IF(ABS(SUM(V16:V24))=9,C16,NA()),NA())</f>
        <v>#N/A</v>
      </c>
      <c r="AA16" s="5" t="str">
        <f>IF(Setup!$I$15="Yes",'Demand background (hide)'!AJ4+'SPC background (hide)'!C16,"")</f>
        <v/>
      </c>
      <c r="AC16" s="5">
        <f ca="1">VLOOKUP($A16,$AG$2:$AS$54,12,0)</f>
        <v>142</v>
      </c>
      <c r="AD16" s="5">
        <f ca="1">VLOOKUP($A16,$AG$2:$AS$54,13,0)</f>
        <v>155.30000000000001</v>
      </c>
      <c r="AG16" s="67">
        <f t="shared" ca="1" si="12"/>
        <v>24</v>
      </c>
      <c r="AH16" s="67">
        <v>15</v>
      </c>
      <c r="AI16" s="67">
        <f t="shared" ca="1" si="4"/>
        <v>5</v>
      </c>
      <c r="AJ16" s="39">
        <f t="shared" ca="1" si="5"/>
        <v>5.7131599684791183</v>
      </c>
      <c r="AK16" s="39">
        <f t="shared" ca="1" si="6"/>
        <v>124.86052009456264</v>
      </c>
      <c r="AL16" s="39">
        <f t="shared" ca="1" si="7"/>
        <v>130.57368006304176</v>
      </c>
      <c r="AM16" s="39">
        <f t="shared" ca="1" si="8"/>
        <v>136.28684003152088</v>
      </c>
      <c r="AN16" s="39">
        <f t="shared" ca="1" si="9"/>
        <v>142</v>
      </c>
      <c r="AO16" s="39">
        <f t="shared" ca="1" si="0"/>
        <v>147.71315996847912</v>
      </c>
      <c r="AP16" s="39">
        <f t="shared" ca="1" si="1"/>
        <v>153.42631993695824</v>
      </c>
      <c r="AQ16" s="39">
        <f t="shared" ca="1" si="2"/>
        <v>159.13947990543736</v>
      </c>
      <c r="AR16" s="5">
        <f t="shared" ca="1" si="10"/>
        <v>142</v>
      </c>
      <c r="AS16" s="5">
        <f t="shared" ca="1" si="3"/>
        <v>155.30000000000001</v>
      </c>
      <c r="AT16" s="5">
        <f t="shared" ca="1" si="11"/>
        <v>0</v>
      </c>
    </row>
    <row r="17" spans="1:46" x14ac:dyDescent="0.25">
      <c r="A17" s="67">
        <f ca="1">Demand!C14</f>
        <v>11</v>
      </c>
      <c r="B17" s="67">
        <v>2</v>
      </c>
      <c r="C17" s="5">
        <f ca="1">'Demand background (hide)'!Y5</f>
        <v>124</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124.86052009456264</v>
      </c>
      <c r="K17" s="5">
        <f t="shared" ref="K17:K80" ca="1" si="21">VLOOKUP($A17,$AG$2:$AQ$54,COLUMN(F$1),0)</f>
        <v>130.57368006304176</v>
      </c>
      <c r="L17" s="5">
        <f t="shared" ref="L17:L80" ca="1" si="22">VLOOKUP($A17,$AG$2:$AQ$54,COLUMN(G$1),0)</f>
        <v>136.28684003152088</v>
      </c>
      <c r="M17" s="5">
        <f t="shared" ref="M17:M80" ca="1" si="23">VLOOKUP($A17,$AG$2:$AQ$54,COLUMN(H$1),0)</f>
        <v>142</v>
      </c>
      <c r="N17" s="5">
        <f t="shared" ref="N17:N80" ca="1" si="24">VLOOKUP($A17,$AG$2:$AQ$54,COLUMN(I$1),0)</f>
        <v>147.71315996847912</v>
      </c>
      <c r="O17" s="5">
        <f t="shared" ref="O17:O80" ca="1" si="25">VLOOKUP($A17,$AG$2:$AQ$54,COLUMN(J$1),0)</f>
        <v>153.42631993695824</v>
      </c>
      <c r="P17" s="5">
        <f t="shared" ref="P17:P80" ca="1" si="26">VLOOKUP($A17,$AG$2:$AQ$54,COLUMN(K$1),0)</f>
        <v>159.13947990543736</v>
      </c>
      <c r="Q17" s="5">
        <f t="shared" ref="Q17:Q80" ca="1" si="27">IF(ISNA(H17)=TRUE,IF(OR(C17&gt;P17,C17&lt;J17),C17,NA()),NA())</f>
        <v>124</v>
      </c>
      <c r="R17" s="5">
        <f ca="1">IF(C17&gt;O17,2,IF(C17&lt;K17,-2,IF(C17&gt;M17,1,IF(C17&lt;M17,-1,0))))</f>
        <v>-2</v>
      </c>
      <c r="S17" s="67" t="e">
        <f ca="1">IF(ISNA(H17),IF(ABS(SUM(R17:R19))&gt;=5,C17,NA()),NA())</f>
        <v>#N/A</v>
      </c>
      <c r="T17" s="67">
        <f ca="1">IF(C17&gt;N17,2,IF(C17&lt;L17,-2,IF(C17&gt;M17,1,IF(C17&lt;M17,-1,0))))</f>
        <v>-2</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142</v>
      </c>
      <c r="AD17" s="5">
        <f t="shared" ref="AD17:AD80" ca="1" si="31">VLOOKUP($A17,$AG$2:$AS$54,13,0)</f>
        <v>155.30000000000001</v>
      </c>
      <c r="AG17" s="67">
        <f t="shared" ca="1" si="12"/>
        <v>25</v>
      </c>
      <c r="AH17" s="67">
        <v>16</v>
      </c>
      <c r="AI17" s="67">
        <f t="shared" ca="1" si="4"/>
        <v>5</v>
      </c>
      <c r="AJ17" s="39">
        <f t="shared" ca="1" si="5"/>
        <v>5.7131599684791183</v>
      </c>
      <c r="AK17" s="39">
        <f t="shared" ca="1" si="6"/>
        <v>124.86052009456264</v>
      </c>
      <c r="AL17" s="39">
        <f t="shared" ca="1" si="7"/>
        <v>130.57368006304176</v>
      </c>
      <c r="AM17" s="39">
        <f t="shared" ca="1" si="8"/>
        <v>136.28684003152088</v>
      </c>
      <c r="AN17" s="39">
        <f t="shared" ca="1" si="9"/>
        <v>142</v>
      </c>
      <c r="AO17" s="39">
        <f t="shared" ca="1" si="0"/>
        <v>147.71315996847912</v>
      </c>
      <c r="AP17" s="39">
        <f t="shared" ca="1" si="1"/>
        <v>153.42631993695824</v>
      </c>
      <c r="AQ17" s="39">
        <f t="shared" ca="1" si="2"/>
        <v>159.13947990543736</v>
      </c>
      <c r="AR17" s="5">
        <f t="shared" ca="1" si="10"/>
        <v>142</v>
      </c>
      <c r="AS17" s="5">
        <f t="shared" ca="1" si="3"/>
        <v>155.30000000000001</v>
      </c>
      <c r="AT17" s="5">
        <f t="shared" ca="1" si="11"/>
        <v>0</v>
      </c>
    </row>
    <row r="18" spans="1:46" x14ac:dyDescent="0.25">
      <c r="A18" s="67">
        <f ca="1">Demand!C15</f>
        <v>12</v>
      </c>
      <c r="B18" s="67">
        <v>3</v>
      </c>
      <c r="C18" s="5">
        <f ca="1">'Demand background (hide)'!Y6</f>
        <v>138</v>
      </c>
      <c r="D18" s="67">
        <f t="shared" si="15"/>
        <v>1</v>
      </c>
      <c r="E18" s="67" t="e">
        <f t="shared" ca="1" si="16"/>
        <v>#N/A</v>
      </c>
      <c r="F18" s="67" t="e">
        <f t="shared" ca="1" si="17"/>
        <v>#N/A</v>
      </c>
      <c r="G18" s="67" t="e">
        <f t="shared" ca="1" si="18"/>
        <v>#N/A</v>
      </c>
      <c r="H18" s="67" t="e">
        <f>IF('Demand background (hide)'!AN6&lt;&gt;"",'SPC background (hide)'!C18,NA())</f>
        <v>#N/A</v>
      </c>
      <c r="I18" s="67">
        <f t="shared" ca="1" si="19"/>
        <v>1</v>
      </c>
      <c r="J18" s="5">
        <f t="shared" ca="1" si="20"/>
        <v>124.86052009456264</v>
      </c>
      <c r="K18" s="5">
        <f t="shared" ca="1" si="21"/>
        <v>130.57368006304176</v>
      </c>
      <c r="L18" s="5">
        <f t="shared" ca="1" si="22"/>
        <v>136.28684003152088</v>
      </c>
      <c r="M18" s="5">
        <f t="shared" ca="1" si="23"/>
        <v>142</v>
      </c>
      <c r="N18" s="5">
        <f t="shared" ca="1" si="24"/>
        <v>147.71315996847912</v>
      </c>
      <c r="O18" s="5">
        <f t="shared" ca="1" si="25"/>
        <v>153.42631993695824</v>
      </c>
      <c r="P18" s="5">
        <f t="shared" ca="1" si="26"/>
        <v>159.13947990543736</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142</v>
      </c>
      <c r="AD18" s="5">
        <f t="shared" ca="1" si="31"/>
        <v>155.30000000000001</v>
      </c>
      <c r="AG18" s="67">
        <f t="shared" ca="1" si="12"/>
        <v>26</v>
      </c>
      <c r="AH18" s="67">
        <v>17</v>
      </c>
      <c r="AI18" s="67">
        <f t="shared" ca="1" si="4"/>
        <v>5</v>
      </c>
      <c r="AJ18" s="39">
        <f t="shared" ca="1" si="5"/>
        <v>5.7131599684791183</v>
      </c>
      <c r="AK18" s="39">
        <f t="shared" ca="1" si="6"/>
        <v>124.86052009456264</v>
      </c>
      <c r="AL18" s="39">
        <f t="shared" ca="1" si="7"/>
        <v>130.57368006304176</v>
      </c>
      <c r="AM18" s="39">
        <f t="shared" ca="1" si="8"/>
        <v>136.28684003152088</v>
      </c>
      <c r="AN18" s="39">
        <f t="shared" ca="1" si="9"/>
        <v>142</v>
      </c>
      <c r="AO18" s="39">
        <f t="shared" ca="1" si="0"/>
        <v>147.71315996847912</v>
      </c>
      <c r="AP18" s="39">
        <f t="shared" ca="1" si="1"/>
        <v>153.42631993695824</v>
      </c>
      <c r="AQ18" s="39">
        <f t="shared" ca="1" si="2"/>
        <v>159.13947990543736</v>
      </c>
      <c r="AR18" s="5">
        <f t="shared" ca="1" si="10"/>
        <v>142</v>
      </c>
      <c r="AS18" s="5">
        <f t="shared" ca="1" si="3"/>
        <v>155.30000000000001</v>
      </c>
      <c r="AT18" s="5">
        <f t="shared" ca="1" si="11"/>
        <v>0</v>
      </c>
    </row>
    <row r="19" spans="1:46" x14ac:dyDescent="0.25">
      <c r="A19" s="67">
        <f ca="1">Demand!C16</f>
        <v>13</v>
      </c>
      <c r="B19" s="67">
        <v>4</v>
      </c>
      <c r="C19" s="5">
        <f ca="1">'Demand background (hide)'!Y7</f>
        <v>142</v>
      </c>
      <c r="D19" s="67">
        <f t="shared" si="15"/>
        <v>1</v>
      </c>
      <c r="E19" s="67" t="e">
        <f t="shared" ca="1" si="16"/>
        <v>#N/A</v>
      </c>
      <c r="F19" s="67" t="e">
        <f t="shared" ca="1" si="17"/>
        <v>#N/A</v>
      </c>
      <c r="G19" s="67" t="e">
        <f t="shared" ca="1" si="18"/>
        <v>#N/A</v>
      </c>
      <c r="H19" s="67" t="e">
        <f>IF('Demand background (hide)'!AN7&lt;&gt;"",'SPC background (hide)'!C19,NA())</f>
        <v>#N/A</v>
      </c>
      <c r="I19" s="67">
        <f t="shared" ca="1" si="19"/>
        <v>1</v>
      </c>
      <c r="J19" s="5">
        <f t="shared" ca="1" si="20"/>
        <v>124.86052009456264</v>
      </c>
      <c r="K19" s="5">
        <f t="shared" ca="1" si="21"/>
        <v>130.57368006304176</v>
      </c>
      <c r="L19" s="5">
        <f t="shared" ca="1" si="22"/>
        <v>136.28684003152088</v>
      </c>
      <c r="M19" s="5">
        <f t="shared" ca="1" si="23"/>
        <v>142</v>
      </c>
      <c r="N19" s="5">
        <f t="shared" ca="1" si="24"/>
        <v>147.71315996847912</v>
      </c>
      <c r="O19" s="5">
        <f t="shared" ca="1" si="25"/>
        <v>153.42631993695824</v>
      </c>
      <c r="P19" s="5">
        <f t="shared" ca="1" si="26"/>
        <v>159.13947990543736</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1</v>
      </c>
      <c r="Y19" s="67" t="e">
        <f t="shared" ca="1" si="36"/>
        <v>#N/A</v>
      </c>
      <c r="Z19" s="67" t="e">
        <f t="shared" ca="1" si="37"/>
        <v>#N/A</v>
      </c>
      <c r="AA19" s="5" t="str">
        <f>IF(Setup!$I$15="Yes",'Demand background (hide)'!AJ7+'SPC background (hide)'!C19,"")</f>
        <v/>
      </c>
      <c r="AC19" s="5">
        <f t="shared" ca="1" si="30"/>
        <v>142</v>
      </c>
      <c r="AD19" s="5">
        <f t="shared" ca="1" si="31"/>
        <v>155.30000000000001</v>
      </c>
      <c r="AG19" s="67">
        <f t="shared" ca="1" si="12"/>
        <v>27</v>
      </c>
      <c r="AH19" s="67">
        <v>18</v>
      </c>
      <c r="AI19" s="67">
        <f t="shared" ca="1" si="4"/>
        <v>5</v>
      </c>
      <c r="AJ19" s="39">
        <f t="shared" ca="1" si="5"/>
        <v>5.7131599684791183</v>
      </c>
      <c r="AK19" s="39">
        <f t="shared" ca="1" si="6"/>
        <v>124.86052009456264</v>
      </c>
      <c r="AL19" s="39">
        <f t="shared" ca="1" si="7"/>
        <v>130.57368006304176</v>
      </c>
      <c r="AM19" s="39">
        <f t="shared" ca="1" si="8"/>
        <v>136.28684003152088</v>
      </c>
      <c r="AN19" s="39">
        <f t="shared" ca="1" si="9"/>
        <v>142</v>
      </c>
      <c r="AO19" s="39">
        <f t="shared" ca="1" si="0"/>
        <v>147.71315996847912</v>
      </c>
      <c r="AP19" s="39">
        <f t="shared" ca="1" si="1"/>
        <v>153.42631993695824</v>
      </c>
      <c r="AQ19" s="39">
        <f t="shared" ca="1" si="2"/>
        <v>159.13947990543736</v>
      </c>
      <c r="AR19" s="5">
        <f t="shared" ca="1" si="10"/>
        <v>142</v>
      </c>
      <c r="AS19" s="5">
        <f t="shared" ca="1" si="3"/>
        <v>155.30000000000001</v>
      </c>
      <c r="AT19" s="5">
        <f t="shared" ca="1" si="11"/>
        <v>0</v>
      </c>
    </row>
    <row r="20" spans="1:46" x14ac:dyDescent="0.25">
      <c r="A20" s="67">
        <f ca="1">Demand!C17</f>
        <v>14</v>
      </c>
      <c r="B20" s="67">
        <v>5</v>
      </c>
      <c r="C20" s="5">
        <f ca="1">'Demand background (hide)'!Y8</f>
        <v>160</v>
      </c>
      <c r="D20" s="67">
        <f t="shared" si="15"/>
        <v>1</v>
      </c>
      <c r="E20" s="67" t="e">
        <f t="shared" ca="1" si="16"/>
        <v>#N/A</v>
      </c>
      <c r="F20" s="67" t="e">
        <f t="shared" ca="1" si="17"/>
        <v>#N/A</v>
      </c>
      <c r="G20" s="67" t="e">
        <f t="shared" ca="1" si="18"/>
        <v>#N/A</v>
      </c>
      <c r="H20" s="67" t="e">
        <f>IF('Demand background (hide)'!AN8&lt;&gt;"",'SPC background (hide)'!C20,NA())</f>
        <v>#N/A</v>
      </c>
      <c r="I20" s="67">
        <f t="shared" ca="1" si="19"/>
        <v>1</v>
      </c>
      <c r="J20" s="5">
        <f t="shared" ca="1" si="20"/>
        <v>124.86052009456264</v>
      </c>
      <c r="K20" s="5">
        <f t="shared" ca="1" si="21"/>
        <v>130.57368006304176</v>
      </c>
      <c r="L20" s="5">
        <f t="shared" ca="1" si="22"/>
        <v>136.28684003152088</v>
      </c>
      <c r="M20" s="5">
        <f t="shared" ca="1" si="23"/>
        <v>142</v>
      </c>
      <c r="N20" s="5">
        <f t="shared" ca="1" si="24"/>
        <v>147.71315996847912</v>
      </c>
      <c r="O20" s="5">
        <f t="shared" ca="1" si="25"/>
        <v>153.42631993695824</v>
      </c>
      <c r="P20" s="5">
        <f t="shared" ca="1" si="26"/>
        <v>159.13947990543736</v>
      </c>
      <c r="Q20" s="5">
        <f t="shared" ca="1" si="27"/>
        <v>160</v>
      </c>
      <c r="R20" s="5">
        <f t="shared" ca="1" si="32"/>
        <v>2</v>
      </c>
      <c r="S20" s="67">
        <f t="shared" ca="1" si="33"/>
        <v>160</v>
      </c>
      <c r="T20" s="67">
        <f t="shared" ca="1" si="34"/>
        <v>2</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142</v>
      </c>
      <c r="AD20" s="5">
        <f t="shared" ca="1" si="31"/>
        <v>155.30000000000001</v>
      </c>
      <c r="AG20" s="67">
        <f t="shared" ca="1" si="12"/>
        <v>28</v>
      </c>
      <c r="AH20" s="67">
        <v>19</v>
      </c>
      <c r="AI20" s="67">
        <f t="shared" ca="1" si="4"/>
        <v>5</v>
      </c>
      <c r="AJ20" s="39">
        <f t="shared" ca="1" si="5"/>
        <v>5.7131599684791183</v>
      </c>
      <c r="AK20" s="39">
        <f t="shared" ca="1" si="6"/>
        <v>124.86052009456264</v>
      </c>
      <c r="AL20" s="39">
        <f t="shared" ca="1" si="7"/>
        <v>130.57368006304176</v>
      </c>
      <c r="AM20" s="39">
        <f t="shared" ca="1" si="8"/>
        <v>136.28684003152088</v>
      </c>
      <c r="AN20" s="39">
        <f t="shared" ca="1" si="9"/>
        <v>142</v>
      </c>
      <c r="AO20" s="39">
        <f t="shared" ca="1" si="0"/>
        <v>147.71315996847912</v>
      </c>
      <c r="AP20" s="39">
        <f t="shared" ca="1" si="1"/>
        <v>153.42631993695824</v>
      </c>
      <c r="AQ20" s="39">
        <f t="shared" ca="1" si="2"/>
        <v>159.13947990543736</v>
      </c>
      <c r="AR20" s="5">
        <f t="shared" ca="1" si="10"/>
        <v>142</v>
      </c>
      <c r="AS20" s="5">
        <f t="shared" ca="1" si="3"/>
        <v>155.30000000000001</v>
      </c>
      <c r="AT20" s="5">
        <f t="shared" ca="1" si="11"/>
        <v>0</v>
      </c>
    </row>
    <row r="21" spans="1:46" x14ac:dyDescent="0.25">
      <c r="A21" s="67">
        <f ca="1">Demand!C18</f>
        <v>15</v>
      </c>
      <c r="B21" s="67">
        <v>6</v>
      </c>
      <c r="C21" s="5">
        <f ca="1">'Demand background (hide)'!Y9</f>
        <v>156</v>
      </c>
      <c r="D21" s="67">
        <f t="shared" si="15"/>
        <v>1</v>
      </c>
      <c r="E21" s="67" t="e">
        <f t="shared" ca="1" si="16"/>
        <v>#N/A</v>
      </c>
      <c r="F21" s="67" t="e">
        <f t="shared" ca="1" si="17"/>
        <v>#N/A</v>
      </c>
      <c r="G21" s="67" t="e">
        <f t="shared" ca="1" si="18"/>
        <v>#N/A</v>
      </c>
      <c r="H21" s="67" t="e">
        <f>IF('Demand background (hide)'!AN9&lt;&gt;"",'SPC background (hide)'!C21,NA())</f>
        <v>#N/A</v>
      </c>
      <c r="I21" s="67">
        <f t="shared" ca="1" si="19"/>
        <v>1</v>
      </c>
      <c r="J21" s="5">
        <f t="shared" ca="1" si="20"/>
        <v>124.86052009456264</v>
      </c>
      <c r="K21" s="5">
        <f t="shared" ca="1" si="21"/>
        <v>130.57368006304176</v>
      </c>
      <c r="L21" s="5">
        <f t="shared" ca="1" si="22"/>
        <v>136.28684003152088</v>
      </c>
      <c r="M21" s="5">
        <f t="shared" ca="1" si="23"/>
        <v>142</v>
      </c>
      <c r="N21" s="5">
        <f t="shared" ca="1" si="24"/>
        <v>147.71315996847912</v>
      </c>
      <c r="O21" s="5">
        <f t="shared" ca="1" si="25"/>
        <v>153.42631993695824</v>
      </c>
      <c r="P21" s="5">
        <f t="shared" ca="1" si="26"/>
        <v>159.13947990543736</v>
      </c>
      <c r="Q21" s="5" t="e">
        <f t="shared" ca="1" si="27"/>
        <v>#N/A</v>
      </c>
      <c r="R21" s="5">
        <f t="shared" ca="1" si="32"/>
        <v>2</v>
      </c>
      <c r="S21" s="67" t="e">
        <f t="shared" ca="1" si="33"/>
        <v>#N/A</v>
      </c>
      <c r="T21" s="67">
        <f t="shared" ca="1" si="34"/>
        <v>2</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142</v>
      </c>
      <c r="AD21" s="5">
        <f t="shared" ca="1" si="31"/>
        <v>155.30000000000001</v>
      </c>
      <c r="AG21" s="67">
        <f t="shared" ca="1" si="12"/>
        <v>29</v>
      </c>
      <c r="AH21" s="67">
        <v>20</v>
      </c>
      <c r="AI21" s="67">
        <f t="shared" ca="1" si="4"/>
        <v>5</v>
      </c>
      <c r="AJ21" s="39">
        <f t="shared" ca="1" si="5"/>
        <v>5.7131599684791183</v>
      </c>
      <c r="AK21" s="39">
        <f t="shared" ca="1" si="6"/>
        <v>124.86052009456264</v>
      </c>
      <c r="AL21" s="39">
        <f t="shared" ca="1" si="7"/>
        <v>130.57368006304176</v>
      </c>
      <c r="AM21" s="39">
        <f t="shared" ca="1" si="8"/>
        <v>136.28684003152088</v>
      </c>
      <c r="AN21" s="39">
        <f t="shared" ca="1" si="9"/>
        <v>142</v>
      </c>
      <c r="AO21" s="39">
        <f t="shared" ca="1" si="0"/>
        <v>147.71315996847912</v>
      </c>
      <c r="AP21" s="39">
        <f t="shared" ca="1" si="1"/>
        <v>153.42631993695824</v>
      </c>
      <c r="AQ21" s="39">
        <f t="shared" ca="1" si="2"/>
        <v>159.13947990543736</v>
      </c>
      <c r="AR21" s="5">
        <f t="shared" ca="1" si="10"/>
        <v>142</v>
      </c>
      <c r="AS21" s="5">
        <f t="shared" ca="1" si="3"/>
        <v>155.30000000000001</v>
      </c>
      <c r="AT21" s="5">
        <f t="shared" ca="1" si="11"/>
        <v>0</v>
      </c>
    </row>
    <row r="22" spans="1:46" x14ac:dyDescent="0.25">
      <c r="A22" s="67">
        <f ca="1">Demand!C19</f>
        <v>16</v>
      </c>
      <c r="B22" s="67">
        <v>7</v>
      </c>
      <c r="C22" s="5">
        <f ca="1">'Demand background (hide)'!Y10</f>
        <v>154</v>
      </c>
      <c r="D22" s="67">
        <f t="shared" si="15"/>
        <v>1</v>
      </c>
      <c r="E22" s="67" t="e">
        <f t="shared" ca="1" si="16"/>
        <v>#N/A</v>
      </c>
      <c r="F22" s="67" t="e">
        <f t="shared" ca="1" si="17"/>
        <v>#N/A</v>
      </c>
      <c r="G22" s="67" t="e">
        <f t="shared" ca="1" si="18"/>
        <v>#N/A</v>
      </c>
      <c r="H22" s="67" t="e">
        <f>IF('Demand background (hide)'!AN10&lt;&gt;"",'SPC background (hide)'!C22,NA())</f>
        <v>#N/A</v>
      </c>
      <c r="I22" s="67">
        <f t="shared" ca="1" si="19"/>
        <v>1</v>
      </c>
      <c r="J22" s="5">
        <f t="shared" ca="1" si="20"/>
        <v>124.86052009456264</v>
      </c>
      <c r="K22" s="5">
        <f t="shared" ca="1" si="21"/>
        <v>130.57368006304176</v>
      </c>
      <c r="L22" s="5">
        <f t="shared" ca="1" si="22"/>
        <v>136.28684003152088</v>
      </c>
      <c r="M22" s="5">
        <f t="shared" ca="1" si="23"/>
        <v>142</v>
      </c>
      <c r="N22" s="5">
        <f t="shared" ca="1" si="24"/>
        <v>147.71315996847912</v>
      </c>
      <c r="O22" s="5">
        <f t="shared" ca="1" si="25"/>
        <v>153.42631993695824</v>
      </c>
      <c r="P22" s="5">
        <f t="shared" ca="1" si="26"/>
        <v>159.13947990543736</v>
      </c>
      <c r="Q22" s="5" t="e">
        <f t="shared" ca="1" si="27"/>
        <v>#N/A</v>
      </c>
      <c r="R22" s="5">
        <f t="shared" ca="1" si="32"/>
        <v>2</v>
      </c>
      <c r="S22" s="67" t="e">
        <f t="shared" ca="1" si="33"/>
        <v>#N/A</v>
      </c>
      <c r="T22" s="67">
        <f t="shared" ca="1" si="34"/>
        <v>2</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142</v>
      </c>
      <c r="AD22" s="5">
        <f t="shared" ca="1" si="31"/>
        <v>155.30000000000001</v>
      </c>
      <c r="AG22" s="67">
        <f t="shared" ca="1" si="12"/>
        <v>30</v>
      </c>
      <c r="AH22" s="67">
        <v>21</v>
      </c>
      <c r="AI22" s="67">
        <f t="shared" ca="1" si="4"/>
        <v>5</v>
      </c>
      <c r="AJ22" s="39">
        <f t="shared" ca="1" si="5"/>
        <v>5.7131599684791183</v>
      </c>
      <c r="AK22" s="39">
        <f t="shared" ca="1" si="6"/>
        <v>124.86052009456264</v>
      </c>
      <c r="AL22" s="39">
        <f t="shared" ca="1" si="7"/>
        <v>130.57368006304176</v>
      </c>
      <c r="AM22" s="39">
        <f t="shared" ca="1" si="8"/>
        <v>136.28684003152088</v>
      </c>
      <c r="AN22" s="39">
        <f t="shared" ca="1" si="9"/>
        <v>142</v>
      </c>
      <c r="AO22" s="39">
        <f t="shared" ca="1" si="0"/>
        <v>147.71315996847912</v>
      </c>
      <c r="AP22" s="39">
        <f t="shared" ca="1" si="1"/>
        <v>153.42631993695824</v>
      </c>
      <c r="AQ22" s="39">
        <f t="shared" ca="1" si="2"/>
        <v>159.13947990543736</v>
      </c>
      <c r="AR22" s="5">
        <f t="shared" ca="1" si="10"/>
        <v>142</v>
      </c>
      <c r="AS22" s="5">
        <f t="shared" ca="1" si="3"/>
        <v>155.30000000000001</v>
      </c>
      <c r="AT22" s="5">
        <f t="shared" ca="1" si="11"/>
        <v>0</v>
      </c>
    </row>
    <row r="23" spans="1:46" x14ac:dyDescent="0.25">
      <c r="A23" s="67">
        <f ca="1">Demand!C20</f>
        <v>17</v>
      </c>
      <c r="B23" s="67">
        <v>8</v>
      </c>
      <c r="C23" s="5">
        <f ca="1">'Demand background (hide)'!Y11</f>
        <v>142</v>
      </c>
      <c r="D23" s="67">
        <f t="shared" si="15"/>
        <v>1</v>
      </c>
      <c r="E23" s="67" t="e">
        <f t="shared" ca="1" si="16"/>
        <v>#N/A</v>
      </c>
      <c r="F23" s="67" t="e">
        <f t="shared" ca="1" si="17"/>
        <v>#N/A</v>
      </c>
      <c r="G23" s="67" t="e">
        <f t="shared" ca="1" si="18"/>
        <v>#N/A</v>
      </c>
      <c r="H23" s="67" t="e">
        <f>IF('Demand background (hide)'!AN11&lt;&gt;"",'SPC background (hide)'!C23,NA())</f>
        <v>#N/A</v>
      </c>
      <c r="I23" s="67">
        <f t="shared" ca="1" si="19"/>
        <v>1</v>
      </c>
      <c r="J23" s="5">
        <f t="shared" ca="1" si="20"/>
        <v>124.86052009456264</v>
      </c>
      <c r="K23" s="5">
        <f t="shared" ca="1" si="21"/>
        <v>130.57368006304176</v>
      </c>
      <c r="L23" s="5">
        <f t="shared" ca="1" si="22"/>
        <v>136.28684003152088</v>
      </c>
      <c r="M23" s="5">
        <f t="shared" ca="1" si="23"/>
        <v>142</v>
      </c>
      <c r="N23" s="5">
        <f t="shared" ca="1" si="24"/>
        <v>147.71315996847912</v>
      </c>
      <c r="O23" s="5">
        <f t="shared" ca="1" si="25"/>
        <v>153.42631993695824</v>
      </c>
      <c r="P23" s="5">
        <f t="shared" ca="1" si="26"/>
        <v>159.13947990543736</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-1</v>
      </c>
      <c r="Y23" s="67" t="e">
        <f t="shared" ca="1" si="36"/>
        <v>#N/A</v>
      </c>
      <c r="Z23" s="67" t="e">
        <f t="shared" ca="1" si="37"/>
        <v>#N/A</v>
      </c>
      <c r="AA23" s="5" t="str">
        <f>IF(Setup!$I$15="Yes",'Demand background (hide)'!AJ11+'SPC background (hide)'!C23,"")</f>
        <v/>
      </c>
      <c r="AC23" s="5">
        <f t="shared" ca="1" si="30"/>
        <v>142</v>
      </c>
      <c r="AD23" s="5">
        <f t="shared" ca="1" si="31"/>
        <v>155.30000000000001</v>
      </c>
      <c r="AG23" s="67">
        <f t="shared" ca="1" si="12"/>
        <v>31</v>
      </c>
      <c r="AH23" s="67">
        <v>22</v>
      </c>
      <c r="AI23" s="67">
        <f t="shared" ca="1" si="4"/>
        <v>5</v>
      </c>
      <c r="AJ23" s="39">
        <f t="shared" ca="1" si="5"/>
        <v>5.7131599684791183</v>
      </c>
      <c r="AK23" s="39">
        <f t="shared" ca="1" si="6"/>
        <v>124.86052009456264</v>
      </c>
      <c r="AL23" s="39">
        <f t="shared" ca="1" si="7"/>
        <v>130.57368006304176</v>
      </c>
      <c r="AM23" s="39">
        <f t="shared" ca="1" si="8"/>
        <v>136.28684003152088</v>
      </c>
      <c r="AN23" s="39">
        <f t="shared" ca="1" si="9"/>
        <v>142</v>
      </c>
      <c r="AO23" s="39">
        <f t="shared" ca="1" si="0"/>
        <v>147.71315996847912</v>
      </c>
      <c r="AP23" s="39">
        <f t="shared" ca="1" si="1"/>
        <v>153.42631993695824</v>
      </c>
      <c r="AQ23" s="39">
        <f t="shared" ca="1" si="2"/>
        <v>159.13947990543736</v>
      </c>
      <c r="AR23" s="5">
        <f t="shared" ca="1" si="10"/>
        <v>142</v>
      </c>
      <c r="AS23" s="5">
        <f t="shared" ca="1" si="3"/>
        <v>155.30000000000001</v>
      </c>
      <c r="AT23" s="5">
        <f t="shared" ca="1" si="11"/>
        <v>0</v>
      </c>
    </row>
    <row r="24" spans="1:46" x14ac:dyDescent="0.25">
      <c r="A24" s="67">
        <f ca="1">Demand!C21</f>
        <v>18</v>
      </c>
      <c r="B24" s="67">
        <v>9</v>
      </c>
      <c r="C24" s="5">
        <f ca="1">'Demand background (hide)'!Y12</f>
        <v>142</v>
      </c>
      <c r="D24" s="67">
        <f t="shared" si="15"/>
        <v>1</v>
      </c>
      <c r="E24" s="67" t="e">
        <f t="shared" ca="1" si="16"/>
        <v>#N/A</v>
      </c>
      <c r="F24" s="67" t="e">
        <f t="shared" ca="1" si="17"/>
        <v>#N/A</v>
      </c>
      <c r="G24" s="67" t="e">
        <f t="shared" ca="1" si="18"/>
        <v>#N/A</v>
      </c>
      <c r="H24" s="67" t="e">
        <f>IF('Demand background (hide)'!AN12&lt;&gt;"",'SPC background (hide)'!C24,NA())</f>
        <v>#N/A</v>
      </c>
      <c r="I24" s="67">
        <f t="shared" ca="1" si="19"/>
        <v>1</v>
      </c>
      <c r="J24" s="5">
        <f t="shared" ca="1" si="20"/>
        <v>124.86052009456264</v>
      </c>
      <c r="K24" s="5">
        <f t="shared" ca="1" si="21"/>
        <v>130.57368006304176</v>
      </c>
      <c r="L24" s="5">
        <f t="shared" ca="1" si="22"/>
        <v>136.28684003152088</v>
      </c>
      <c r="M24" s="5">
        <f t="shared" ca="1" si="23"/>
        <v>142</v>
      </c>
      <c r="N24" s="5">
        <f t="shared" ca="1" si="24"/>
        <v>147.71315996847912</v>
      </c>
      <c r="O24" s="5">
        <f t="shared" ca="1" si="25"/>
        <v>153.42631993695824</v>
      </c>
      <c r="P24" s="5">
        <f t="shared" ca="1" si="26"/>
        <v>159.13947990543736</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f t="shared" ca="1" si="30"/>
        <v>142</v>
      </c>
      <c r="AD24" s="5">
        <f t="shared" ca="1" si="31"/>
        <v>155.30000000000001</v>
      </c>
      <c r="AG24" s="67">
        <f t="shared" ca="1" si="12"/>
        <v>32</v>
      </c>
      <c r="AH24" s="67">
        <v>23</v>
      </c>
      <c r="AI24" s="67">
        <f t="shared" ca="1" si="4"/>
        <v>5</v>
      </c>
      <c r="AJ24" s="39">
        <f t="shared" ca="1" si="5"/>
        <v>5.7131599684791183</v>
      </c>
      <c r="AK24" s="39">
        <f t="shared" ca="1" si="6"/>
        <v>124.86052009456264</v>
      </c>
      <c r="AL24" s="39">
        <f t="shared" ca="1" si="7"/>
        <v>130.57368006304176</v>
      </c>
      <c r="AM24" s="39">
        <f t="shared" ca="1" si="8"/>
        <v>136.28684003152088</v>
      </c>
      <c r="AN24" s="39">
        <f t="shared" ca="1" si="9"/>
        <v>142</v>
      </c>
      <c r="AO24" s="39">
        <f t="shared" ca="1" si="0"/>
        <v>147.71315996847912</v>
      </c>
      <c r="AP24" s="39">
        <f t="shared" ca="1" si="1"/>
        <v>153.42631993695824</v>
      </c>
      <c r="AQ24" s="39">
        <f t="shared" ca="1" si="2"/>
        <v>159.13947990543736</v>
      </c>
      <c r="AR24" s="5">
        <f t="shared" ca="1" si="10"/>
        <v>142</v>
      </c>
      <c r="AS24" s="5">
        <f t="shared" ca="1" si="3"/>
        <v>155.30000000000001</v>
      </c>
      <c r="AT24" s="5">
        <f t="shared" ca="1" si="11"/>
        <v>0</v>
      </c>
    </row>
    <row r="25" spans="1:46" x14ac:dyDescent="0.25">
      <c r="A25" s="67">
        <f ca="1">Demand!C22</f>
        <v>19</v>
      </c>
      <c r="B25" s="67">
        <v>10</v>
      </c>
      <c r="C25" s="5">
        <f ca="1">'Demand background (hide)'!Y13</f>
        <v>140</v>
      </c>
      <c r="D25" s="67">
        <f t="shared" si="15"/>
        <v>1</v>
      </c>
      <c r="E25" s="67" t="e">
        <f t="shared" ca="1" si="16"/>
        <v>#N/A</v>
      </c>
      <c r="F25" s="67" t="e">
        <f t="shared" ca="1" si="17"/>
        <v>#N/A</v>
      </c>
      <c r="G25" s="67" t="e">
        <f t="shared" ca="1" si="18"/>
        <v>#N/A</v>
      </c>
      <c r="H25" s="67" t="e">
        <f>IF('Demand background (hide)'!AN13&lt;&gt;"",'SPC background (hide)'!C25,NA())</f>
        <v>#N/A</v>
      </c>
      <c r="I25" s="67">
        <f t="shared" ca="1" si="19"/>
        <v>1</v>
      </c>
      <c r="J25" s="5">
        <f t="shared" ca="1" si="20"/>
        <v>124.86052009456264</v>
      </c>
      <c r="K25" s="5">
        <f t="shared" ca="1" si="21"/>
        <v>130.57368006304176</v>
      </c>
      <c r="L25" s="5">
        <f t="shared" ca="1" si="22"/>
        <v>136.28684003152088</v>
      </c>
      <c r="M25" s="5">
        <f t="shared" ca="1" si="23"/>
        <v>142</v>
      </c>
      <c r="N25" s="5">
        <f t="shared" ca="1" si="24"/>
        <v>147.71315996847912</v>
      </c>
      <c r="O25" s="5">
        <f t="shared" ca="1" si="25"/>
        <v>153.42631993695824</v>
      </c>
      <c r="P25" s="5">
        <f t="shared" ca="1" si="26"/>
        <v>159.13947990543736</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142</v>
      </c>
      <c r="AD25" s="5">
        <f t="shared" ca="1" si="31"/>
        <v>155.30000000000001</v>
      </c>
      <c r="AG25" s="67">
        <f t="shared" ca="1" si="12"/>
        <v>33</v>
      </c>
      <c r="AH25" s="67">
        <v>24</v>
      </c>
      <c r="AI25" s="67">
        <f t="shared" ca="1" si="4"/>
        <v>5</v>
      </c>
      <c r="AJ25" s="39">
        <f t="shared" ca="1" si="5"/>
        <v>5.7131599684791183</v>
      </c>
      <c r="AK25" s="39">
        <f t="shared" ca="1" si="6"/>
        <v>124.86052009456264</v>
      </c>
      <c r="AL25" s="39">
        <f t="shared" ca="1" si="7"/>
        <v>130.57368006304176</v>
      </c>
      <c r="AM25" s="39">
        <f t="shared" ca="1" si="8"/>
        <v>136.28684003152088</v>
      </c>
      <c r="AN25" s="39">
        <f t="shared" ca="1" si="9"/>
        <v>142</v>
      </c>
      <c r="AO25" s="39">
        <f t="shared" ca="1" si="0"/>
        <v>147.71315996847912</v>
      </c>
      <c r="AP25" s="39">
        <f t="shared" ca="1" si="1"/>
        <v>153.42631993695824</v>
      </c>
      <c r="AQ25" s="39">
        <f t="shared" ca="1" si="2"/>
        <v>159.13947990543736</v>
      </c>
      <c r="AR25" s="5">
        <f t="shared" ca="1" si="10"/>
        <v>142</v>
      </c>
      <c r="AS25" s="5">
        <f t="shared" ca="1" si="3"/>
        <v>155.30000000000001</v>
      </c>
      <c r="AT25" s="5">
        <f t="shared" ca="1" si="11"/>
        <v>0</v>
      </c>
    </row>
    <row r="26" spans="1:46" x14ac:dyDescent="0.25">
      <c r="A26" s="67">
        <f ca="1">Demand!C23</f>
        <v>20</v>
      </c>
      <c r="B26" s="67">
        <v>11</v>
      </c>
      <c r="C26" s="5">
        <f ca="1">'Demand background (hide)'!Y14</f>
        <v>152</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124.86052009456264</v>
      </c>
      <c r="K26" s="5">
        <f t="shared" ca="1" si="21"/>
        <v>130.57368006304176</v>
      </c>
      <c r="L26" s="5">
        <f t="shared" ca="1" si="22"/>
        <v>136.28684003152088</v>
      </c>
      <c r="M26" s="5">
        <f t="shared" ca="1" si="23"/>
        <v>142</v>
      </c>
      <c r="N26" s="5">
        <f t="shared" ca="1" si="24"/>
        <v>147.71315996847912</v>
      </c>
      <c r="O26" s="5">
        <f t="shared" ca="1" si="25"/>
        <v>153.42631993695824</v>
      </c>
      <c r="P26" s="5">
        <f t="shared" ca="1" si="26"/>
        <v>159.13947990543736</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142</v>
      </c>
      <c r="AD26" s="5">
        <f t="shared" ca="1" si="31"/>
        <v>155.30000000000001</v>
      </c>
      <c r="AG26" s="67">
        <f t="shared" ca="1" si="12"/>
        <v>34</v>
      </c>
      <c r="AH26" s="67">
        <v>25</v>
      </c>
      <c r="AI26" s="67">
        <f t="shared" ca="1" si="4"/>
        <v>5</v>
      </c>
      <c r="AJ26" s="39">
        <f t="shared" ca="1" si="5"/>
        <v>5.7131599684791183</v>
      </c>
      <c r="AK26" s="39">
        <f t="shared" ca="1" si="6"/>
        <v>124.86052009456264</v>
      </c>
      <c r="AL26" s="39">
        <f t="shared" ca="1" si="7"/>
        <v>130.57368006304176</v>
      </c>
      <c r="AM26" s="39">
        <f t="shared" ca="1" si="8"/>
        <v>136.28684003152088</v>
      </c>
      <c r="AN26" s="39">
        <f t="shared" ca="1" si="9"/>
        <v>142</v>
      </c>
      <c r="AO26" s="39">
        <f t="shared" ca="1" si="0"/>
        <v>147.71315996847912</v>
      </c>
      <c r="AP26" s="39">
        <f t="shared" ca="1" si="1"/>
        <v>153.42631993695824</v>
      </c>
      <c r="AQ26" s="39">
        <f t="shared" ca="1" si="2"/>
        <v>159.13947990543736</v>
      </c>
      <c r="AR26" s="5">
        <f t="shared" ca="1" si="10"/>
        <v>142</v>
      </c>
      <c r="AS26" s="5">
        <f t="shared" ca="1" si="3"/>
        <v>155.30000000000001</v>
      </c>
      <c r="AT26" s="5">
        <f t="shared" ca="1" si="11"/>
        <v>0</v>
      </c>
    </row>
    <row r="27" spans="1:46" x14ac:dyDescent="0.25">
      <c r="A27" s="67">
        <f ca="1">Demand!C24</f>
        <v>21</v>
      </c>
      <c r="B27" s="67">
        <v>12</v>
      </c>
      <c r="C27" s="5">
        <f ca="1">'Demand background (hide)'!Y15</f>
        <v>138</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124.86052009456264</v>
      </c>
      <c r="K27" s="5">
        <f t="shared" ca="1" si="21"/>
        <v>130.57368006304176</v>
      </c>
      <c r="L27" s="5">
        <f t="shared" ca="1" si="22"/>
        <v>136.28684003152088</v>
      </c>
      <c r="M27" s="5">
        <f t="shared" ca="1" si="23"/>
        <v>142</v>
      </c>
      <c r="N27" s="5">
        <f t="shared" ca="1" si="24"/>
        <v>147.71315996847912</v>
      </c>
      <c r="O27" s="5">
        <f t="shared" ca="1" si="25"/>
        <v>153.42631993695824</v>
      </c>
      <c r="P27" s="5">
        <f t="shared" ca="1" si="26"/>
        <v>159.13947990543736</v>
      </c>
      <c r="Q27" s="5" t="e">
        <f t="shared" ca="1" si="27"/>
        <v>#N/A</v>
      </c>
      <c r="R27" s="5">
        <f t="shared" ca="1" si="32"/>
        <v>-1</v>
      </c>
      <c r="S27" s="67" t="e">
        <f t="shared" ca="1" si="33"/>
        <v>#N/A</v>
      </c>
      <c r="T27" s="67">
        <f t="shared" ca="1" si="34"/>
        <v>-1</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142</v>
      </c>
      <c r="AD27" s="5">
        <f t="shared" ca="1" si="31"/>
        <v>155.30000000000001</v>
      </c>
      <c r="AG27" s="67">
        <f t="shared" ca="1" si="12"/>
        <v>35</v>
      </c>
      <c r="AH27" s="67">
        <v>26</v>
      </c>
      <c r="AI27" s="67">
        <f t="shared" ca="1" si="4"/>
        <v>5</v>
      </c>
      <c r="AJ27" s="39">
        <f t="shared" ca="1" si="5"/>
        <v>5.7131599684791183</v>
      </c>
      <c r="AK27" s="39">
        <f t="shared" ca="1" si="6"/>
        <v>124.86052009456264</v>
      </c>
      <c r="AL27" s="39">
        <f t="shared" ca="1" si="7"/>
        <v>130.57368006304176</v>
      </c>
      <c r="AM27" s="39">
        <f t="shared" ca="1" si="8"/>
        <v>136.28684003152088</v>
      </c>
      <c r="AN27" s="39">
        <f t="shared" ca="1" si="9"/>
        <v>142</v>
      </c>
      <c r="AO27" s="39">
        <f t="shared" ca="1" si="0"/>
        <v>147.71315996847912</v>
      </c>
      <c r="AP27" s="39">
        <f t="shared" ca="1" si="1"/>
        <v>153.42631993695824</v>
      </c>
      <c r="AQ27" s="39">
        <f t="shared" ca="1" si="2"/>
        <v>159.13947990543736</v>
      </c>
      <c r="AR27" s="5">
        <f t="shared" ca="1" si="10"/>
        <v>142</v>
      </c>
      <c r="AS27" s="5">
        <f t="shared" ca="1" si="3"/>
        <v>155.30000000000001</v>
      </c>
      <c r="AT27" s="5">
        <f t="shared" ca="1" si="11"/>
        <v>0</v>
      </c>
    </row>
    <row r="28" spans="1:46" x14ac:dyDescent="0.25">
      <c r="A28" s="67">
        <f ca="1">Demand!C25</f>
        <v>22</v>
      </c>
      <c r="B28" s="67">
        <v>13</v>
      </c>
      <c r="C28" s="5">
        <f ca="1">'Demand background (hide)'!Y16</f>
        <v>120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124.86052009456264</v>
      </c>
      <c r="K28" s="5">
        <f t="shared" ca="1" si="21"/>
        <v>130.57368006304176</v>
      </c>
      <c r="L28" s="5">
        <f t="shared" ca="1" si="22"/>
        <v>136.28684003152088</v>
      </c>
      <c r="M28" s="5">
        <f t="shared" ca="1" si="23"/>
        <v>142</v>
      </c>
      <c r="N28" s="5">
        <f t="shared" ca="1" si="24"/>
        <v>147.71315996847912</v>
      </c>
      <c r="O28" s="5">
        <f t="shared" ca="1" si="25"/>
        <v>153.42631993695824</v>
      </c>
      <c r="P28" s="5">
        <f t="shared" ca="1" si="26"/>
        <v>159.13947990543736</v>
      </c>
      <c r="Q28" s="5">
        <f t="shared" ca="1" si="27"/>
        <v>120</v>
      </c>
      <c r="R28" s="5">
        <f t="shared" ca="1" si="32"/>
        <v>-2</v>
      </c>
      <c r="S28" s="67" t="e">
        <f t="shared" ca="1" si="33"/>
        <v>#N/A</v>
      </c>
      <c r="T28" s="67">
        <f t="shared" ca="1" si="34"/>
        <v>-2</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142</v>
      </c>
      <c r="AD28" s="5">
        <f t="shared" ca="1" si="31"/>
        <v>155.30000000000001</v>
      </c>
      <c r="AG28" s="67">
        <f t="shared" ca="1" si="12"/>
        <v>36</v>
      </c>
      <c r="AH28" s="67">
        <v>27</v>
      </c>
      <c r="AI28" s="67">
        <f t="shared" ca="1" si="4"/>
        <v>5</v>
      </c>
      <c r="AJ28" s="39">
        <f t="shared" ca="1" si="5"/>
        <v>5.7131599684791183</v>
      </c>
      <c r="AK28" s="39">
        <f t="shared" ca="1" si="6"/>
        <v>124.86052009456264</v>
      </c>
      <c r="AL28" s="39">
        <f t="shared" ca="1" si="7"/>
        <v>130.57368006304176</v>
      </c>
      <c r="AM28" s="39">
        <f t="shared" ca="1" si="8"/>
        <v>136.28684003152088</v>
      </c>
      <c r="AN28" s="39">
        <f t="shared" ca="1" si="9"/>
        <v>142</v>
      </c>
      <c r="AO28" s="39">
        <f t="shared" ca="1" si="0"/>
        <v>147.71315996847912</v>
      </c>
      <c r="AP28" s="39">
        <f t="shared" ca="1" si="1"/>
        <v>153.42631993695824</v>
      </c>
      <c r="AQ28" s="39">
        <f t="shared" ca="1" si="2"/>
        <v>159.13947990543736</v>
      </c>
      <c r="AR28" s="5">
        <f t="shared" ca="1" si="10"/>
        <v>142</v>
      </c>
      <c r="AS28" s="5">
        <f t="shared" ca="1" si="3"/>
        <v>155.30000000000001</v>
      </c>
      <c r="AT28" s="5">
        <f t="shared" ca="1" si="11"/>
        <v>0</v>
      </c>
    </row>
    <row r="29" spans="1:46" x14ac:dyDescent="0.25">
      <c r="A29" s="67">
        <f ca="1">Demand!C26</f>
        <v>23</v>
      </c>
      <c r="B29" s="67">
        <v>14</v>
      </c>
      <c r="C29" s="5">
        <f ca="1">'Demand background (hide)'!Y17</f>
        <v>136</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124.86052009456264</v>
      </c>
      <c r="K29" s="5">
        <f t="shared" ca="1" si="21"/>
        <v>130.57368006304176</v>
      </c>
      <c r="L29" s="5">
        <f t="shared" ca="1" si="22"/>
        <v>136.28684003152088</v>
      </c>
      <c r="M29" s="5">
        <f t="shared" ca="1" si="23"/>
        <v>142</v>
      </c>
      <c r="N29" s="5">
        <f t="shared" ca="1" si="24"/>
        <v>147.71315996847912</v>
      </c>
      <c r="O29" s="5">
        <f t="shared" ca="1" si="25"/>
        <v>153.42631993695824</v>
      </c>
      <c r="P29" s="5">
        <f t="shared" ca="1" si="26"/>
        <v>159.13947990543736</v>
      </c>
      <c r="Q29" s="5" t="e">
        <f t="shared" ca="1" si="27"/>
        <v>#N/A</v>
      </c>
      <c r="R29" s="5">
        <f t="shared" ca="1" si="32"/>
        <v>-1</v>
      </c>
      <c r="S29" s="67" t="e">
        <f t="shared" ca="1" si="33"/>
        <v>#N/A</v>
      </c>
      <c r="T29" s="67">
        <f t="shared" ca="1" si="34"/>
        <v>-2</v>
      </c>
      <c r="U29" s="67" t="e">
        <f t="shared" ca="1" si="35"/>
        <v>#N/A</v>
      </c>
      <c r="V29" s="5">
        <f t="shared" ca="1" si="14"/>
        <v>-1</v>
      </c>
      <c r="W29" s="5" t="e">
        <f t="shared" ca="1" si="28"/>
        <v>#N/A</v>
      </c>
      <c r="X29" s="67">
        <f t="shared" ca="1" si="29"/>
        <v>1</v>
      </c>
      <c r="Y29" s="67" t="e">
        <f t="shared" ca="1" si="36"/>
        <v>#N/A</v>
      </c>
      <c r="Z29" s="67" t="e">
        <f t="shared" ca="1" si="37"/>
        <v>#N/A</v>
      </c>
      <c r="AA29" s="5" t="str">
        <f>IF(Setup!$I$15="Yes",'Demand background (hide)'!AJ17+'SPC background (hide)'!C29,"")</f>
        <v/>
      </c>
      <c r="AC29" s="5">
        <f t="shared" ca="1" si="30"/>
        <v>142</v>
      </c>
      <c r="AD29" s="5">
        <f t="shared" ca="1" si="31"/>
        <v>155.30000000000001</v>
      </c>
      <c r="AG29" s="67">
        <f t="shared" ca="1" si="12"/>
        <v>37</v>
      </c>
      <c r="AH29" s="67">
        <v>28</v>
      </c>
      <c r="AI29" s="67">
        <f t="shared" ca="1" si="4"/>
        <v>5</v>
      </c>
      <c r="AJ29" s="39">
        <f t="shared" ca="1" si="5"/>
        <v>5.7131599684791183</v>
      </c>
      <c r="AK29" s="39">
        <f t="shared" ca="1" si="6"/>
        <v>124.86052009456264</v>
      </c>
      <c r="AL29" s="39">
        <f t="shared" ca="1" si="7"/>
        <v>130.57368006304176</v>
      </c>
      <c r="AM29" s="39">
        <f t="shared" ca="1" si="8"/>
        <v>136.28684003152088</v>
      </c>
      <c r="AN29" s="39">
        <f t="shared" ca="1" si="9"/>
        <v>142</v>
      </c>
      <c r="AO29" s="39">
        <f t="shared" ca="1" si="0"/>
        <v>147.71315996847912</v>
      </c>
      <c r="AP29" s="39">
        <f t="shared" ca="1" si="1"/>
        <v>153.42631993695824</v>
      </c>
      <c r="AQ29" s="39">
        <f t="shared" ca="1" si="2"/>
        <v>159.13947990543736</v>
      </c>
      <c r="AR29" s="5">
        <f t="shared" ca="1" si="10"/>
        <v>142</v>
      </c>
      <c r="AS29" s="5">
        <f t="shared" ca="1" si="3"/>
        <v>155.30000000000001</v>
      </c>
      <c r="AT29" s="5">
        <f t="shared" ca="1" si="11"/>
        <v>0</v>
      </c>
    </row>
    <row r="30" spans="1:46" x14ac:dyDescent="0.25">
      <c r="A30" s="67">
        <f ca="1">Demand!C27</f>
        <v>24</v>
      </c>
      <c r="B30" s="67">
        <v>15</v>
      </c>
      <c r="C30" s="5">
        <f ca="1">'Demand background (hide)'!Y18</f>
        <v>138</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124.86052009456264</v>
      </c>
      <c r="K30" s="5">
        <f t="shared" ca="1" si="21"/>
        <v>130.57368006304176</v>
      </c>
      <c r="L30" s="5">
        <f t="shared" ca="1" si="22"/>
        <v>136.28684003152088</v>
      </c>
      <c r="M30" s="5">
        <f t="shared" ca="1" si="23"/>
        <v>142</v>
      </c>
      <c r="N30" s="5">
        <f t="shared" ca="1" si="24"/>
        <v>147.71315996847912</v>
      </c>
      <c r="O30" s="5">
        <f t="shared" ca="1" si="25"/>
        <v>153.42631993695824</v>
      </c>
      <c r="P30" s="5">
        <f t="shared" ca="1" si="26"/>
        <v>159.13947990543736</v>
      </c>
      <c r="Q30" s="5" t="e">
        <f t="shared" ca="1" si="27"/>
        <v>#N/A</v>
      </c>
      <c r="R30" s="5">
        <f t="shared" ca="1" si="32"/>
        <v>-1</v>
      </c>
      <c r="S30" s="67" t="e">
        <f t="shared" ca="1" si="33"/>
        <v>#N/A</v>
      </c>
      <c r="T30" s="67">
        <f t="shared" ca="1" si="34"/>
        <v>-1</v>
      </c>
      <c r="U30" s="67" t="e">
        <f t="shared" ca="1" si="35"/>
        <v>#N/A</v>
      </c>
      <c r="V30" s="5">
        <f t="shared" ca="1" si="14"/>
        <v>-1</v>
      </c>
      <c r="W30" s="5" t="e">
        <f t="shared" ca="1" si="28"/>
        <v>#N/A</v>
      </c>
      <c r="X30" s="67">
        <f t="shared" ca="1" si="29"/>
        <v>1</v>
      </c>
      <c r="Y30" s="67" t="e">
        <f t="shared" ca="1" si="36"/>
        <v>#N/A</v>
      </c>
      <c r="Z30" s="67" t="e">
        <f t="shared" ca="1" si="37"/>
        <v>#N/A</v>
      </c>
      <c r="AA30" s="5" t="str">
        <f>IF(Setup!$I$15="Yes",'Demand background (hide)'!AJ18+'SPC background (hide)'!C30,"")</f>
        <v/>
      </c>
      <c r="AC30" s="5">
        <f t="shared" ca="1" si="30"/>
        <v>142</v>
      </c>
      <c r="AD30" s="5">
        <f t="shared" ca="1" si="31"/>
        <v>155.30000000000001</v>
      </c>
      <c r="AG30" s="67">
        <f t="shared" ca="1" si="12"/>
        <v>38</v>
      </c>
      <c r="AH30" s="67">
        <v>29</v>
      </c>
      <c r="AI30" s="67">
        <f t="shared" ca="1" si="4"/>
        <v>5</v>
      </c>
      <c r="AJ30" s="39">
        <f t="shared" ca="1" si="5"/>
        <v>5.7131599684791183</v>
      </c>
      <c r="AK30" s="39">
        <f t="shared" ca="1" si="6"/>
        <v>124.86052009456264</v>
      </c>
      <c r="AL30" s="39">
        <f t="shared" ca="1" si="7"/>
        <v>130.57368006304176</v>
      </c>
      <c r="AM30" s="39">
        <f t="shared" ca="1" si="8"/>
        <v>136.28684003152088</v>
      </c>
      <c r="AN30" s="39">
        <f t="shared" ca="1" si="9"/>
        <v>142</v>
      </c>
      <c r="AO30" s="39">
        <f t="shared" ca="1" si="0"/>
        <v>147.71315996847912</v>
      </c>
      <c r="AP30" s="39">
        <f t="shared" ca="1" si="1"/>
        <v>153.42631993695824</v>
      </c>
      <c r="AQ30" s="39">
        <f t="shared" ca="1" si="2"/>
        <v>159.13947990543736</v>
      </c>
      <c r="AR30" s="5">
        <f t="shared" ca="1" si="10"/>
        <v>142</v>
      </c>
      <c r="AS30" s="5">
        <f t="shared" ca="1" si="3"/>
        <v>155.30000000000001</v>
      </c>
      <c r="AT30" s="5">
        <f t="shared" ca="1" si="11"/>
        <v>0</v>
      </c>
    </row>
    <row r="31" spans="1:46" x14ac:dyDescent="0.25">
      <c r="A31" s="67">
        <f ca="1">Demand!C28</f>
        <v>25</v>
      </c>
      <c r="B31" s="67">
        <v>16</v>
      </c>
      <c r="C31" s="5">
        <f ca="1">'Demand background (hide)'!Y19</f>
        <v>126</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124.86052009456264</v>
      </c>
      <c r="K31" s="5">
        <f t="shared" ca="1" si="21"/>
        <v>130.57368006304176</v>
      </c>
      <c r="L31" s="5">
        <f t="shared" ca="1" si="22"/>
        <v>136.28684003152088</v>
      </c>
      <c r="M31" s="5">
        <f t="shared" ca="1" si="23"/>
        <v>142</v>
      </c>
      <c r="N31" s="5">
        <f t="shared" ca="1" si="24"/>
        <v>147.71315996847912</v>
      </c>
      <c r="O31" s="5">
        <f t="shared" ca="1" si="25"/>
        <v>153.42631993695824</v>
      </c>
      <c r="P31" s="5">
        <f t="shared" ca="1" si="26"/>
        <v>159.13947990543736</v>
      </c>
      <c r="Q31" s="5" t="e">
        <f t="shared" ca="1" si="27"/>
        <v>#N/A</v>
      </c>
      <c r="R31" s="5">
        <f t="shared" ca="1" si="32"/>
        <v>-2</v>
      </c>
      <c r="S31" s="67" t="e">
        <f t="shared" ca="1" si="33"/>
        <v>#N/A</v>
      </c>
      <c r="T31" s="67">
        <f t="shared" ca="1" si="34"/>
        <v>-2</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142</v>
      </c>
      <c r="AD31" s="5">
        <f t="shared" ca="1" si="31"/>
        <v>155.30000000000001</v>
      </c>
      <c r="AG31" s="67">
        <f t="shared" ca="1" si="12"/>
        <v>39</v>
      </c>
      <c r="AH31" s="67">
        <v>30</v>
      </c>
      <c r="AI31" s="67">
        <f t="shared" ca="1" si="4"/>
        <v>5</v>
      </c>
      <c r="AJ31" s="39">
        <f t="shared" ca="1" si="5"/>
        <v>5.7131599684791183</v>
      </c>
      <c r="AK31" s="39">
        <f t="shared" ca="1" si="6"/>
        <v>124.86052009456264</v>
      </c>
      <c r="AL31" s="39">
        <f t="shared" ca="1" si="7"/>
        <v>130.57368006304176</v>
      </c>
      <c r="AM31" s="39">
        <f t="shared" ca="1" si="8"/>
        <v>136.28684003152088</v>
      </c>
      <c r="AN31" s="39">
        <f t="shared" ca="1" si="9"/>
        <v>142</v>
      </c>
      <c r="AO31" s="39">
        <f t="shared" ca="1" si="0"/>
        <v>147.71315996847912</v>
      </c>
      <c r="AP31" s="39">
        <f t="shared" ca="1" si="1"/>
        <v>153.42631993695824</v>
      </c>
      <c r="AQ31" s="39">
        <f t="shared" ca="1" si="2"/>
        <v>159.13947990543736</v>
      </c>
      <c r="AR31" s="5">
        <f t="shared" ca="1" si="10"/>
        <v>142</v>
      </c>
      <c r="AS31" s="5">
        <f t="shared" ca="1" si="3"/>
        <v>155.30000000000001</v>
      </c>
      <c r="AT31" s="5">
        <f t="shared" ca="1" si="11"/>
        <v>0</v>
      </c>
    </row>
    <row r="32" spans="1:46" x14ac:dyDescent="0.25">
      <c r="A32" s="67">
        <f ca="1">Demand!C29</f>
        <v>26</v>
      </c>
      <c r="B32" s="67">
        <v>17</v>
      </c>
      <c r="C32" s="5">
        <f ca="1">'Demand background (hide)'!Y20</f>
        <v>152</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124.86052009456264</v>
      </c>
      <c r="K32" s="5">
        <f t="shared" ca="1" si="21"/>
        <v>130.57368006304176</v>
      </c>
      <c r="L32" s="5">
        <f t="shared" ca="1" si="22"/>
        <v>136.28684003152088</v>
      </c>
      <c r="M32" s="5">
        <f t="shared" ca="1" si="23"/>
        <v>142</v>
      </c>
      <c r="N32" s="5">
        <f t="shared" ca="1" si="24"/>
        <v>147.71315996847912</v>
      </c>
      <c r="O32" s="5">
        <f t="shared" ca="1" si="25"/>
        <v>153.42631993695824</v>
      </c>
      <c r="P32" s="5">
        <f t="shared" ca="1" si="26"/>
        <v>159.13947990543736</v>
      </c>
      <c r="Q32" s="5" t="e">
        <f t="shared" ca="1" si="27"/>
        <v>#N/A</v>
      </c>
      <c r="R32" s="5">
        <f t="shared" ca="1" si="32"/>
        <v>1</v>
      </c>
      <c r="S32" s="67" t="e">
        <f t="shared" ca="1" si="33"/>
        <v>#N/A</v>
      </c>
      <c r="T32" s="67">
        <f t="shared" ca="1" si="34"/>
        <v>2</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142</v>
      </c>
      <c r="AD32" s="5">
        <f t="shared" ca="1" si="31"/>
        <v>155.30000000000001</v>
      </c>
      <c r="AG32" s="67">
        <f t="shared" ca="1" si="12"/>
        <v>40</v>
      </c>
      <c r="AH32" s="67">
        <v>31</v>
      </c>
      <c r="AI32" s="67">
        <f t="shared" ca="1" si="4"/>
        <v>5</v>
      </c>
      <c r="AJ32" s="39">
        <f t="shared" ca="1" si="5"/>
        <v>5.7131599684791183</v>
      </c>
      <c r="AK32" s="39">
        <f t="shared" ca="1" si="6"/>
        <v>124.86052009456264</v>
      </c>
      <c r="AL32" s="39">
        <f t="shared" ca="1" si="7"/>
        <v>130.57368006304176</v>
      </c>
      <c r="AM32" s="39">
        <f t="shared" ca="1" si="8"/>
        <v>136.28684003152088</v>
      </c>
      <c r="AN32" s="39">
        <f t="shared" ca="1" si="9"/>
        <v>142</v>
      </c>
      <c r="AO32" s="39">
        <f t="shared" ca="1" si="0"/>
        <v>147.71315996847912</v>
      </c>
      <c r="AP32" s="39">
        <f t="shared" ca="1" si="1"/>
        <v>153.42631993695824</v>
      </c>
      <c r="AQ32" s="39">
        <f t="shared" ca="1" si="2"/>
        <v>159.13947990543736</v>
      </c>
      <c r="AR32" s="5">
        <f t="shared" ca="1" si="10"/>
        <v>142</v>
      </c>
      <c r="AS32" s="5">
        <f t="shared" ca="1" si="3"/>
        <v>155.30000000000001</v>
      </c>
      <c r="AT32" s="5">
        <f t="shared" ca="1" si="11"/>
        <v>0</v>
      </c>
    </row>
    <row r="33" spans="1:46" x14ac:dyDescent="0.25">
      <c r="A33" s="67">
        <f ca="1">Demand!C30</f>
        <v>27</v>
      </c>
      <c r="B33" s="67">
        <v>18</v>
      </c>
      <c r="C33" s="5">
        <f ca="1">'Demand background (hide)'!Y21</f>
        <v>128</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124.86052009456264</v>
      </c>
      <c r="K33" s="5">
        <f t="shared" ca="1" si="21"/>
        <v>130.57368006304176</v>
      </c>
      <c r="L33" s="5">
        <f t="shared" ca="1" si="22"/>
        <v>136.28684003152088</v>
      </c>
      <c r="M33" s="5">
        <f t="shared" ca="1" si="23"/>
        <v>142</v>
      </c>
      <c r="N33" s="5">
        <f t="shared" ca="1" si="24"/>
        <v>147.71315996847912</v>
      </c>
      <c r="O33" s="5">
        <f t="shared" ca="1" si="25"/>
        <v>153.42631993695824</v>
      </c>
      <c r="P33" s="5">
        <f t="shared" ca="1" si="26"/>
        <v>159.13947990543736</v>
      </c>
      <c r="Q33" s="5" t="e">
        <f t="shared" ca="1" si="27"/>
        <v>#N/A</v>
      </c>
      <c r="R33" s="5">
        <f t="shared" ca="1" si="32"/>
        <v>-2</v>
      </c>
      <c r="S33" s="67" t="e">
        <f t="shared" ca="1" si="33"/>
        <v>#N/A</v>
      </c>
      <c r="T33" s="67">
        <f t="shared" ca="1" si="34"/>
        <v>-2</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142</v>
      </c>
      <c r="AD33" s="5">
        <f t="shared" ca="1" si="31"/>
        <v>155.30000000000001</v>
      </c>
      <c r="AG33" s="67">
        <f t="shared" ca="1" si="12"/>
        <v>41</v>
      </c>
      <c r="AH33" s="67">
        <v>32</v>
      </c>
      <c r="AI33" s="67">
        <f t="shared" ca="1" si="4"/>
        <v>5</v>
      </c>
      <c r="AJ33" s="39">
        <f t="shared" ca="1" si="5"/>
        <v>5.7131599684791183</v>
      </c>
      <c r="AK33" s="39">
        <f t="shared" ca="1" si="6"/>
        <v>124.86052009456264</v>
      </c>
      <c r="AL33" s="39">
        <f t="shared" ca="1" si="7"/>
        <v>130.57368006304176</v>
      </c>
      <c r="AM33" s="39">
        <f t="shared" ca="1" si="8"/>
        <v>136.28684003152088</v>
      </c>
      <c r="AN33" s="39">
        <f t="shared" ca="1" si="9"/>
        <v>142</v>
      </c>
      <c r="AO33" s="39">
        <f t="shared" ca="1" si="0"/>
        <v>147.71315996847912</v>
      </c>
      <c r="AP33" s="39">
        <f t="shared" ca="1" si="1"/>
        <v>153.42631993695824</v>
      </c>
      <c r="AQ33" s="39">
        <f t="shared" ca="1" si="2"/>
        <v>159.13947990543736</v>
      </c>
      <c r="AR33" s="5">
        <f t="shared" ca="1" si="10"/>
        <v>142</v>
      </c>
      <c r="AS33" s="5">
        <f t="shared" ca="1" si="3"/>
        <v>155.30000000000001</v>
      </c>
      <c r="AT33" s="5">
        <f t="shared" ca="1" si="11"/>
        <v>0</v>
      </c>
    </row>
    <row r="34" spans="1:46" x14ac:dyDescent="0.25">
      <c r="A34" s="67">
        <f ca="1">Demand!C31</f>
        <v>28</v>
      </c>
      <c r="B34" s="67">
        <v>19</v>
      </c>
      <c r="C34" s="5">
        <f ca="1">'Demand background (hide)'!Y22</f>
        <v>152</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124.86052009456264</v>
      </c>
      <c r="K34" s="5">
        <f t="shared" ca="1" si="21"/>
        <v>130.57368006304176</v>
      </c>
      <c r="L34" s="5">
        <f t="shared" ca="1" si="22"/>
        <v>136.28684003152088</v>
      </c>
      <c r="M34" s="5">
        <f t="shared" ca="1" si="23"/>
        <v>142</v>
      </c>
      <c r="N34" s="5">
        <f t="shared" ca="1" si="24"/>
        <v>147.71315996847912</v>
      </c>
      <c r="O34" s="5">
        <f t="shared" ca="1" si="25"/>
        <v>153.42631993695824</v>
      </c>
      <c r="P34" s="5">
        <f t="shared" ca="1" si="26"/>
        <v>159.13947990543736</v>
      </c>
      <c r="Q34" s="5" t="e">
        <f t="shared" ca="1" si="27"/>
        <v>#N/A</v>
      </c>
      <c r="R34" s="5">
        <f t="shared" ca="1" si="32"/>
        <v>1</v>
      </c>
      <c r="S34" s="67" t="e">
        <f t="shared" ca="1" si="33"/>
        <v>#N/A</v>
      </c>
      <c r="T34" s="67">
        <f t="shared" ca="1" si="34"/>
        <v>2</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142</v>
      </c>
      <c r="AD34" s="5">
        <f t="shared" ca="1" si="31"/>
        <v>155.30000000000001</v>
      </c>
      <c r="AG34" s="67">
        <f ca="1">IF(MOD(AG33+1,53)=0,53,MOD(AG33+1,53))</f>
        <v>42</v>
      </c>
      <c r="AH34" s="67">
        <v>33</v>
      </c>
      <c r="AI34" s="67">
        <f t="shared" ca="1" si="4"/>
        <v>5</v>
      </c>
      <c r="AJ34" s="39">
        <f t="shared" ca="1" si="5"/>
        <v>5.7131599684791183</v>
      </c>
      <c r="AK34" s="39">
        <f t="shared" ca="1" si="6"/>
        <v>124.86052009456264</v>
      </c>
      <c r="AL34" s="39">
        <f t="shared" ca="1" si="7"/>
        <v>130.57368006304176</v>
      </c>
      <c r="AM34" s="39">
        <f t="shared" ca="1" si="8"/>
        <v>136.28684003152088</v>
      </c>
      <c r="AN34" s="39">
        <f t="shared" ca="1" si="9"/>
        <v>142</v>
      </c>
      <c r="AO34" s="39">
        <f t="shared" ca="1" si="0"/>
        <v>147.71315996847912</v>
      </c>
      <c r="AP34" s="39">
        <f t="shared" ca="1" si="1"/>
        <v>153.42631993695824</v>
      </c>
      <c r="AQ34" s="39">
        <f t="shared" ca="1" si="2"/>
        <v>159.13947990543736</v>
      </c>
      <c r="AR34" s="5">
        <f t="shared" ca="1" si="10"/>
        <v>142</v>
      </c>
      <c r="AS34" s="5">
        <f t="shared" ca="1" si="3"/>
        <v>155.30000000000001</v>
      </c>
      <c r="AT34" s="5">
        <f t="shared" ca="1" si="11"/>
        <v>0</v>
      </c>
    </row>
    <row r="35" spans="1:46" x14ac:dyDescent="0.25">
      <c r="A35" s="67">
        <f ca="1">Demand!C32</f>
        <v>29</v>
      </c>
      <c r="B35" s="67">
        <v>20</v>
      </c>
      <c r="C35" s="5">
        <f ca="1">'Demand background (hide)'!Y23</f>
        <v>138</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124.86052009456264</v>
      </c>
      <c r="K35" s="5">
        <f t="shared" ca="1" si="21"/>
        <v>130.57368006304176</v>
      </c>
      <c r="L35" s="5">
        <f t="shared" ca="1" si="22"/>
        <v>136.28684003152088</v>
      </c>
      <c r="M35" s="5">
        <f t="shared" ca="1" si="23"/>
        <v>142</v>
      </c>
      <c r="N35" s="5">
        <f t="shared" ca="1" si="24"/>
        <v>147.71315996847912</v>
      </c>
      <c r="O35" s="5">
        <f t="shared" ca="1" si="25"/>
        <v>153.42631993695824</v>
      </c>
      <c r="P35" s="5">
        <f t="shared" ca="1" si="26"/>
        <v>159.13947990543736</v>
      </c>
      <c r="Q35" s="5" t="e">
        <f t="shared" ca="1" si="27"/>
        <v>#N/A</v>
      </c>
      <c r="R35" s="5">
        <f t="shared" ca="1" si="32"/>
        <v>-1</v>
      </c>
      <c r="S35" s="67" t="e">
        <f t="shared" ca="1" si="33"/>
        <v>#N/A</v>
      </c>
      <c r="T35" s="67">
        <f t="shared" ca="1" si="34"/>
        <v>-1</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142</v>
      </c>
      <c r="AD35" s="5">
        <f t="shared" ca="1" si="31"/>
        <v>155.30000000000001</v>
      </c>
      <c r="AG35" s="67">
        <f t="shared" ca="1" si="12"/>
        <v>43</v>
      </c>
      <c r="AH35" s="67">
        <v>34</v>
      </c>
      <c r="AI35" s="67">
        <f t="shared" ca="1" si="4"/>
        <v>5</v>
      </c>
      <c r="AJ35" s="39">
        <f t="shared" ca="1" si="5"/>
        <v>5.7131599684791183</v>
      </c>
      <c r="AK35" s="39">
        <f t="shared" ca="1" si="6"/>
        <v>124.86052009456264</v>
      </c>
      <c r="AL35" s="39">
        <f t="shared" ca="1" si="7"/>
        <v>130.57368006304176</v>
      </c>
      <c r="AM35" s="39">
        <f t="shared" ca="1" si="8"/>
        <v>136.28684003152088</v>
      </c>
      <c r="AN35" s="39">
        <f t="shared" ca="1" si="9"/>
        <v>142</v>
      </c>
      <c r="AO35" s="39">
        <f t="shared" ca="1" si="0"/>
        <v>147.71315996847912</v>
      </c>
      <c r="AP35" s="39">
        <f t="shared" ca="1" si="1"/>
        <v>153.42631993695824</v>
      </c>
      <c r="AQ35" s="39">
        <f t="shared" ca="1" si="2"/>
        <v>159.13947990543736</v>
      </c>
      <c r="AR35" s="5">
        <f t="shared" ca="1" si="10"/>
        <v>142</v>
      </c>
      <c r="AS35" s="5">
        <f t="shared" ca="1" si="3"/>
        <v>155.30000000000001</v>
      </c>
      <c r="AT35" s="5">
        <f t="shared" ca="1" si="11"/>
        <v>0</v>
      </c>
    </row>
    <row r="36" spans="1:46" x14ac:dyDescent="0.25">
      <c r="A36" s="67">
        <f ca="1">Demand!C33</f>
        <v>30</v>
      </c>
      <c r="B36" s="67">
        <v>21</v>
      </c>
      <c r="C36" s="5">
        <f ca="1">'Demand background (hide)'!Y24</f>
        <v>160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124.86052009456264</v>
      </c>
      <c r="K36" s="5">
        <f t="shared" ca="1" si="21"/>
        <v>130.57368006304176</v>
      </c>
      <c r="L36" s="5">
        <f t="shared" ca="1" si="22"/>
        <v>136.28684003152088</v>
      </c>
      <c r="M36" s="5">
        <f t="shared" ca="1" si="23"/>
        <v>142</v>
      </c>
      <c r="N36" s="5">
        <f t="shared" ca="1" si="24"/>
        <v>147.71315996847912</v>
      </c>
      <c r="O36" s="5">
        <f t="shared" ca="1" si="25"/>
        <v>153.42631993695824</v>
      </c>
      <c r="P36" s="5">
        <f t="shared" ca="1" si="26"/>
        <v>159.13947990543736</v>
      </c>
      <c r="Q36" s="5">
        <f t="shared" ca="1" si="27"/>
        <v>160</v>
      </c>
      <c r="R36" s="5">
        <f t="shared" ca="1" si="32"/>
        <v>2</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142</v>
      </c>
      <c r="AD36" s="5">
        <f t="shared" ca="1" si="31"/>
        <v>155.30000000000001</v>
      </c>
      <c r="AG36" s="67">
        <f t="shared" ca="1" si="12"/>
        <v>44</v>
      </c>
      <c r="AH36" s="67">
        <v>35</v>
      </c>
      <c r="AI36" s="67">
        <f t="shared" ca="1" si="4"/>
        <v>5</v>
      </c>
      <c r="AJ36" s="39">
        <f t="shared" ca="1" si="5"/>
        <v>5.7131599684791183</v>
      </c>
      <c r="AK36" s="39">
        <f t="shared" ca="1" si="6"/>
        <v>124.86052009456264</v>
      </c>
      <c r="AL36" s="39">
        <f t="shared" ca="1" si="7"/>
        <v>130.57368006304176</v>
      </c>
      <c r="AM36" s="39">
        <f t="shared" ca="1" si="8"/>
        <v>136.28684003152088</v>
      </c>
      <c r="AN36" s="39">
        <f t="shared" ca="1" si="9"/>
        <v>142</v>
      </c>
      <c r="AO36" s="39">
        <f t="shared" ca="1" si="0"/>
        <v>147.71315996847912</v>
      </c>
      <c r="AP36" s="39">
        <f t="shared" ca="1" si="1"/>
        <v>153.42631993695824</v>
      </c>
      <c r="AQ36" s="39">
        <f t="shared" ca="1" si="2"/>
        <v>159.13947990543736</v>
      </c>
      <c r="AR36" s="5">
        <f t="shared" ca="1" si="10"/>
        <v>142</v>
      </c>
      <c r="AS36" s="5">
        <f t="shared" ca="1" si="3"/>
        <v>155.30000000000001</v>
      </c>
      <c r="AT36" s="5">
        <f t="shared" ca="1" si="11"/>
        <v>0</v>
      </c>
    </row>
    <row r="37" spans="1:46" x14ac:dyDescent="0.25">
      <c r="A37" s="67">
        <f ca="1">Demand!C34</f>
        <v>31</v>
      </c>
      <c r="B37" s="67">
        <v>22</v>
      </c>
      <c r="C37" s="5">
        <f ca="1">'Demand background (hide)'!Y25</f>
        <v>146</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124.86052009456264</v>
      </c>
      <c r="K37" s="5">
        <f t="shared" ca="1" si="21"/>
        <v>130.57368006304176</v>
      </c>
      <c r="L37" s="5">
        <f t="shared" ca="1" si="22"/>
        <v>136.28684003152088</v>
      </c>
      <c r="M37" s="5">
        <f t="shared" ca="1" si="23"/>
        <v>142</v>
      </c>
      <c r="N37" s="5">
        <f t="shared" ca="1" si="24"/>
        <v>147.71315996847912</v>
      </c>
      <c r="O37" s="5">
        <f t="shared" ca="1" si="25"/>
        <v>153.42631993695824</v>
      </c>
      <c r="P37" s="5">
        <f t="shared" ca="1" si="26"/>
        <v>159.13947990543736</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142</v>
      </c>
      <c r="AD37" s="5">
        <f t="shared" ca="1" si="31"/>
        <v>155.30000000000001</v>
      </c>
      <c r="AG37" s="67">
        <f t="shared" ca="1" si="12"/>
        <v>45</v>
      </c>
      <c r="AH37" s="67">
        <v>36</v>
      </c>
      <c r="AI37" s="67">
        <f t="shared" ca="1" si="4"/>
        <v>5</v>
      </c>
      <c r="AJ37" s="39">
        <f t="shared" ca="1" si="5"/>
        <v>5.7131599684791183</v>
      </c>
      <c r="AK37" s="39">
        <f t="shared" ca="1" si="6"/>
        <v>124.86052009456264</v>
      </c>
      <c r="AL37" s="39">
        <f t="shared" ca="1" si="7"/>
        <v>130.57368006304176</v>
      </c>
      <c r="AM37" s="39">
        <f t="shared" ca="1" si="8"/>
        <v>136.28684003152088</v>
      </c>
      <c r="AN37" s="39">
        <f t="shared" ca="1" si="9"/>
        <v>142</v>
      </c>
      <c r="AO37" s="39">
        <f t="shared" ca="1" si="0"/>
        <v>147.71315996847912</v>
      </c>
      <c r="AP37" s="39">
        <f t="shared" ca="1" si="1"/>
        <v>153.42631993695824</v>
      </c>
      <c r="AQ37" s="39">
        <f t="shared" ca="1" si="2"/>
        <v>159.13947990543736</v>
      </c>
      <c r="AR37" s="5">
        <f t="shared" ca="1" si="10"/>
        <v>142</v>
      </c>
      <c r="AS37" s="5">
        <f t="shared" ca="1" si="3"/>
        <v>155.30000000000001</v>
      </c>
      <c r="AT37" s="5">
        <f t="shared" ca="1" si="11"/>
        <v>0</v>
      </c>
    </row>
    <row r="38" spans="1:46" x14ac:dyDescent="0.25">
      <c r="A38" s="67">
        <f ca="1">Demand!C35</f>
        <v>32</v>
      </c>
      <c r="B38" s="67">
        <v>23</v>
      </c>
      <c r="C38" s="5">
        <f ca="1">'Demand background (hide)'!Y26</f>
        <v>148</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124.86052009456264</v>
      </c>
      <c r="K38" s="5">
        <f t="shared" ca="1" si="21"/>
        <v>130.57368006304176</v>
      </c>
      <c r="L38" s="5">
        <f t="shared" ca="1" si="22"/>
        <v>136.28684003152088</v>
      </c>
      <c r="M38" s="5">
        <f t="shared" ca="1" si="23"/>
        <v>142</v>
      </c>
      <c r="N38" s="5">
        <f t="shared" ca="1" si="24"/>
        <v>147.71315996847912</v>
      </c>
      <c r="O38" s="5">
        <f t="shared" ca="1" si="25"/>
        <v>153.42631993695824</v>
      </c>
      <c r="P38" s="5">
        <f t="shared" ca="1" si="26"/>
        <v>159.13947990543736</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142</v>
      </c>
      <c r="AD38" s="5">
        <f t="shared" ca="1" si="31"/>
        <v>155.30000000000001</v>
      </c>
      <c r="AG38" s="67">
        <f t="shared" ca="1" si="12"/>
        <v>46</v>
      </c>
      <c r="AH38" s="67">
        <v>37</v>
      </c>
      <c r="AI38" s="67">
        <f t="shared" ca="1" si="4"/>
        <v>5</v>
      </c>
      <c r="AJ38" s="39">
        <f t="shared" ca="1" si="5"/>
        <v>5.7131599684791183</v>
      </c>
      <c r="AK38" s="39">
        <f t="shared" ca="1" si="6"/>
        <v>124.86052009456264</v>
      </c>
      <c r="AL38" s="39">
        <f t="shared" ca="1" si="7"/>
        <v>130.57368006304176</v>
      </c>
      <c r="AM38" s="39">
        <f t="shared" ca="1" si="8"/>
        <v>136.28684003152088</v>
      </c>
      <c r="AN38" s="39">
        <f t="shared" ca="1" si="9"/>
        <v>142</v>
      </c>
      <c r="AO38" s="39">
        <f t="shared" ca="1" si="0"/>
        <v>147.71315996847912</v>
      </c>
      <c r="AP38" s="39">
        <f t="shared" ca="1" si="1"/>
        <v>153.42631993695824</v>
      </c>
      <c r="AQ38" s="39">
        <f t="shared" ca="1" si="2"/>
        <v>159.13947990543736</v>
      </c>
      <c r="AR38" s="5">
        <f t="shared" ca="1" si="10"/>
        <v>142</v>
      </c>
      <c r="AS38" s="5">
        <f t="shared" ca="1" si="3"/>
        <v>155.30000000000001</v>
      </c>
      <c r="AT38" s="5">
        <f t="shared" ca="1" si="11"/>
        <v>0</v>
      </c>
    </row>
    <row r="39" spans="1:46" x14ac:dyDescent="0.25">
      <c r="A39" s="67">
        <f ca="1">Demand!C36</f>
        <v>33</v>
      </c>
      <c r="B39" s="67">
        <v>24</v>
      </c>
      <c r="C39" s="5">
        <f ca="1">'Demand background (hide)'!Y27</f>
        <v>130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124.86052009456264</v>
      </c>
      <c r="K39" s="5">
        <f t="shared" ca="1" si="21"/>
        <v>130.57368006304176</v>
      </c>
      <c r="L39" s="5">
        <f t="shared" ca="1" si="22"/>
        <v>136.28684003152088</v>
      </c>
      <c r="M39" s="5">
        <f t="shared" ca="1" si="23"/>
        <v>142</v>
      </c>
      <c r="N39" s="5">
        <f t="shared" ca="1" si="24"/>
        <v>147.71315996847912</v>
      </c>
      <c r="O39" s="5">
        <f t="shared" ca="1" si="25"/>
        <v>153.42631993695824</v>
      </c>
      <c r="P39" s="5">
        <f t="shared" ca="1" si="26"/>
        <v>159.13947990543736</v>
      </c>
      <c r="Q39" s="5" t="e">
        <f t="shared" ca="1" si="27"/>
        <v>#N/A</v>
      </c>
      <c r="R39" s="5">
        <f t="shared" ca="1" si="32"/>
        <v>-2</v>
      </c>
      <c r="S39" s="67">
        <f t="shared" ca="1" si="33"/>
        <v>130</v>
      </c>
      <c r="T39" s="67">
        <f t="shared" ca="1" si="34"/>
        <v>-2</v>
      </c>
      <c r="U39" s="67">
        <f t="shared" ca="1" si="35"/>
        <v>130</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142</v>
      </c>
      <c r="AD39" s="5">
        <f t="shared" ca="1" si="31"/>
        <v>155.30000000000001</v>
      </c>
      <c r="AG39" s="67">
        <f t="shared" ca="1" si="12"/>
        <v>47</v>
      </c>
      <c r="AH39" s="67">
        <v>38</v>
      </c>
      <c r="AI39" s="67">
        <f t="shared" ca="1" si="4"/>
        <v>5</v>
      </c>
      <c r="AJ39" s="39">
        <f t="shared" ca="1" si="5"/>
        <v>5.7131599684791183</v>
      </c>
      <c r="AK39" s="39">
        <f t="shared" ca="1" si="6"/>
        <v>124.86052009456264</v>
      </c>
      <c r="AL39" s="39">
        <f t="shared" ca="1" si="7"/>
        <v>130.57368006304176</v>
      </c>
      <c r="AM39" s="39">
        <f t="shared" ca="1" si="8"/>
        <v>136.28684003152088</v>
      </c>
      <c r="AN39" s="39">
        <f t="shared" ca="1" si="9"/>
        <v>142</v>
      </c>
      <c r="AO39" s="39">
        <f t="shared" ca="1" si="0"/>
        <v>147.71315996847912</v>
      </c>
      <c r="AP39" s="39">
        <f t="shared" ca="1" si="1"/>
        <v>153.42631993695824</v>
      </c>
      <c r="AQ39" s="39">
        <f t="shared" ca="1" si="2"/>
        <v>159.13947990543736</v>
      </c>
      <c r="AR39" s="5">
        <f t="shared" ca="1" si="10"/>
        <v>142</v>
      </c>
      <c r="AS39" s="5">
        <f t="shared" ca="1" si="3"/>
        <v>155.30000000000001</v>
      </c>
      <c r="AT39" s="5">
        <f t="shared" ca="1" si="11"/>
        <v>0</v>
      </c>
    </row>
    <row r="40" spans="1:46" x14ac:dyDescent="0.25">
      <c r="A40" s="67">
        <f ca="1">Demand!C37</f>
        <v>34</v>
      </c>
      <c r="B40" s="67">
        <v>25</v>
      </c>
      <c r="C40" s="5">
        <f ca="1">'Demand background (hide)'!Y28</f>
        <v>130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124.86052009456264</v>
      </c>
      <c r="K40" s="5">
        <f t="shared" ca="1" si="21"/>
        <v>130.57368006304176</v>
      </c>
      <c r="L40" s="5">
        <f t="shared" ca="1" si="22"/>
        <v>136.28684003152088</v>
      </c>
      <c r="M40" s="5">
        <f t="shared" ca="1" si="23"/>
        <v>142</v>
      </c>
      <c r="N40" s="5">
        <f t="shared" ca="1" si="24"/>
        <v>147.71315996847912</v>
      </c>
      <c r="O40" s="5">
        <f t="shared" ca="1" si="25"/>
        <v>153.42631993695824</v>
      </c>
      <c r="P40" s="5">
        <f t="shared" ca="1" si="26"/>
        <v>159.13947990543736</v>
      </c>
      <c r="Q40" s="5" t="e">
        <f t="shared" ca="1" si="27"/>
        <v>#N/A</v>
      </c>
      <c r="R40" s="5">
        <f t="shared" ca="1" si="32"/>
        <v>-2</v>
      </c>
      <c r="S40" s="67">
        <f t="shared" ca="1" si="33"/>
        <v>130</v>
      </c>
      <c r="T40" s="67">
        <f t="shared" ca="1" si="34"/>
        <v>-2</v>
      </c>
      <c r="U40" s="67" t="e">
        <f t="shared" ca="1" si="35"/>
        <v>#N/A</v>
      </c>
      <c r="V40" s="5">
        <f t="shared" ca="1" si="14"/>
        <v>-1</v>
      </c>
      <c r="W40" s="5" t="e">
        <f t="shared" ca="1" si="28"/>
        <v>#N/A</v>
      </c>
      <c r="X40" s="67">
        <f t="shared" ca="1" si="29"/>
        <v>0</v>
      </c>
      <c r="Y40" s="67" t="e">
        <f t="shared" ca="1" si="36"/>
        <v>#N/A</v>
      </c>
      <c r="Z40" s="67" t="e">
        <f t="shared" ca="1" si="37"/>
        <v>#N/A</v>
      </c>
      <c r="AA40" s="5" t="str">
        <f>IF(Setup!$I$15="Yes",'Demand background (hide)'!AJ28+'SPC background (hide)'!C40,"")</f>
        <v/>
      </c>
      <c r="AC40" s="5">
        <f t="shared" ca="1" si="30"/>
        <v>142</v>
      </c>
      <c r="AD40" s="5">
        <f t="shared" ca="1" si="31"/>
        <v>155.30000000000001</v>
      </c>
      <c r="AG40" s="67">
        <f t="shared" ca="1" si="12"/>
        <v>48</v>
      </c>
      <c r="AH40" s="67">
        <v>39</v>
      </c>
      <c r="AI40" s="67">
        <f t="shared" ca="1" si="4"/>
        <v>5</v>
      </c>
      <c r="AJ40" s="39">
        <f t="shared" ca="1" si="5"/>
        <v>5.7131599684791183</v>
      </c>
      <c r="AK40" s="39">
        <f t="shared" ca="1" si="6"/>
        <v>124.86052009456264</v>
      </c>
      <c r="AL40" s="39">
        <f t="shared" ca="1" si="7"/>
        <v>130.57368006304176</v>
      </c>
      <c r="AM40" s="39">
        <f t="shared" ca="1" si="8"/>
        <v>136.28684003152088</v>
      </c>
      <c r="AN40" s="39">
        <f t="shared" ca="1" si="9"/>
        <v>142</v>
      </c>
      <c r="AO40" s="39">
        <f t="shared" ca="1" si="0"/>
        <v>147.71315996847912</v>
      </c>
      <c r="AP40" s="39">
        <f t="shared" ca="1" si="1"/>
        <v>153.42631993695824</v>
      </c>
      <c r="AQ40" s="39">
        <f t="shared" ca="1" si="2"/>
        <v>159.13947990543736</v>
      </c>
      <c r="AR40" s="5">
        <f t="shared" ca="1" si="10"/>
        <v>142</v>
      </c>
      <c r="AS40" s="5">
        <f t="shared" ca="1" si="3"/>
        <v>155.30000000000001</v>
      </c>
      <c r="AT40" s="5">
        <f t="shared" ca="1" si="11"/>
        <v>0</v>
      </c>
    </row>
    <row r="41" spans="1:46" x14ac:dyDescent="0.25">
      <c r="A41" s="67">
        <f ca="1">Demand!C38</f>
        <v>35</v>
      </c>
      <c r="B41" s="67">
        <v>26</v>
      </c>
      <c r="C41" s="5">
        <f ca="1">'Demand background (hide)'!Y29</f>
        <v>120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124.86052009456264</v>
      </c>
      <c r="K41" s="5">
        <f t="shared" ca="1" si="21"/>
        <v>130.57368006304176</v>
      </c>
      <c r="L41" s="5">
        <f t="shared" ca="1" si="22"/>
        <v>136.28684003152088</v>
      </c>
      <c r="M41" s="5">
        <f t="shared" ca="1" si="23"/>
        <v>142</v>
      </c>
      <c r="N41" s="5">
        <f t="shared" ca="1" si="24"/>
        <v>147.71315996847912</v>
      </c>
      <c r="O41" s="5">
        <f t="shared" ca="1" si="25"/>
        <v>153.42631993695824</v>
      </c>
      <c r="P41" s="5">
        <f t="shared" ca="1" si="26"/>
        <v>159.13947990543736</v>
      </c>
      <c r="Q41" s="5">
        <f t="shared" ca="1" si="27"/>
        <v>120</v>
      </c>
      <c r="R41" s="5">
        <f t="shared" ca="1" si="32"/>
        <v>-2</v>
      </c>
      <c r="S41" s="67">
        <f t="shared" ca="1" si="33"/>
        <v>120</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142</v>
      </c>
      <c r="AD41" s="5">
        <f t="shared" ca="1" si="31"/>
        <v>155.30000000000001</v>
      </c>
      <c r="AG41" s="67">
        <f t="shared" ca="1" si="12"/>
        <v>49</v>
      </c>
      <c r="AH41" s="67">
        <v>40</v>
      </c>
      <c r="AI41" s="67">
        <f t="shared" ca="1" si="4"/>
        <v>5</v>
      </c>
      <c r="AJ41" s="39">
        <f t="shared" ca="1" si="5"/>
        <v>5.7131599684791183</v>
      </c>
      <c r="AK41" s="39">
        <f t="shared" ca="1" si="6"/>
        <v>124.86052009456264</v>
      </c>
      <c r="AL41" s="39">
        <f t="shared" ca="1" si="7"/>
        <v>130.57368006304176</v>
      </c>
      <c r="AM41" s="39">
        <f t="shared" ca="1" si="8"/>
        <v>136.28684003152088</v>
      </c>
      <c r="AN41" s="39">
        <f t="shared" ca="1" si="9"/>
        <v>142</v>
      </c>
      <c r="AO41" s="39">
        <f t="shared" ca="1" si="0"/>
        <v>147.71315996847912</v>
      </c>
      <c r="AP41" s="39">
        <f t="shared" ca="1" si="1"/>
        <v>153.42631993695824</v>
      </c>
      <c r="AQ41" s="39">
        <f t="shared" ca="1" si="2"/>
        <v>159.13947990543736</v>
      </c>
      <c r="AR41" s="5">
        <f t="shared" ca="1" si="10"/>
        <v>142</v>
      </c>
      <c r="AS41" s="5">
        <f t="shared" ca="1" si="3"/>
        <v>155.30000000000001</v>
      </c>
      <c r="AT41" s="5">
        <f t="shared" ca="1" si="11"/>
        <v>0</v>
      </c>
    </row>
    <row r="42" spans="1:46" x14ac:dyDescent="0.25">
      <c r="A42" s="67">
        <f ca="1">Demand!C39</f>
        <v>36</v>
      </c>
      <c r="B42" s="67">
        <v>27</v>
      </c>
      <c r="C42" s="5">
        <f ca="1">'Demand background (hide)'!Y30</f>
        <v>124</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124.86052009456264</v>
      </c>
      <c r="K42" s="5">
        <f t="shared" ca="1" si="21"/>
        <v>130.57368006304176</v>
      </c>
      <c r="L42" s="5">
        <f t="shared" ca="1" si="22"/>
        <v>136.28684003152088</v>
      </c>
      <c r="M42" s="5">
        <f t="shared" ca="1" si="23"/>
        <v>142</v>
      </c>
      <c r="N42" s="5">
        <f t="shared" ca="1" si="24"/>
        <v>147.71315996847912</v>
      </c>
      <c r="O42" s="5">
        <f t="shared" ca="1" si="25"/>
        <v>153.42631993695824</v>
      </c>
      <c r="P42" s="5">
        <f t="shared" ca="1" si="26"/>
        <v>159.13947990543736</v>
      </c>
      <c r="Q42" s="5">
        <f t="shared" ca="1" si="27"/>
        <v>124</v>
      </c>
      <c r="R42" s="5">
        <f t="shared" ca="1" si="32"/>
        <v>-2</v>
      </c>
      <c r="S42" s="67" t="e">
        <f t="shared" ca="1" si="33"/>
        <v>#N/A</v>
      </c>
      <c r="T42" s="67">
        <f t="shared" ca="1" si="34"/>
        <v>-2</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142</v>
      </c>
      <c r="AD42" s="5">
        <f t="shared" ca="1" si="31"/>
        <v>155.30000000000001</v>
      </c>
      <c r="AG42" s="67">
        <f t="shared" ca="1" si="12"/>
        <v>50</v>
      </c>
      <c r="AH42" s="67">
        <v>41</v>
      </c>
      <c r="AI42" s="67">
        <f t="shared" ca="1" si="4"/>
        <v>5</v>
      </c>
      <c r="AJ42" s="39">
        <f t="shared" ca="1" si="5"/>
        <v>5.7131599684791183</v>
      </c>
      <c r="AK42" s="39">
        <f t="shared" ca="1" si="6"/>
        <v>124.86052009456264</v>
      </c>
      <c r="AL42" s="39">
        <f t="shared" ca="1" si="7"/>
        <v>130.57368006304176</v>
      </c>
      <c r="AM42" s="39">
        <f t="shared" ca="1" si="8"/>
        <v>136.28684003152088</v>
      </c>
      <c r="AN42" s="39">
        <f t="shared" ca="1" si="9"/>
        <v>142</v>
      </c>
      <c r="AO42" s="39">
        <f t="shared" ca="1" si="0"/>
        <v>147.71315996847912</v>
      </c>
      <c r="AP42" s="39">
        <f t="shared" ca="1" si="1"/>
        <v>153.42631993695824</v>
      </c>
      <c r="AQ42" s="39">
        <f t="shared" ca="1" si="2"/>
        <v>159.13947990543736</v>
      </c>
      <c r="AR42" s="5">
        <f t="shared" ca="1" si="10"/>
        <v>142</v>
      </c>
      <c r="AS42" s="5">
        <f t="shared" ca="1" si="3"/>
        <v>155.30000000000001</v>
      </c>
      <c r="AT42" s="5">
        <f t="shared" ca="1" si="11"/>
        <v>0</v>
      </c>
    </row>
    <row r="43" spans="1:46" x14ac:dyDescent="0.25">
      <c r="A43" s="67">
        <f ca="1">Demand!C40</f>
        <v>37</v>
      </c>
      <c r="B43" s="67">
        <v>28</v>
      </c>
      <c r="C43" s="5">
        <f ca="1">'Demand background (hide)'!Y31</f>
        <v>140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124.86052009456264</v>
      </c>
      <c r="K43" s="5">
        <f t="shared" ca="1" si="21"/>
        <v>130.57368006304176</v>
      </c>
      <c r="L43" s="5">
        <f t="shared" ca="1" si="22"/>
        <v>136.28684003152088</v>
      </c>
      <c r="M43" s="5">
        <f t="shared" ca="1" si="23"/>
        <v>142</v>
      </c>
      <c r="N43" s="5">
        <f t="shared" ca="1" si="24"/>
        <v>147.71315996847912</v>
      </c>
      <c r="O43" s="5">
        <f t="shared" ca="1" si="25"/>
        <v>153.42631993695824</v>
      </c>
      <c r="P43" s="5">
        <f t="shared" ca="1" si="26"/>
        <v>159.13947990543736</v>
      </c>
      <c r="Q43" s="5" t="e">
        <f t="shared" ca="1" si="27"/>
        <v>#N/A</v>
      </c>
      <c r="R43" s="5">
        <f t="shared" ca="1" si="32"/>
        <v>-1</v>
      </c>
      <c r="S43" s="67" t="e">
        <f t="shared" ca="1" si="33"/>
        <v>#N/A</v>
      </c>
      <c r="T43" s="67">
        <f t="shared" ca="1" si="34"/>
        <v>-1</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142</v>
      </c>
      <c r="AD43" s="5">
        <f t="shared" ca="1" si="31"/>
        <v>155.30000000000001</v>
      </c>
      <c r="AG43" s="67">
        <f t="shared" ca="1" si="12"/>
        <v>51</v>
      </c>
      <c r="AH43" s="67">
        <v>42</v>
      </c>
      <c r="AI43" s="67">
        <f t="shared" ca="1" si="4"/>
        <v>5</v>
      </c>
      <c r="AJ43" s="39">
        <f t="shared" ca="1" si="5"/>
        <v>5.7131599684791183</v>
      </c>
      <c r="AK43" s="39">
        <f t="shared" ca="1" si="6"/>
        <v>124.86052009456264</v>
      </c>
      <c r="AL43" s="39">
        <f t="shared" ca="1" si="7"/>
        <v>130.57368006304176</v>
      </c>
      <c r="AM43" s="39">
        <f t="shared" ca="1" si="8"/>
        <v>136.28684003152088</v>
      </c>
      <c r="AN43" s="39">
        <f t="shared" ca="1" si="9"/>
        <v>142</v>
      </c>
      <c r="AO43" s="39">
        <f t="shared" ca="1" si="0"/>
        <v>147.71315996847912</v>
      </c>
      <c r="AP43" s="39">
        <f t="shared" ca="1" si="1"/>
        <v>153.42631993695824</v>
      </c>
      <c r="AQ43" s="39">
        <f t="shared" ca="1" si="2"/>
        <v>159.13947990543736</v>
      </c>
      <c r="AR43" s="5">
        <f t="shared" ca="1" si="10"/>
        <v>142</v>
      </c>
      <c r="AS43" s="5">
        <f t="shared" ca="1" si="3"/>
        <v>155.30000000000001</v>
      </c>
      <c r="AT43" s="5">
        <f t="shared" ca="1" si="11"/>
        <v>0</v>
      </c>
    </row>
    <row r="44" spans="1:46" x14ac:dyDescent="0.25">
      <c r="A44" s="67">
        <f ca="1">Demand!C41</f>
        <v>38</v>
      </c>
      <c r="B44" s="67">
        <v>29</v>
      </c>
      <c r="C44" s="5">
        <f ca="1">'Demand background (hide)'!Y32</f>
        <v>148</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124.86052009456264</v>
      </c>
      <c r="K44" s="5">
        <f t="shared" ca="1" si="21"/>
        <v>130.57368006304176</v>
      </c>
      <c r="L44" s="5">
        <f t="shared" ca="1" si="22"/>
        <v>136.28684003152088</v>
      </c>
      <c r="M44" s="5">
        <f t="shared" ca="1" si="23"/>
        <v>142</v>
      </c>
      <c r="N44" s="5">
        <f t="shared" ca="1" si="24"/>
        <v>147.71315996847912</v>
      </c>
      <c r="O44" s="5">
        <f t="shared" ca="1" si="25"/>
        <v>153.42631993695824</v>
      </c>
      <c r="P44" s="5">
        <f t="shared" ca="1" si="26"/>
        <v>159.13947990543736</v>
      </c>
      <c r="Q44" s="5" t="e">
        <f t="shared" ca="1" si="27"/>
        <v>#N/A</v>
      </c>
      <c r="R44" s="5">
        <f t="shared" ca="1" si="32"/>
        <v>1</v>
      </c>
      <c r="S44" s="67" t="e">
        <f t="shared" ca="1" si="33"/>
        <v>#N/A</v>
      </c>
      <c r="T44" s="67">
        <f t="shared" ca="1" si="34"/>
        <v>2</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142</v>
      </c>
      <c r="AD44" s="5">
        <f t="shared" ca="1" si="31"/>
        <v>155.30000000000001</v>
      </c>
      <c r="AG44" s="67">
        <f t="shared" ca="1" si="12"/>
        <v>52</v>
      </c>
      <c r="AH44" s="67">
        <v>43</v>
      </c>
      <c r="AI44" s="67">
        <f t="shared" ca="1" si="4"/>
        <v>5</v>
      </c>
      <c r="AJ44" s="39">
        <f t="shared" ca="1" si="5"/>
        <v>5.7131599684791183</v>
      </c>
      <c r="AK44" s="39">
        <f t="shared" ca="1" si="6"/>
        <v>124.86052009456264</v>
      </c>
      <c r="AL44" s="39">
        <f t="shared" ca="1" si="7"/>
        <v>130.57368006304176</v>
      </c>
      <c r="AM44" s="39">
        <f t="shared" ca="1" si="8"/>
        <v>136.28684003152088</v>
      </c>
      <c r="AN44" s="39">
        <f t="shared" ca="1" si="9"/>
        <v>142</v>
      </c>
      <c r="AO44" s="39">
        <f t="shared" ca="1" si="0"/>
        <v>147.71315996847912</v>
      </c>
      <c r="AP44" s="39">
        <f t="shared" ca="1" si="1"/>
        <v>153.42631993695824</v>
      </c>
      <c r="AQ44" s="39">
        <f t="shared" ca="1" si="2"/>
        <v>159.13947990543736</v>
      </c>
      <c r="AR44" s="5">
        <f t="shared" ca="1" si="10"/>
        <v>142</v>
      </c>
      <c r="AS44" s="5">
        <f t="shared" ca="1" si="3"/>
        <v>155.30000000000001</v>
      </c>
      <c r="AT44" s="5">
        <f t="shared" ca="1" si="11"/>
        <v>0</v>
      </c>
    </row>
    <row r="45" spans="1:46" x14ac:dyDescent="0.25">
      <c r="A45" s="67">
        <f ca="1">Demand!C42</f>
        <v>39</v>
      </c>
      <c r="B45" s="67">
        <v>30</v>
      </c>
      <c r="C45" s="5">
        <f ca="1">'Demand background (hide)'!Y33</f>
        <v>150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124.86052009456264</v>
      </c>
      <c r="K45" s="5">
        <f t="shared" ca="1" si="21"/>
        <v>130.57368006304176</v>
      </c>
      <c r="L45" s="5">
        <f t="shared" ca="1" si="22"/>
        <v>136.28684003152088</v>
      </c>
      <c r="M45" s="5">
        <f t="shared" ca="1" si="23"/>
        <v>142</v>
      </c>
      <c r="N45" s="5">
        <f t="shared" ca="1" si="24"/>
        <v>147.71315996847912</v>
      </c>
      <c r="O45" s="5">
        <f t="shared" ca="1" si="25"/>
        <v>153.42631993695824</v>
      </c>
      <c r="P45" s="5">
        <f t="shared" ca="1" si="26"/>
        <v>159.13947990543736</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142</v>
      </c>
      <c r="AD45" s="5">
        <f t="shared" ca="1" si="31"/>
        <v>155.30000000000001</v>
      </c>
      <c r="AG45" s="67">
        <f t="shared" ca="1" si="12"/>
        <v>53</v>
      </c>
      <c r="AH45" s="67">
        <v>44</v>
      </c>
      <c r="AI45" s="67">
        <f t="shared" ca="1" si="4"/>
        <v>5</v>
      </c>
      <c r="AJ45" s="39">
        <f t="shared" ca="1" si="5"/>
        <v>5.7131599684791183</v>
      </c>
      <c r="AK45" s="39">
        <f t="shared" ca="1" si="6"/>
        <v>124.86052009456264</v>
      </c>
      <c r="AL45" s="39">
        <f t="shared" ca="1" si="7"/>
        <v>130.57368006304176</v>
      </c>
      <c r="AM45" s="39">
        <f t="shared" ca="1" si="8"/>
        <v>136.28684003152088</v>
      </c>
      <c r="AN45" s="39">
        <f t="shared" ca="1" si="9"/>
        <v>142</v>
      </c>
      <c r="AO45" s="39">
        <f t="shared" ca="1" si="0"/>
        <v>147.71315996847912</v>
      </c>
      <c r="AP45" s="39">
        <f t="shared" ca="1" si="1"/>
        <v>153.42631993695824</v>
      </c>
      <c r="AQ45" s="39">
        <f t="shared" ca="1" si="2"/>
        <v>159.13947990543736</v>
      </c>
      <c r="AR45" s="5">
        <f t="shared" ca="1" si="10"/>
        <v>142</v>
      </c>
      <c r="AS45" s="5">
        <f t="shared" ca="1" si="3"/>
        <v>155.30000000000001</v>
      </c>
      <c r="AT45" s="5">
        <f t="shared" ca="1" si="11"/>
        <v>0</v>
      </c>
    </row>
    <row r="46" spans="1:46" x14ac:dyDescent="0.25">
      <c r="A46" s="67">
        <f ca="1">Demand!C43</f>
        <v>40</v>
      </c>
      <c r="B46" s="67">
        <v>31</v>
      </c>
      <c r="C46" s="5">
        <f ca="1">'Demand background (hide)'!Y34</f>
        <v>142</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124.86052009456264</v>
      </c>
      <c r="K46" s="5">
        <f t="shared" ca="1" si="21"/>
        <v>130.57368006304176</v>
      </c>
      <c r="L46" s="5">
        <f t="shared" ca="1" si="22"/>
        <v>136.28684003152088</v>
      </c>
      <c r="M46" s="5">
        <f t="shared" ca="1" si="23"/>
        <v>142</v>
      </c>
      <c r="N46" s="5">
        <f t="shared" ca="1" si="24"/>
        <v>147.71315996847912</v>
      </c>
      <c r="O46" s="5">
        <f t="shared" ca="1" si="25"/>
        <v>153.42631993695824</v>
      </c>
      <c r="P46" s="5">
        <f t="shared" ca="1" si="26"/>
        <v>159.13947990543736</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-1</v>
      </c>
      <c r="Y46" s="67" t="e">
        <f t="shared" ca="1" si="36"/>
        <v>#N/A</v>
      </c>
      <c r="Z46" s="67" t="e">
        <f t="shared" ca="1" si="37"/>
        <v>#N/A</v>
      </c>
      <c r="AA46" s="5" t="str">
        <f>IF(Setup!$I$15="Yes",'Demand background (hide)'!AJ34+'SPC background (hide)'!C46,"")</f>
        <v/>
      </c>
      <c r="AC46" s="5">
        <f t="shared" ca="1" si="30"/>
        <v>142</v>
      </c>
      <c r="AD46" s="5">
        <f t="shared" ca="1" si="31"/>
        <v>155.30000000000001</v>
      </c>
      <c r="AG46" s="67">
        <f t="shared" ca="1" si="12"/>
        <v>1</v>
      </c>
      <c r="AH46" s="67">
        <v>45</v>
      </c>
      <c r="AI46" s="67">
        <f t="shared" ca="1" si="4"/>
        <v>5</v>
      </c>
      <c r="AJ46" s="39">
        <f t="shared" ca="1" si="5"/>
        <v>5.7131599684791183</v>
      </c>
      <c r="AK46" s="39">
        <f t="shared" ca="1" si="6"/>
        <v>124.86052009456264</v>
      </c>
      <c r="AL46" s="39">
        <f t="shared" ca="1" si="7"/>
        <v>130.57368006304176</v>
      </c>
      <c r="AM46" s="39">
        <f t="shared" ca="1" si="8"/>
        <v>136.28684003152088</v>
      </c>
      <c r="AN46" s="39">
        <f t="shared" ca="1" si="9"/>
        <v>142</v>
      </c>
      <c r="AO46" s="39">
        <f t="shared" ca="1" si="0"/>
        <v>147.71315996847912</v>
      </c>
      <c r="AP46" s="39">
        <f t="shared" ca="1" si="1"/>
        <v>153.42631993695824</v>
      </c>
      <c r="AQ46" s="39">
        <f t="shared" ca="1" si="2"/>
        <v>159.13947990543736</v>
      </c>
      <c r="AR46" s="5">
        <f t="shared" ca="1" si="10"/>
        <v>142</v>
      </c>
      <c r="AS46" s="5">
        <f t="shared" ca="1" si="3"/>
        <v>155.30000000000001</v>
      </c>
      <c r="AT46" s="5">
        <f t="shared" ca="1" si="11"/>
        <v>0</v>
      </c>
    </row>
    <row r="47" spans="1:46" x14ac:dyDescent="0.25">
      <c r="A47" s="67">
        <f ca="1">Demand!C44</f>
        <v>41</v>
      </c>
      <c r="B47" s="67">
        <v>32</v>
      </c>
      <c r="C47" s="5">
        <f ca="1">'Demand background (hide)'!Y35</f>
        <v>132</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124.86052009456264</v>
      </c>
      <c r="K47" s="5">
        <f t="shared" ca="1" si="21"/>
        <v>130.57368006304176</v>
      </c>
      <c r="L47" s="5">
        <f t="shared" ca="1" si="22"/>
        <v>136.28684003152088</v>
      </c>
      <c r="M47" s="5">
        <f t="shared" ca="1" si="23"/>
        <v>142</v>
      </c>
      <c r="N47" s="5">
        <f t="shared" ca="1" si="24"/>
        <v>147.71315996847912</v>
      </c>
      <c r="O47" s="5">
        <f t="shared" ca="1" si="25"/>
        <v>153.42631993695824</v>
      </c>
      <c r="P47" s="5">
        <f t="shared" ca="1" si="26"/>
        <v>159.13947990543736</v>
      </c>
      <c r="Q47" s="5" t="e">
        <f t="shared" ca="1" si="27"/>
        <v>#N/A</v>
      </c>
      <c r="R47" s="5">
        <f t="shared" ca="1" si="32"/>
        <v>-1</v>
      </c>
      <c r="S47" s="67" t="e">
        <f t="shared" ca="1" si="33"/>
        <v>#N/A</v>
      </c>
      <c r="T47" s="67">
        <f t="shared" ca="1" si="34"/>
        <v>-2</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142</v>
      </c>
      <c r="AD47" s="5">
        <f t="shared" ca="1" si="31"/>
        <v>155.30000000000001</v>
      </c>
      <c r="AG47" s="67">
        <f t="shared" ca="1" si="12"/>
        <v>2</v>
      </c>
      <c r="AH47" s="67">
        <v>46</v>
      </c>
      <c r="AI47" s="67">
        <f t="shared" ca="1" si="4"/>
        <v>5</v>
      </c>
      <c r="AJ47" s="39">
        <f t="shared" ca="1" si="5"/>
        <v>5.7131599684791183</v>
      </c>
      <c r="AK47" s="39">
        <f t="shared" ca="1" si="6"/>
        <v>124.86052009456264</v>
      </c>
      <c r="AL47" s="39">
        <f t="shared" ca="1" si="7"/>
        <v>130.57368006304176</v>
      </c>
      <c r="AM47" s="39">
        <f t="shared" ca="1" si="8"/>
        <v>136.28684003152088</v>
      </c>
      <c r="AN47" s="39">
        <f t="shared" ca="1" si="9"/>
        <v>142</v>
      </c>
      <c r="AO47" s="39">
        <f t="shared" ca="1" si="0"/>
        <v>147.71315996847912</v>
      </c>
      <c r="AP47" s="39">
        <f t="shared" ca="1" si="1"/>
        <v>153.42631993695824</v>
      </c>
      <c r="AQ47" s="39">
        <f t="shared" ca="1" si="2"/>
        <v>159.13947990543736</v>
      </c>
      <c r="AR47" s="5">
        <f t="shared" ca="1" si="10"/>
        <v>142</v>
      </c>
      <c r="AS47" s="5">
        <f t="shared" ca="1" si="3"/>
        <v>155.30000000000001</v>
      </c>
      <c r="AT47" s="5">
        <f t="shared" ca="1" si="11"/>
        <v>0</v>
      </c>
    </row>
    <row r="48" spans="1:46" x14ac:dyDescent="0.25">
      <c r="A48" s="67">
        <f ca="1">Demand!C45</f>
        <v>42</v>
      </c>
      <c r="B48" s="67">
        <v>33</v>
      </c>
      <c r="C48" s="5">
        <f ca="1">'Demand background (hide)'!Y36</f>
        <v>136</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124.86052009456264</v>
      </c>
      <c r="K48" s="5">
        <f t="shared" ca="1" si="21"/>
        <v>130.57368006304176</v>
      </c>
      <c r="L48" s="5">
        <f t="shared" ca="1" si="22"/>
        <v>136.28684003152088</v>
      </c>
      <c r="M48" s="5">
        <f t="shared" ca="1" si="23"/>
        <v>142</v>
      </c>
      <c r="N48" s="5">
        <f t="shared" ca="1" si="24"/>
        <v>147.71315996847912</v>
      </c>
      <c r="O48" s="5">
        <f t="shared" ca="1" si="25"/>
        <v>153.42631993695824</v>
      </c>
      <c r="P48" s="5">
        <f t="shared" ca="1" si="26"/>
        <v>159.13947990543736</v>
      </c>
      <c r="Q48" s="5" t="e">
        <f t="shared" ca="1" si="27"/>
        <v>#N/A</v>
      </c>
      <c r="R48" s="5">
        <f t="shared" ca="1" si="32"/>
        <v>-1</v>
      </c>
      <c r="S48" s="67" t="e">
        <f t="shared" ca="1" si="33"/>
        <v>#N/A</v>
      </c>
      <c r="T48" s="67">
        <f t="shared" ca="1" si="34"/>
        <v>-2</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142</v>
      </c>
      <c r="AD48" s="5">
        <f t="shared" ca="1" si="31"/>
        <v>155.30000000000001</v>
      </c>
      <c r="AG48" s="67">
        <f t="shared" ca="1" si="12"/>
        <v>3</v>
      </c>
      <c r="AH48" s="67">
        <v>47</v>
      </c>
      <c r="AI48" s="67">
        <f t="shared" ca="1" si="4"/>
        <v>5</v>
      </c>
      <c r="AJ48" s="39">
        <f t="shared" ca="1" si="5"/>
        <v>5.7131599684791183</v>
      </c>
      <c r="AK48" s="39">
        <f t="shared" ca="1" si="6"/>
        <v>124.86052009456264</v>
      </c>
      <c r="AL48" s="39">
        <f t="shared" ca="1" si="7"/>
        <v>130.57368006304176</v>
      </c>
      <c r="AM48" s="39">
        <f t="shared" ca="1" si="8"/>
        <v>136.28684003152088</v>
      </c>
      <c r="AN48" s="39">
        <f t="shared" ca="1" si="9"/>
        <v>142</v>
      </c>
      <c r="AO48" s="39">
        <f t="shared" ca="1" si="0"/>
        <v>147.71315996847912</v>
      </c>
      <c r="AP48" s="39">
        <f t="shared" ca="1" si="1"/>
        <v>153.42631993695824</v>
      </c>
      <c r="AQ48" s="39">
        <f t="shared" ca="1" si="2"/>
        <v>159.13947990543736</v>
      </c>
      <c r="AR48" s="5">
        <f t="shared" ca="1" si="10"/>
        <v>142</v>
      </c>
      <c r="AS48" s="5">
        <f t="shared" ca="1" si="3"/>
        <v>155.30000000000001</v>
      </c>
      <c r="AT48" s="5">
        <f t="shared" ca="1" si="11"/>
        <v>0</v>
      </c>
    </row>
    <row r="49" spans="1:46" x14ac:dyDescent="0.25">
      <c r="A49" s="67">
        <f ca="1">Demand!C46</f>
        <v>43</v>
      </c>
      <c r="B49" s="67">
        <v>34</v>
      </c>
      <c r="C49" s="5">
        <f ca="1">'Demand background (hide)'!Y37</f>
        <v>140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124.86052009456264</v>
      </c>
      <c r="K49" s="5">
        <f t="shared" ca="1" si="21"/>
        <v>130.57368006304176</v>
      </c>
      <c r="L49" s="5">
        <f t="shared" ca="1" si="22"/>
        <v>136.28684003152088</v>
      </c>
      <c r="M49" s="5">
        <f t="shared" ca="1" si="23"/>
        <v>142</v>
      </c>
      <c r="N49" s="5">
        <f t="shared" ca="1" si="24"/>
        <v>147.71315996847912</v>
      </c>
      <c r="O49" s="5">
        <f t="shared" ca="1" si="25"/>
        <v>153.42631993695824</v>
      </c>
      <c r="P49" s="5">
        <f t="shared" ca="1" si="26"/>
        <v>159.13947990543736</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142</v>
      </c>
      <c r="AD49" s="5">
        <f t="shared" ca="1" si="31"/>
        <v>155.30000000000001</v>
      </c>
      <c r="AG49" s="67">
        <f t="shared" ca="1" si="12"/>
        <v>4</v>
      </c>
      <c r="AH49" s="67">
        <v>48</v>
      </c>
      <c r="AI49" s="67">
        <f t="shared" ca="1" si="4"/>
        <v>5</v>
      </c>
      <c r="AJ49" s="39">
        <f t="shared" ca="1" si="5"/>
        <v>5.7131599684791183</v>
      </c>
      <c r="AK49" s="39">
        <f t="shared" ca="1" si="6"/>
        <v>124.86052009456264</v>
      </c>
      <c r="AL49" s="39">
        <f t="shared" ca="1" si="7"/>
        <v>130.57368006304176</v>
      </c>
      <c r="AM49" s="39">
        <f t="shared" ca="1" si="8"/>
        <v>136.28684003152088</v>
      </c>
      <c r="AN49" s="39">
        <f t="shared" ca="1" si="9"/>
        <v>142</v>
      </c>
      <c r="AO49" s="39">
        <f t="shared" ca="1" si="0"/>
        <v>147.71315996847912</v>
      </c>
      <c r="AP49" s="39">
        <f t="shared" ca="1" si="1"/>
        <v>153.42631993695824</v>
      </c>
      <c r="AQ49" s="39">
        <f t="shared" ca="1" si="2"/>
        <v>159.13947990543736</v>
      </c>
      <c r="AR49" s="5">
        <f t="shared" ca="1" si="10"/>
        <v>142</v>
      </c>
      <c r="AS49" s="5">
        <f t="shared" ca="1" si="3"/>
        <v>155.30000000000001</v>
      </c>
      <c r="AT49" s="5">
        <f t="shared" ca="1" si="11"/>
        <v>0</v>
      </c>
    </row>
    <row r="50" spans="1:46" x14ac:dyDescent="0.25">
      <c r="A50" s="67">
        <f ca="1">Demand!C47</f>
        <v>44</v>
      </c>
      <c r="B50" s="67">
        <v>35</v>
      </c>
      <c r="C50" s="5">
        <f ca="1">'Demand background (hide)'!Y38</f>
        <v>144</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124.86052009456264</v>
      </c>
      <c r="K50" s="5">
        <f t="shared" ca="1" si="21"/>
        <v>130.57368006304176</v>
      </c>
      <c r="L50" s="5">
        <f t="shared" ca="1" si="22"/>
        <v>136.28684003152088</v>
      </c>
      <c r="M50" s="5">
        <f t="shared" ca="1" si="23"/>
        <v>142</v>
      </c>
      <c r="N50" s="5">
        <f t="shared" ca="1" si="24"/>
        <v>147.71315996847912</v>
      </c>
      <c r="O50" s="5">
        <f t="shared" ca="1" si="25"/>
        <v>153.42631993695824</v>
      </c>
      <c r="P50" s="5">
        <f t="shared" ca="1" si="26"/>
        <v>159.13947990543736</v>
      </c>
      <c r="Q50" s="5" t="e">
        <f t="shared" ca="1" si="27"/>
        <v>#N/A</v>
      </c>
      <c r="R50" s="5">
        <f t="shared" ca="1" si="32"/>
        <v>1</v>
      </c>
      <c r="S50" s="67" t="e">
        <f t="shared" ca="1" si="33"/>
        <v>#N/A</v>
      </c>
      <c r="T50" s="67">
        <f t="shared" ca="1" si="34"/>
        <v>1</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142</v>
      </c>
      <c r="AD50" s="5">
        <f t="shared" ca="1" si="31"/>
        <v>155.30000000000001</v>
      </c>
      <c r="AG50" s="67">
        <f t="shared" ca="1" si="12"/>
        <v>5</v>
      </c>
      <c r="AH50" s="67">
        <v>49</v>
      </c>
      <c r="AI50" s="67">
        <f t="shared" ca="1" si="4"/>
        <v>5</v>
      </c>
      <c r="AJ50" s="39">
        <f t="shared" ca="1" si="5"/>
        <v>5.7131599684791183</v>
      </c>
      <c r="AK50" s="39">
        <f t="shared" ca="1" si="6"/>
        <v>124.86052009456264</v>
      </c>
      <c r="AL50" s="39">
        <f t="shared" ca="1" si="7"/>
        <v>130.57368006304176</v>
      </c>
      <c r="AM50" s="39">
        <f t="shared" ca="1" si="8"/>
        <v>136.28684003152088</v>
      </c>
      <c r="AN50" s="39">
        <f t="shared" ca="1" si="9"/>
        <v>142</v>
      </c>
      <c r="AO50" s="39">
        <f t="shared" ca="1" si="0"/>
        <v>147.71315996847912</v>
      </c>
      <c r="AP50" s="39">
        <f t="shared" ca="1" si="1"/>
        <v>153.42631993695824</v>
      </c>
      <c r="AQ50" s="39">
        <f t="shared" ca="1" si="2"/>
        <v>159.13947990543736</v>
      </c>
      <c r="AR50" s="5">
        <f t="shared" ca="1" si="10"/>
        <v>142</v>
      </c>
      <c r="AS50" s="5">
        <f t="shared" ca="1" si="3"/>
        <v>155.30000000000001</v>
      </c>
      <c r="AT50" s="5">
        <f t="shared" ca="1" si="11"/>
        <v>0</v>
      </c>
    </row>
    <row r="51" spans="1:46" x14ac:dyDescent="0.25">
      <c r="A51" s="67">
        <f ca="1">Demand!C48</f>
        <v>45</v>
      </c>
      <c r="B51" s="67">
        <v>36</v>
      </c>
      <c r="C51" s="5">
        <f ca="1">'Demand background (hide)'!Y39</f>
        <v>124</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124.86052009456264</v>
      </c>
      <c r="K51" s="5">
        <f t="shared" ca="1" si="21"/>
        <v>130.57368006304176</v>
      </c>
      <c r="L51" s="5">
        <f t="shared" ca="1" si="22"/>
        <v>136.28684003152088</v>
      </c>
      <c r="M51" s="5">
        <f t="shared" ca="1" si="23"/>
        <v>142</v>
      </c>
      <c r="N51" s="5">
        <f t="shared" ca="1" si="24"/>
        <v>147.71315996847912</v>
      </c>
      <c r="O51" s="5">
        <f t="shared" ca="1" si="25"/>
        <v>153.42631993695824</v>
      </c>
      <c r="P51" s="5">
        <f t="shared" ca="1" si="26"/>
        <v>159.13947990543736</v>
      </c>
      <c r="Q51" s="5">
        <f t="shared" ca="1" si="27"/>
        <v>124</v>
      </c>
      <c r="R51" s="5">
        <f t="shared" ca="1" si="32"/>
        <v>-2</v>
      </c>
      <c r="S51" s="67" t="e">
        <f t="shared" ca="1" si="33"/>
        <v>#N/A</v>
      </c>
      <c r="T51" s="67">
        <f t="shared" ca="1" si="34"/>
        <v>-2</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142</v>
      </c>
      <c r="AD51" s="5">
        <f t="shared" ca="1" si="31"/>
        <v>155.30000000000001</v>
      </c>
      <c r="AG51" s="67">
        <f t="shared" ca="1" si="12"/>
        <v>6</v>
      </c>
      <c r="AH51" s="67">
        <v>50</v>
      </c>
      <c r="AI51" s="67">
        <f t="shared" ca="1" si="4"/>
        <v>5</v>
      </c>
      <c r="AJ51" s="39">
        <f t="shared" ca="1" si="5"/>
        <v>5.7131599684791183</v>
      </c>
      <c r="AK51" s="39">
        <f t="shared" ca="1" si="6"/>
        <v>124.86052009456264</v>
      </c>
      <c r="AL51" s="39">
        <f t="shared" ca="1" si="7"/>
        <v>130.57368006304176</v>
      </c>
      <c r="AM51" s="39">
        <f t="shared" ca="1" si="8"/>
        <v>136.28684003152088</v>
      </c>
      <c r="AN51" s="39">
        <f t="shared" ca="1" si="9"/>
        <v>142</v>
      </c>
      <c r="AO51" s="39">
        <f t="shared" ca="1" si="0"/>
        <v>147.71315996847912</v>
      </c>
      <c r="AP51" s="39">
        <f t="shared" ca="1" si="1"/>
        <v>153.42631993695824</v>
      </c>
      <c r="AQ51" s="39">
        <f t="shared" ca="1" si="2"/>
        <v>159.13947990543736</v>
      </c>
      <c r="AR51" s="5">
        <f t="shared" ca="1" si="10"/>
        <v>142</v>
      </c>
      <c r="AS51" s="5">
        <f t="shared" ca="1" si="3"/>
        <v>155.30000000000001</v>
      </c>
      <c r="AT51" s="5">
        <f t="shared" ca="1" si="11"/>
        <v>0</v>
      </c>
    </row>
    <row r="52" spans="1:46" x14ac:dyDescent="0.25">
      <c r="A52" s="67">
        <f ca="1">Demand!C49</f>
        <v>46</v>
      </c>
      <c r="B52" s="67">
        <v>37</v>
      </c>
      <c r="C52" s="5">
        <f ca="1">'Demand background (hide)'!Y40</f>
        <v>142</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124.86052009456264</v>
      </c>
      <c r="K52" s="5">
        <f t="shared" ca="1" si="21"/>
        <v>130.57368006304176</v>
      </c>
      <c r="L52" s="5">
        <f t="shared" ca="1" si="22"/>
        <v>136.28684003152088</v>
      </c>
      <c r="M52" s="5">
        <f t="shared" ca="1" si="23"/>
        <v>142</v>
      </c>
      <c r="N52" s="5">
        <f t="shared" ca="1" si="24"/>
        <v>147.71315996847912</v>
      </c>
      <c r="O52" s="5">
        <f t="shared" ca="1" si="25"/>
        <v>153.42631993695824</v>
      </c>
      <c r="P52" s="5">
        <f t="shared" ca="1" si="26"/>
        <v>159.13947990543736</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1</v>
      </c>
      <c r="Y52" s="67" t="e">
        <f t="shared" ca="1" si="36"/>
        <v>#N/A</v>
      </c>
      <c r="Z52" s="67" t="e">
        <f t="shared" ca="1" si="37"/>
        <v>#N/A</v>
      </c>
      <c r="AA52" s="5" t="str">
        <f>IF(Setup!$I$15="Yes",'Demand background (hide)'!AJ40+'SPC background (hide)'!C52,"")</f>
        <v/>
      </c>
      <c r="AC52" s="5">
        <f t="shared" ca="1" si="30"/>
        <v>142</v>
      </c>
      <c r="AD52" s="5">
        <f t="shared" ca="1" si="31"/>
        <v>155.30000000000001</v>
      </c>
      <c r="AG52" s="67">
        <f t="shared" ca="1" si="12"/>
        <v>7</v>
      </c>
      <c r="AH52" s="67">
        <v>51</v>
      </c>
      <c r="AI52" s="67">
        <f t="shared" ca="1" si="4"/>
        <v>5</v>
      </c>
      <c r="AJ52" s="39">
        <f t="shared" ca="1" si="5"/>
        <v>5.7131599684791183</v>
      </c>
      <c r="AK52" s="39">
        <f t="shared" ca="1" si="6"/>
        <v>124.86052009456264</v>
      </c>
      <c r="AL52" s="39">
        <f t="shared" ca="1" si="7"/>
        <v>130.57368006304176</v>
      </c>
      <c r="AM52" s="39">
        <f t="shared" ca="1" si="8"/>
        <v>136.28684003152088</v>
      </c>
      <c r="AN52" s="39">
        <f t="shared" ca="1" si="9"/>
        <v>142</v>
      </c>
      <c r="AO52" s="39">
        <f t="shared" ca="1" si="0"/>
        <v>147.71315996847912</v>
      </c>
      <c r="AP52" s="39">
        <f t="shared" ca="1" si="1"/>
        <v>153.42631993695824</v>
      </c>
      <c r="AQ52" s="39">
        <f t="shared" ca="1" si="2"/>
        <v>159.13947990543736</v>
      </c>
      <c r="AR52" s="5">
        <f t="shared" ca="1" si="10"/>
        <v>142</v>
      </c>
      <c r="AS52" s="5">
        <f t="shared" ca="1" si="3"/>
        <v>155.30000000000001</v>
      </c>
      <c r="AT52" s="5">
        <f t="shared" ca="1" si="11"/>
        <v>0</v>
      </c>
    </row>
    <row r="53" spans="1:46" x14ac:dyDescent="0.25">
      <c r="A53" s="67">
        <f ca="1">Demand!C50</f>
        <v>47</v>
      </c>
      <c r="B53" s="67">
        <v>38</v>
      </c>
      <c r="C53" s="5">
        <f ca="1">'Demand background (hide)'!Y41</f>
        <v>156</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124.86052009456264</v>
      </c>
      <c r="K53" s="5">
        <f t="shared" ca="1" si="21"/>
        <v>130.57368006304176</v>
      </c>
      <c r="L53" s="5">
        <f t="shared" ca="1" si="22"/>
        <v>136.28684003152088</v>
      </c>
      <c r="M53" s="5">
        <f t="shared" ca="1" si="23"/>
        <v>142</v>
      </c>
      <c r="N53" s="5">
        <f t="shared" ca="1" si="24"/>
        <v>147.71315996847912</v>
      </c>
      <c r="O53" s="5">
        <f t="shared" ca="1" si="25"/>
        <v>153.42631993695824</v>
      </c>
      <c r="P53" s="5">
        <f t="shared" ca="1" si="26"/>
        <v>159.13947990543736</v>
      </c>
      <c r="Q53" s="5" t="e">
        <f t="shared" ca="1" si="27"/>
        <v>#N/A</v>
      </c>
      <c r="R53" s="5">
        <f t="shared" ca="1" si="32"/>
        <v>2</v>
      </c>
      <c r="S53" s="67" t="e">
        <f t="shared" ca="1" si="33"/>
        <v>#N/A</v>
      </c>
      <c r="T53" s="67">
        <f t="shared" ca="1" si="34"/>
        <v>2</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142</v>
      </c>
      <c r="AD53" s="5">
        <f t="shared" ca="1" si="31"/>
        <v>155.30000000000001</v>
      </c>
      <c r="AG53" s="67">
        <f t="shared" ca="1" si="12"/>
        <v>8</v>
      </c>
      <c r="AH53" s="67">
        <v>52</v>
      </c>
      <c r="AI53" s="67">
        <f t="shared" ca="1" si="4"/>
        <v>5</v>
      </c>
      <c r="AJ53" s="39">
        <f t="shared" ca="1" si="5"/>
        <v>5.7131599684791183</v>
      </c>
      <c r="AK53" s="39">
        <f t="shared" ca="1" si="6"/>
        <v>124.86052009456264</v>
      </c>
      <c r="AL53" s="39">
        <f t="shared" ca="1" si="7"/>
        <v>130.57368006304176</v>
      </c>
      <c r="AM53" s="39">
        <f t="shared" ca="1" si="8"/>
        <v>136.28684003152088</v>
      </c>
      <c r="AN53" s="39">
        <f t="shared" ca="1" si="9"/>
        <v>142</v>
      </c>
      <c r="AO53" s="39">
        <f t="shared" ca="1" si="0"/>
        <v>147.71315996847912</v>
      </c>
      <c r="AP53" s="39">
        <f t="shared" ca="1" si="1"/>
        <v>153.42631993695824</v>
      </c>
      <c r="AQ53" s="39">
        <f t="shared" ca="1" si="2"/>
        <v>159.13947990543736</v>
      </c>
      <c r="AR53" s="5">
        <f t="shared" ca="1" si="10"/>
        <v>142</v>
      </c>
      <c r="AS53" s="5">
        <f t="shared" ca="1" si="3"/>
        <v>155.30000000000001</v>
      </c>
      <c r="AT53" s="5">
        <f t="shared" ca="1" si="11"/>
        <v>0</v>
      </c>
    </row>
    <row r="54" spans="1:46" x14ac:dyDescent="0.25">
      <c r="A54" s="67">
        <f ca="1">Demand!C51</f>
        <v>48</v>
      </c>
      <c r="B54" s="67">
        <v>39</v>
      </c>
      <c r="C54" s="5">
        <f ca="1">'Demand background (hide)'!Y42</f>
        <v>140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124.86052009456264</v>
      </c>
      <c r="K54" s="5">
        <f t="shared" ca="1" si="21"/>
        <v>130.57368006304176</v>
      </c>
      <c r="L54" s="5">
        <f t="shared" ca="1" si="22"/>
        <v>136.28684003152088</v>
      </c>
      <c r="M54" s="5">
        <f t="shared" ca="1" si="23"/>
        <v>142</v>
      </c>
      <c r="N54" s="5">
        <f t="shared" ca="1" si="24"/>
        <v>147.71315996847912</v>
      </c>
      <c r="O54" s="5">
        <f t="shared" ca="1" si="25"/>
        <v>153.42631993695824</v>
      </c>
      <c r="P54" s="5">
        <f t="shared" ca="1" si="26"/>
        <v>159.13947990543736</v>
      </c>
      <c r="Q54" s="5" t="e">
        <f t="shared" ca="1" si="27"/>
        <v>#N/A</v>
      </c>
      <c r="R54" s="5">
        <f t="shared" ca="1" si="32"/>
        <v>-1</v>
      </c>
      <c r="S54" s="67">
        <f t="shared" ca="1" si="33"/>
        <v>140</v>
      </c>
      <c r="T54" s="67">
        <f t="shared" ca="1" si="34"/>
        <v>-1</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142</v>
      </c>
      <c r="AD54" s="5">
        <f t="shared" ca="1" si="31"/>
        <v>155.30000000000001</v>
      </c>
      <c r="AG54" s="67">
        <f t="shared" ca="1" si="12"/>
        <v>9</v>
      </c>
      <c r="AH54" s="67">
        <v>53</v>
      </c>
      <c r="AI54" s="67">
        <f t="shared" ca="1" si="4"/>
        <v>5</v>
      </c>
      <c r="AJ54" s="39">
        <f t="shared" ca="1" si="5"/>
        <v>5.7131599684791183</v>
      </c>
      <c r="AK54" s="39">
        <f t="shared" ca="1" si="6"/>
        <v>124.86052009456264</v>
      </c>
      <c r="AL54" s="39">
        <f t="shared" ca="1" si="7"/>
        <v>130.57368006304176</v>
      </c>
      <c r="AM54" s="39">
        <f t="shared" ca="1" si="8"/>
        <v>136.28684003152088</v>
      </c>
      <c r="AN54" s="39">
        <f t="shared" ca="1" si="9"/>
        <v>142</v>
      </c>
      <c r="AO54" s="39">
        <f t="shared" ca="1" si="0"/>
        <v>147.71315996847912</v>
      </c>
      <c r="AP54" s="39">
        <f t="shared" ca="1" si="1"/>
        <v>153.42631993695824</v>
      </c>
      <c r="AQ54" s="39">
        <f t="shared" ca="1" si="2"/>
        <v>159.13947990543736</v>
      </c>
      <c r="AR54" s="5">
        <f t="shared" ca="1" si="10"/>
        <v>142</v>
      </c>
      <c r="AS54" s="5">
        <f t="shared" ca="1" si="3"/>
        <v>155.30000000000001</v>
      </c>
      <c r="AT54" s="5">
        <f t="shared" ca="1" si="11"/>
        <v>0</v>
      </c>
    </row>
    <row r="55" spans="1:46" x14ac:dyDescent="0.25">
      <c r="A55" s="67">
        <f ca="1">Demand!C52</f>
        <v>49</v>
      </c>
      <c r="B55" s="67">
        <v>40</v>
      </c>
      <c r="C55" s="5">
        <f ca="1">'Demand background (hide)'!Y43</f>
        <v>130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124.86052009456264</v>
      </c>
      <c r="K55" s="5">
        <f t="shared" ca="1" si="21"/>
        <v>130.57368006304176</v>
      </c>
      <c r="L55" s="5">
        <f t="shared" ca="1" si="22"/>
        <v>136.28684003152088</v>
      </c>
      <c r="M55" s="5">
        <f t="shared" ca="1" si="23"/>
        <v>142</v>
      </c>
      <c r="N55" s="5">
        <f t="shared" ca="1" si="24"/>
        <v>147.71315996847912</v>
      </c>
      <c r="O55" s="5">
        <f t="shared" ca="1" si="25"/>
        <v>153.42631993695824</v>
      </c>
      <c r="P55" s="5">
        <f t="shared" ca="1" si="26"/>
        <v>159.13947990543736</v>
      </c>
      <c r="Q55" s="5" t="e">
        <f t="shared" ca="1" si="27"/>
        <v>#N/A</v>
      </c>
      <c r="R55" s="5">
        <f t="shared" ca="1" si="32"/>
        <v>-2</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142</v>
      </c>
      <c r="AD55" s="5">
        <f t="shared" ca="1" si="31"/>
        <v>155.30000000000001</v>
      </c>
    </row>
    <row r="56" spans="1:46" x14ac:dyDescent="0.25">
      <c r="A56" s="67">
        <f ca="1">Demand!C53</f>
        <v>50</v>
      </c>
      <c r="B56" s="67">
        <v>41</v>
      </c>
      <c r="C56" s="5">
        <f ca="1">'Demand background (hide)'!Y44</f>
        <v>120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124.86052009456264</v>
      </c>
      <c r="K56" s="5">
        <f t="shared" ca="1" si="21"/>
        <v>130.57368006304176</v>
      </c>
      <c r="L56" s="5">
        <f t="shared" ca="1" si="22"/>
        <v>136.28684003152088</v>
      </c>
      <c r="M56" s="5">
        <f t="shared" ca="1" si="23"/>
        <v>142</v>
      </c>
      <c r="N56" s="5">
        <f t="shared" ca="1" si="24"/>
        <v>147.71315996847912</v>
      </c>
      <c r="O56" s="5">
        <f t="shared" ca="1" si="25"/>
        <v>153.42631993695824</v>
      </c>
      <c r="P56" s="5">
        <f t="shared" ca="1" si="26"/>
        <v>159.13947990543736</v>
      </c>
      <c r="Q56" s="5">
        <f t="shared" ca="1" si="27"/>
        <v>120</v>
      </c>
      <c r="R56" s="5">
        <f t="shared" ca="1" si="32"/>
        <v>-2</v>
      </c>
      <c r="S56" s="67" t="e">
        <f t="shared" ca="1" si="33"/>
        <v>#N/A</v>
      </c>
      <c r="T56" s="67">
        <f t="shared" ca="1" si="34"/>
        <v>-2</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142</v>
      </c>
      <c r="AD56" s="5">
        <f t="shared" ca="1" si="31"/>
        <v>155.30000000000001</v>
      </c>
    </row>
    <row r="57" spans="1:46" x14ac:dyDescent="0.25">
      <c r="A57" s="67">
        <f ca="1">Demand!C54</f>
        <v>51</v>
      </c>
      <c r="B57" s="67">
        <v>42</v>
      </c>
      <c r="C57" s="5">
        <f ca="1">'Demand background (hide)'!Y45</f>
        <v>150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124.86052009456264</v>
      </c>
      <c r="K57" s="5">
        <f t="shared" ca="1" si="21"/>
        <v>130.57368006304176</v>
      </c>
      <c r="L57" s="5">
        <f t="shared" ca="1" si="22"/>
        <v>136.28684003152088</v>
      </c>
      <c r="M57" s="5">
        <f t="shared" ca="1" si="23"/>
        <v>142</v>
      </c>
      <c r="N57" s="5">
        <f t="shared" ca="1" si="24"/>
        <v>147.71315996847912</v>
      </c>
      <c r="O57" s="5">
        <f t="shared" ca="1" si="25"/>
        <v>153.42631993695824</v>
      </c>
      <c r="P57" s="5">
        <f t="shared" ca="1" si="26"/>
        <v>159.13947990543736</v>
      </c>
      <c r="Q57" s="5" t="e">
        <f t="shared" ca="1" si="27"/>
        <v>#N/A</v>
      </c>
      <c r="R57" s="5">
        <f t="shared" ca="1" si="32"/>
        <v>1</v>
      </c>
      <c r="S57" s="67" t="e">
        <f t="shared" ca="1" si="33"/>
        <v>#N/A</v>
      </c>
      <c r="T57" s="67">
        <f t="shared" ca="1" si="34"/>
        <v>2</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142</v>
      </c>
      <c r="AD57" s="5">
        <f t="shared" ca="1" si="31"/>
        <v>155.30000000000001</v>
      </c>
    </row>
    <row r="58" spans="1:46" x14ac:dyDescent="0.25">
      <c r="A58" s="67">
        <f ca="1">Demand!C55</f>
        <v>52</v>
      </c>
      <c r="B58" s="67">
        <v>43</v>
      </c>
      <c r="C58" s="5">
        <f ca="1">'Demand background (hide)'!Y46</f>
        <v>154</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124.86052009456264</v>
      </c>
      <c r="K58" s="5">
        <f t="shared" ca="1" si="21"/>
        <v>130.57368006304176</v>
      </c>
      <c r="L58" s="5">
        <f t="shared" ca="1" si="22"/>
        <v>136.28684003152088</v>
      </c>
      <c r="M58" s="5">
        <f t="shared" ca="1" si="23"/>
        <v>142</v>
      </c>
      <c r="N58" s="5">
        <f t="shared" ca="1" si="24"/>
        <v>147.71315996847912</v>
      </c>
      <c r="O58" s="5">
        <f t="shared" ca="1" si="25"/>
        <v>153.42631993695824</v>
      </c>
      <c r="P58" s="5">
        <f t="shared" ca="1" si="26"/>
        <v>159.13947990543736</v>
      </c>
      <c r="Q58" s="5" t="e">
        <f t="shared" ca="1" si="27"/>
        <v>#N/A</v>
      </c>
      <c r="R58" s="5">
        <f t="shared" ca="1" si="32"/>
        <v>2</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142</v>
      </c>
      <c r="AD58" s="5">
        <f t="shared" ca="1" si="31"/>
        <v>155.30000000000001</v>
      </c>
    </row>
    <row r="59" spans="1:46" x14ac:dyDescent="0.25">
      <c r="A59" s="67">
        <f ca="1">Demand!C56</f>
        <v>53</v>
      </c>
      <c r="B59" s="67">
        <v>44</v>
      </c>
      <c r="C59" s="5">
        <f ca="1">'Demand background (hide)'!Y47</f>
        <v>140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124.86052009456264</v>
      </c>
      <c r="K59" s="5">
        <f t="shared" ca="1" si="21"/>
        <v>130.57368006304176</v>
      </c>
      <c r="L59" s="5">
        <f t="shared" ca="1" si="22"/>
        <v>136.28684003152088</v>
      </c>
      <c r="M59" s="5">
        <f t="shared" ca="1" si="23"/>
        <v>142</v>
      </c>
      <c r="N59" s="5">
        <f t="shared" ca="1" si="24"/>
        <v>147.71315996847912</v>
      </c>
      <c r="O59" s="5">
        <f t="shared" ca="1" si="25"/>
        <v>153.42631993695824</v>
      </c>
      <c r="P59" s="5">
        <f t="shared" ca="1" si="26"/>
        <v>159.13947990543736</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142</v>
      </c>
      <c r="AD59" s="5">
        <f t="shared" ca="1" si="31"/>
        <v>155.30000000000001</v>
      </c>
    </row>
    <row r="60" spans="1:46" x14ac:dyDescent="0.25">
      <c r="A60" s="67">
        <f ca="1">Demand!C57</f>
        <v>1</v>
      </c>
      <c r="B60" s="67">
        <v>45</v>
      </c>
      <c r="C60" s="5">
        <f ca="1">'Demand background (hide)'!Y48</f>
        <v>136</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124.86052009456264</v>
      </c>
      <c r="K60" s="5">
        <f t="shared" ca="1" si="21"/>
        <v>130.57368006304176</v>
      </c>
      <c r="L60" s="5">
        <f t="shared" ca="1" si="22"/>
        <v>136.28684003152088</v>
      </c>
      <c r="M60" s="5">
        <f t="shared" ca="1" si="23"/>
        <v>142</v>
      </c>
      <c r="N60" s="5">
        <f t="shared" ca="1" si="24"/>
        <v>147.71315996847912</v>
      </c>
      <c r="O60" s="5">
        <f t="shared" ca="1" si="25"/>
        <v>153.42631993695824</v>
      </c>
      <c r="P60" s="5">
        <f t="shared" ca="1" si="26"/>
        <v>159.13947990543736</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142</v>
      </c>
      <c r="AD60" s="5">
        <f t="shared" ca="1" si="31"/>
        <v>155.30000000000001</v>
      </c>
    </row>
    <row r="61" spans="1:46" x14ac:dyDescent="0.25">
      <c r="A61" s="67">
        <f ca="1">Demand!C58</f>
        <v>2</v>
      </c>
      <c r="B61" s="67">
        <v>46</v>
      </c>
      <c r="C61" s="5">
        <f ca="1">'Demand background (hide)'!Y49</f>
        <v>152</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124.86052009456264</v>
      </c>
      <c r="K61" s="5">
        <f t="shared" ca="1" si="21"/>
        <v>130.57368006304176</v>
      </c>
      <c r="L61" s="5">
        <f t="shared" ca="1" si="22"/>
        <v>136.28684003152088</v>
      </c>
      <c r="M61" s="5">
        <f t="shared" ca="1" si="23"/>
        <v>142</v>
      </c>
      <c r="N61" s="5">
        <f t="shared" ca="1" si="24"/>
        <v>147.71315996847912</v>
      </c>
      <c r="O61" s="5">
        <f t="shared" ca="1" si="25"/>
        <v>153.42631993695824</v>
      </c>
      <c r="P61" s="5">
        <f t="shared" ca="1" si="26"/>
        <v>159.13947990543736</v>
      </c>
      <c r="Q61" s="5" t="e">
        <f t="shared" ca="1" si="27"/>
        <v>#N/A</v>
      </c>
      <c r="R61" s="5">
        <f t="shared" ca="1" si="32"/>
        <v>1</v>
      </c>
      <c r="S61" s="67" t="e">
        <f t="shared" ca="1" si="33"/>
        <v>#N/A</v>
      </c>
      <c r="T61" s="67">
        <f t="shared" ca="1" si="34"/>
        <v>2</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142</v>
      </c>
      <c r="AD61" s="5">
        <f t="shared" ca="1" si="31"/>
        <v>155.30000000000001</v>
      </c>
    </row>
    <row r="62" spans="1:46" x14ac:dyDescent="0.25">
      <c r="A62" s="67">
        <f ca="1">Demand!C59</f>
        <v>3</v>
      </c>
      <c r="B62" s="67">
        <v>47</v>
      </c>
      <c r="C62" s="5">
        <f ca="1">'Demand background (hide)'!Y50</f>
        <v>148</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124.86052009456264</v>
      </c>
      <c r="K62" s="5">
        <f t="shared" ca="1" si="21"/>
        <v>130.57368006304176</v>
      </c>
      <c r="L62" s="5">
        <f t="shared" ca="1" si="22"/>
        <v>136.28684003152088</v>
      </c>
      <c r="M62" s="5">
        <f t="shared" ca="1" si="23"/>
        <v>142</v>
      </c>
      <c r="N62" s="5">
        <f t="shared" ca="1" si="24"/>
        <v>147.71315996847912</v>
      </c>
      <c r="O62" s="5">
        <f t="shared" ca="1" si="25"/>
        <v>153.42631993695824</v>
      </c>
      <c r="P62" s="5">
        <f t="shared" ca="1" si="26"/>
        <v>159.13947990543736</v>
      </c>
      <c r="Q62" s="5" t="e">
        <f t="shared" ca="1" si="27"/>
        <v>#N/A</v>
      </c>
      <c r="R62" s="5">
        <f t="shared" ca="1" si="32"/>
        <v>1</v>
      </c>
      <c r="S62" s="67" t="e">
        <f t="shared" ca="1" si="33"/>
        <v>#N/A</v>
      </c>
      <c r="T62" s="67">
        <f t="shared" ca="1" si="34"/>
        <v>2</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142</v>
      </c>
      <c r="AD62" s="5">
        <f t="shared" ca="1" si="31"/>
        <v>155.30000000000001</v>
      </c>
    </row>
    <row r="63" spans="1:46" x14ac:dyDescent="0.25">
      <c r="A63" s="67">
        <f ca="1">Demand!C60</f>
        <v>4</v>
      </c>
      <c r="B63" s="67">
        <v>48</v>
      </c>
      <c r="C63" s="5">
        <f ca="1">'Demand background (hide)'!Y51</f>
        <v>148</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124.86052009456264</v>
      </c>
      <c r="K63" s="5">
        <f t="shared" ca="1" si="21"/>
        <v>130.57368006304176</v>
      </c>
      <c r="L63" s="5">
        <f t="shared" ca="1" si="22"/>
        <v>136.28684003152088</v>
      </c>
      <c r="M63" s="5">
        <f t="shared" ca="1" si="23"/>
        <v>142</v>
      </c>
      <c r="N63" s="5">
        <f t="shared" ca="1" si="24"/>
        <v>147.71315996847912</v>
      </c>
      <c r="O63" s="5">
        <f t="shared" ca="1" si="25"/>
        <v>153.42631993695824</v>
      </c>
      <c r="P63" s="5">
        <f t="shared" ca="1" si="26"/>
        <v>159.13947990543736</v>
      </c>
      <c r="Q63" s="5" t="e">
        <f t="shared" ca="1" si="27"/>
        <v>#N/A</v>
      </c>
      <c r="R63" s="5">
        <f t="shared" ca="1" si="32"/>
        <v>1</v>
      </c>
      <c r="S63" s="67" t="e">
        <f t="shared" ca="1" si="33"/>
        <v>#N/A</v>
      </c>
      <c r="T63" s="67">
        <f t="shared" ca="1" si="34"/>
        <v>2</v>
      </c>
      <c r="U63" s="67" t="e">
        <f t="shared" ca="1" si="35"/>
        <v>#N/A</v>
      </c>
      <c r="V63" s="5">
        <f t="shared" ca="1" si="14"/>
        <v>1</v>
      </c>
      <c r="W63" s="5" t="e">
        <f t="shared" ca="1" si="28"/>
        <v>#N/A</v>
      </c>
      <c r="X63" s="67">
        <f t="shared" ca="1" si="29"/>
        <v>0</v>
      </c>
      <c r="Y63" s="67" t="e">
        <f t="shared" ca="1" si="36"/>
        <v>#N/A</v>
      </c>
      <c r="Z63" s="67" t="e">
        <f t="shared" ca="1" si="37"/>
        <v>#N/A</v>
      </c>
      <c r="AA63" s="5" t="str">
        <f>IF(Setup!$I$15="Yes",'Demand background (hide)'!AJ51+'SPC background (hide)'!C63,"")</f>
        <v/>
      </c>
      <c r="AC63" s="5">
        <f t="shared" ca="1" si="30"/>
        <v>142</v>
      </c>
      <c r="AD63" s="5">
        <f t="shared" ca="1" si="31"/>
        <v>155.30000000000001</v>
      </c>
    </row>
    <row r="64" spans="1:46" x14ac:dyDescent="0.25">
      <c r="A64" s="67">
        <f ca="1">Demand!C61</f>
        <v>5</v>
      </c>
      <c r="B64" s="67">
        <v>49</v>
      </c>
      <c r="C64" s="5">
        <f ca="1">'Demand background (hide)'!Y52</f>
        <v>140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124.86052009456264</v>
      </c>
      <c r="K64" s="5">
        <f t="shared" ca="1" si="21"/>
        <v>130.57368006304176</v>
      </c>
      <c r="L64" s="5">
        <f t="shared" ca="1" si="22"/>
        <v>136.28684003152088</v>
      </c>
      <c r="M64" s="5">
        <f t="shared" ca="1" si="23"/>
        <v>142</v>
      </c>
      <c r="N64" s="5">
        <f t="shared" ca="1" si="24"/>
        <v>147.71315996847912</v>
      </c>
      <c r="O64" s="5">
        <f t="shared" ca="1" si="25"/>
        <v>153.42631993695824</v>
      </c>
      <c r="P64" s="5">
        <f t="shared" ca="1" si="26"/>
        <v>159.13947990543736</v>
      </c>
      <c r="Q64" s="5" t="e">
        <f t="shared" ca="1" si="27"/>
        <v>#N/A</v>
      </c>
      <c r="R64" s="5">
        <f t="shared" ca="1" si="32"/>
        <v>-1</v>
      </c>
      <c r="S64" s="67" t="e">
        <f t="shared" ca="1" si="33"/>
        <v>#N/A</v>
      </c>
      <c r="T64" s="67">
        <f t="shared" ca="1" si="34"/>
        <v>-1</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142</v>
      </c>
      <c r="AD64" s="5">
        <f t="shared" ca="1" si="31"/>
        <v>155.30000000000001</v>
      </c>
    </row>
    <row r="65" spans="1:30" x14ac:dyDescent="0.25">
      <c r="A65" s="67">
        <f ca="1">Demand!C62</f>
        <v>6</v>
      </c>
      <c r="B65" s="67">
        <v>50</v>
      </c>
      <c r="C65" s="5">
        <f ca="1">'Demand background (hide)'!Y53</f>
        <v>152</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124.86052009456264</v>
      </c>
      <c r="K65" s="5">
        <f t="shared" ca="1" si="21"/>
        <v>130.57368006304176</v>
      </c>
      <c r="L65" s="5">
        <f t="shared" ca="1" si="22"/>
        <v>136.28684003152088</v>
      </c>
      <c r="M65" s="5">
        <f t="shared" ca="1" si="23"/>
        <v>142</v>
      </c>
      <c r="N65" s="5">
        <f t="shared" ca="1" si="24"/>
        <v>147.71315996847912</v>
      </c>
      <c r="O65" s="5">
        <f t="shared" ca="1" si="25"/>
        <v>153.42631993695824</v>
      </c>
      <c r="P65" s="5">
        <f t="shared" ca="1" si="26"/>
        <v>159.13947990543736</v>
      </c>
      <c r="Q65" s="5" t="e">
        <f t="shared" ca="1" si="27"/>
        <v>#N/A</v>
      </c>
      <c r="R65" s="5">
        <f t="shared" ca="1" si="32"/>
        <v>1</v>
      </c>
      <c r="S65" s="67" t="e">
        <f t="shared" ca="1" si="33"/>
        <v>#N/A</v>
      </c>
      <c r="T65" s="67">
        <f t="shared" ca="1" si="34"/>
        <v>2</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142</v>
      </c>
      <c r="AD65" s="5">
        <f t="shared" ca="1" si="31"/>
        <v>155.30000000000001</v>
      </c>
    </row>
    <row r="66" spans="1:30" x14ac:dyDescent="0.25">
      <c r="A66" s="67">
        <f ca="1">Demand!C63</f>
        <v>7</v>
      </c>
      <c r="B66" s="67">
        <v>51</v>
      </c>
      <c r="C66" s="5">
        <f ca="1">'Demand background (hide)'!Y54</f>
        <v>146</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124.86052009456264</v>
      </c>
      <c r="K66" s="5">
        <f t="shared" ca="1" si="21"/>
        <v>130.57368006304176</v>
      </c>
      <c r="L66" s="5">
        <f t="shared" ca="1" si="22"/>
        <v>136.28684003152088</v>
      </c>
      <c r="M66" s="5">
        <f t="shared" ca="1" si="23"/>
        <v>142</v>
      </c>
      <c r="N66" s="5">
        <f t="shared" ca="1" si="24"/>
        <v>147.71315996847912</v>
      </c>
      <c r="O66" s="5">
        <f t="shared" ca="1" si="25"/>
        <v>153.42631993695824</v>
      </c>
      <c r="P66" s="5">
        <f t="shared" ca="1" si="26"/>
        <v>159.13947990543736</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142</v>
      </c>
      <c r="AD66" s="5">
        <f t="shared" ca="1" si="31"/>
        <v>155.30000000000001</v>
      </c>
    </row>
    <row r="67" spans="1:30" x14ac:dyDescent="0.25">
      <c r="A67" s="67">
        <f ca="1">Demand!C64</f>
        <v>8</v>
      </c>
      <c r="B67" s="67">
        <v>52</v>
      </c>
      <c r="C67" s="5">
        <f ca="1">'Demand background (hide)'!Y55</f>
        <v>130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124.86052009456264</v>
      </c>
      <c r="K67" s="5">
        <f t="shared" ca="1" si="21"/>
        <v>130.57368006304176</v>
      </c>
      <c r="L67" s="5">
        <f t="shared" ca="1" si="22"/>
        <v>136.28684003152088</v>
      </c>
      <c r="M67" s="5">
        <f t="shared" ca="1" si="23"/>
        <v>142</v>
      </c>
      <c r="N67" s="5">
        <f t="shared" ca="1" si="24"/>
        <v>147.71315996847912</v>
      </c>
      <c r="O67" s="5">
        <f t="shared" ca="1" si="25"/>
        <v>153.42631993695824</v>
      </c>
      <c r="P67" s="5">
        <f t="shared" ca="1" si="26"/>
        <v>159.13947990543736</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142</v>
      </c>
      <c r="AD67" s="5">
        <f t="shared" ca="1" si="31"/>
        <v>155.30000000000001</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-1</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93" t="s">
        <v>24</v>
      </c>
      <c r="D6" s="394"/>
    </row>
    <row r="8" spans="1:20" x14ac:dyDescent="0.25">
      <c r="B8" t="s">
        <v>218</v>
      </c>
      <c r="C8" s="211"/>
    </row>
    <row r="10" spans="1:20" x14ac:dyDescent="0.25">
      <c r="B10" s="396" t="s">
        <v>128</v>
      </c>
      <c r="C10" s="396" t="s">
        <v>56</v>
      </c>
      <c r="D10" s="396" t="s">
        <v>1</v>
      </c>
      <c r="E10" s="267" t="str">
        <f ca="1">OFFSET('Control sheet (hide)'!$AA$3,COLUMN(A1)-1,0,1,1)</f>
        <v>Modality 1</v>
      </c>
      <c r="F10" s="267" t="str">
        <f ca="1">OFFSET('Control sheet (hide)'!$AA$3,COLUMN(B1)-1,0,1,1)</f>
        <v>Modality 2</v>
      </c>
      <c r="G10" s="267" t="str">
        <f ca="1">OFFSET('Control sheet (hide)'!$AA$3,COLUMN(C1)-1,0,1,1)</f>
        <v>Modality 3</v>
      </c>
      <c r="H10" s="267" t="str">
        <f ca="1">OFFSET('Control sheet (hide)'!$AA$3,COLUMN(D1)-1,0,1,1)</f>
        <v>Modality 4</v>
      </c>
      <c r="I10" s="267" t="str">
        <f ca="1">OFFSET('Control sheet (hide)'!$AA$3,COLUMN(E1)-1,0,1,1)</f>
        <v>Modality 5</v>
      </c>
      <c r="J10" s="267" t="str">
        <f ca="1">OFFSET('Control sheet (hide)'!$AA$3,COLUMN(F1)-1,0,1,1)</f>
        <v>Modality 6</v>
      </c>
      <c r="K10" s="267" t="str">
        <f ca="1">OFFSET('Control sheet (hide)'!$AA$3,COLUMN(G1)-1,0,1,1)</f>
        <v>Modality 7</v>
      </c>
      <c r="L10" s="267" t="str">
        <f ca="1">OFFSET('Control sheet (hide)'!$AA$3,COLUMN(H1)-1,0,1,1)</f>
        <v>Modality 8</v>
      </c>
      <c r="M10" s="267" t="str">
        <f ca="1">OFFSET('Control sheet (hide)'!$AA$3,COLUMN(I1)-1,0,1,1)</f>
        <v>Modality 9</v>
      </c>
      <c r="N10" s="267" t="str">
        <f ca="1">OFFSET('Control sheet (hide)'!$AA$3,COLUMN(J1)-1,0,1,1)</f>
        <v>Modality 10</v>
      </c>
      <c r="O10" s="6" t="s">
        <v>219</v>
      </c>
      <c r="P10" s="395" t="s">
        <v>222</v>
      </c>
      <c r="Q10" s="395" t="str">
        <f>"Total "&amp;"("&amp;Setup!$I$17&amp;")"</f>
        <v>Total (Points)</v>
      </c>
      <c r="R10" s="395" t="s">
        <v>111</v>
      </c>
    </row>
    <row r="11" spans="1:20" x14ac:dyDescent="0.25">
      <c r="B11" s="396"/>
      <c r="C11" s="396"/>
      <c r="D11" s="396"/>
      <c r="E11" s="267" t="str">
        <f ca="1">IF(Setup!$I$17&lt;&gt;"Patients",Setup!$I$17&amp;": "&amp;OFFSET('Demand background (hide)'!$BN$6,COLUMN(A1)-1,0,1,1),"")</f>
        <v>Points: 2</v>
      </c>
      <c r="F11" s="267" t="str">
        <f ca="1">IF(Setup!$I$17&lt;&gt;"Patients",Setup!$I$17&amp;": "&amp;OFFSET('Demand background (hide)'!$BN$6,COLUMN(B1)-1,0,1,1),"")</f>
        <v>Points: 0</v>
      </c>
      <c r="G11" s="267" t="str">
        <f ca="1">IF(Setup!$I$17&lt;&gt;"Patients",Setup!$I$17&amp;": "&amp;OFFSET('Demand background (hide)'!$BN$6,COLUMN(C1)-1,0,1,1),"")</f>
        <v>Points: 0</v>
      </c>
      <c r="H11" s="267" t="str">
        <f ca="1">IF(Setup!$I$17&lt;&gt;"Patients",Setup!$I$17&amp;": "&amp;OFFSET('Demand background (hide)'!$BN$6,COLUMN(D1)-1,0,1,1),"")</f>
        <v>Points: 0</v>
      </c>
      <c r="I11" s="267" t="str">
        <f ca="1">IF(Setup!$I$17&lt;&gt;"Patients",Setup!$I$17&amp;": "&amp;OFFSET('Demand background (hide)'!$BN$6,COLUMN(E1)-1,0,1,1),"")</f>
        <v>Points: 0</v>
      </c>
      <c r="J11" s="267" t="str">
        <f ca="1">IF(Setup!$I$17&lt;&gt;"Patients",Setup!$I$17&amp;": "&amp;OFFSET('Demand background (hide)'!$BN$6,COLUMN(F1)-1,0,1,1),"")</f>
        <v>Points: 0</v>
      </c>
      <c r="K11" s="267" t="str">
        <f ca="1">IF(Setup!$I$17&lt;&gt;"Patients",Setup!$I$17&amp;": "&amp;OFFSET('Demand background (hide)'!$BN$6,COLUMN(G1)-1,0,1,1),"")</f>
        <v>Points: 0</v>
      </c>
      <c r="L11" s="267" t="str">
        <f ca="1">IF(Setup!$I$17&lt;&gt;"Patients",Setup!$I$17&amp;": "&amp;OFFSET('Demand background (hide)'!$BN$6,COLUMN(H1)-1,0,1,1),"")</f>
        <v>Points: 0</v>
      </c>
      <c r="M11" s="267" t="str">
        <f ca="1">IF(Setup!$I$17&lt;&gt;"Patients",Setup!$I$17&amp;": "&amp;OFFSET('Demand background (hide)'!$BN$6,COLUMN(I1)-1,0,1,1),"")</f>
        <v>Points: 0</v>
      </c>
      <c r="N11" s="267" t="str">
        <f ca="1">IF(Setup!$I$17&lt;&gt;"Patients",Setup!$I$17&amp;": "&amp;OFFSET('Demand background (hide)'!$BN$6,COLUMN(J1)-1,0,1,1),"")</f>
        <v>Points: 0</v>
      </c>
      <c r="O11" s="6" t="str">
        <f ca="1">IF(Setup!$I$17&lt;&gt;"Patients",Setup!$I$17&amp;": "&amp;TEXT(OFFSET('Demand background (hide)'!$BN$6,COLUMN(K1)-1,0,1,1),"#"),"")</f>
        <v>Points: 2</v>
      </c>
      <c r="P11" s="395"/>
      <c r="Q11" s="395"/>
      <c r="R11" s="395"/>
    </row>
    <row r="12" spans="1:20" x14ac:dyDescent="0.25">
      <c r="B12" s="396"/>
      <c r="C12" s="396"/>
      <c r="D12" s="396"/>
      <c r="E12" s="6"/>
      <c r="F12" s="6"/>
      <c r="G12" s="6"/>
      <c r="H12" s="6"/>
      <c r="I12" s="6"/>
      <c r="J12" s="6"/>
      <c r="K12" s="6"/>
      <c r="L12" s="6"/>
      <c r="M12" s="6"/>
      <c r="N12" s="6"/>
      <c r="O12" s="6"/>
      <c r="P12" s="395"/>
      <c r="Q12" s="395"/>
      <c r="R12" s="395"/>
    </row>
    <row r="13" spans="1:20" x14ac:dyDescent="0.25">
      <c r="A13">
        <f>1</f>
        <v>1</v>
      </c>
      <c r="B13" s="268">
        <f>IF(C8&lt;&gt;"",YEAR(C8),1)</f>
        <v>1</v>
      </c>
      <c r="C13" s="269">
        <f>IF($C$8&lt;&gt;"",WEEKNUM($C$8,21),1)</f>
        <v>1</v>
      </c>
      <c r="D13" s="332" t="str">
        <f>IF($C$8&lt;&gt;"",C8,"")</f>
        <v/>
      </c>
      <c r="E13" s="153"/>
      <c r="F13" s="153"/>
      <c r="G13" s="153"/>
      <c r="H13" s="153"/>
      <c r="I13" s="153"/>
      <c r="J13" s="153"/>
      <c r="K13" s="153"/>
      <c r="L13" s="153"/>
      <c r="M13" s="153"/>
      <c r="N13" s="153"/>
      <c r="O13" s="153"/>
      <c r="P13" s="269" t="str">
        <f ca="1">IF('Planned background (hide)'!B2&lt;Num_Modalities,IF($C$6="Overall",O13,SUM(OFFSET($E13,0,0,1,Num_Modalities))),"")</f>
        <v/>
      </c>
      <c r="Q13" s="273" t="str">
        <f ca="1">IF(AND('Planned background (hide)'!B2&lt;Num_Modalities,R13&lt;&gt;"Yes"),'Planned background (hide)'!S3,"")</f>
        <v/>
      </c>
      <c r="R13" s="153"/>
      <c r="T13" s="36"/>
    </row>
    <row r="14" spans="1:20" x14ac:dyDescent="0.25">
      <c r="A14" t="str">
        <f ca="1">IF(P14&lt;&gt;"",ROW(A2),"")</f>
        <v/>
      </c>
      <c r="B14" s="268" t="str">
        <f t="shared" ref="B14:B45" ca="1" si="0">IF(A14&lt;=PMaxRows,IF($C$8&lt;&gt;"",IF(YEAR(D14)&lt;&gt;YEAR(D13),YEAR(D14)," "),IF(C14&lt;&gt;1,"",OFFSET(B14,-C13,0,1,1)+1))," ")</f>
        <v xml:space="preserve"> </v>
      </c>
      <c r="C14" s="269" t="str">
        <f t="shared" ref="C14:C45" ca="1" si="1">IF(ROW(A2)&lt;=PMaxRows,IF($C$8&lt;&gt;"",WEEKNUM(D14,21),IF(MOD((C13+1),53)&gt;0,MOD((C13+1),53),53)),"")</f>
        <v/>
      </c>
      <c r="D14" s="332" t="str">
        <f t="shared" ref="D14:D45" ca="1" si="2">IF(ROW(A2)&lt;=PMaxRows,IF($C$8&lt;&gt;"",D13+7,""),"")</f>
        <v/>
      </c>
      <c r="E14" s="153"/>
      <c r="F14" s="153"/>
      <c r="G14" s="153"/>
      <c r="H14" s="153"/>
      <c r="I14" s="153"/>
      <c r="J14" s="153"/>
      <c r="K14" s="153"/>
      <c r="L14" s="153"/>
      <c r="M14" s="153"/>
      <c r="N14" s="153"/>
      <c r="O14" s="153"/>
      <c r="P14" s="269" t="str">
        <f ca="1">IF('Planned background (hide)'!B3&lt;Num_Modalities,IF($C$6="Overall",O14,SUM(OFFSET($E14,0,0,1,Num_Modalities))),"")</f>
        <v/>
      </c>
      <c r="Q14" s="273" t="str">
        <f ca="1">IF(AND('Planned background (hide)'!B3&lt;Num_Modalities,R14&lt;&gt;"Yes"),'Planned background (hide)'!S4,"")</f>
        <v/>
      </c>
      <c r="R14" s="153"/>
      <c r="T14" s="36"/>
    </row>
    <row r="15" spans="1:20" x14ac:dyDescent="0.25">
      <c r="A15" s="67" t="str">
        <f t="shared" ref="A15:A64" ca="1" si="3">IF(P15&lt;&gt;"",ROW(A3),"")</f>
        <v/>
      </c>
      <c r="B15" s="268" t="str">
        <f t="shared" ca="1" si="0"/>
        <v xml:space="preserve"> </v>
      </c>
      <c r="C15" s="269" t="str">
        <f t="shared" ca="1" si="1"/>
        <v/>
      </c>
      <c r="D15" s="332" t="str">
        <f t="shared" ca="1" si="2"/>
        <v/>
      </c>
      <c r="E15" s="153"/>
      <c r="F15" s="153"/>
      <c r="G15" s="153"/>
      <c r="H15" s="153"/>
      <c r="I15" s="153"/>
      <c r="J15" s="153"/>
      <c r="K15" s="153"/>
      <c r="L15" s="153"/>
      <c r="M15" s="153"/>
      <c r="N15" s="153"/>
      <c r="O15" s="153"/>
      <c r="P15" s="269" t="str">
        <f ca="1">IF('Planned background (hide)'!B4&lt;Num_Modalities,IF($C$6="Overall",O15,SUM(OFFSET($E15,0,0,1,Num_Modalities))),"")</f>
        <v/>
      </c>
      <c r="Q15" s="273" t="str">
        <f ca="1">IF(AND('Planned background (hide)'!B4&lt;Num_Modalities,R15&lt;&gt;"Yes"),'Planned background (hide)'!S5,"")</f>
        <v/>
      </c>
      <c r="R15" s="153"/>
      <c r="T15" s="36"/>
    </row>
    <row r="16" spans="1:20" x14ac:dyDescent="0.25">
      <c r="A16" s="67" t="str">
        <f t="shared" ca="1" si="3"/>
        <v/>
      </c>
      <c r="B16" s="268" t="str">
        <f t="shared" ca="1" si="0"/>
        <v xml:space="preserve"> </v>
      </c>
      <c r="C16" s="269" t="str">
        <f t="shared" ca="1" si="1"/>
        <v/>
      </c>
      <c r="D16" s="332" t="str">
        <f t="shared" ca="1" si="2"/>
        <v/>
      </c>
      <c r="E16" s="153"/>
      <c r="F16" s="153"/>
      <c r="G16" s="153"/>
      <c r="H16" s="153"/>
      <c r="I16" s="153"/>
      <c r="J16" s="153"/>
      <c r="K16" s="153"/>
      <c r="L16" s="153"/>
      <c r="M16" s="153"/>
      <c r="N16" s="153"/>
      <c r="O16" s="153"/>
      <c r="P16" s="269" t="str">
        <f ca="1">IF('Planned background (hide)'!B5&lt;Num_Modalities,IF($C$6="Overall",O16,SUM(OFFSET($E16,0,0,1,Num_Modalities))),"")</f>
        <v/>
      </c>
      <c r="Q16" s="273" t="str">
        <f ca="1">IF(AND('Planned background (hide)'!B5&lt;Num_Modalities,R16&lt;&gt;"Yes"),'Planned background (hide)'!S6,"")</f>
        <v/>
      </c>
      <c r="R16" s="153"/>
      <c r="T16" s="36"/>
    </row>
    <row r="17" spans="1:20" x14ac:dyDescent="0.25">
      <c r="A17" s="67" t="str">
        <f t="shared" ca="1" si="3"/>
        <v/>
      </c>
      <c r="B17" s="268" t="str">
        <f t="shared" ca="1" si="0"/>
        <v xml:space="preserve"> </v>
      </c>
      <c r="C17" s="269" t="str">
        <f t="shared" ca="1" si="1"/>
        <v/>
      </c>
      <c r="D17" s="332" t="str">
        <f t="shared" ca="1" si="2"/>
        <v/>
      </c>
      <c r="E17" s="153"/>
      <c r="F17" s="153"/>
      <c r="G17" s="153"/>
      <c r="H17" s="153"/>
      <c r="I17" s="153"/>
      <c r="J17" s="153"/>
      <c r="K17" s="153"/>
      <c r="L17" s="153"/>
      <c r="M17" s="153"/>
      <c r="N17" s="153"/>
      <c r="O17" s="153"/>
      <c r="P17" s="269" t="str">
        <f ca="1">IF('Planned background (hide)'!B6&lt;Num_Modalities,IF($C$6="Overall",O17,SUM(OFFSET($E17,0,0,1,Num_Modalities))),"")</f>
        <v/>
      </c>
      <c r="Q17" s="273" t="str">
        <f ca="1">IF(AND('Planned background (hide)'!B6&lt;Num_Modalities,R17&lt;&gt;"Yes"),'Planned background (hide)'!S7,"")</f>
        <v/>
      </c>
      <c r="R17" s="153"/>
      <c r="T17" s="36"/>
    </row>
    <row r="18" spans="1:20" x14ac:dyDescent="0.25">
      <c r="A18" s="67" t="str">
        <f t="shared" ca="1" si="3"/>
        <v/>
      </c>
      <c r="B18" s="268" t="str">
        <f t="shared" ca="1" si="0"/>
        <v xml:space="preserve"> </v>
      </c>
      <c r="C18" s="269" t="str">
        <f t="shared" ca="1" si="1"/>
        <v/>
      </c>
      <c r="D18" s="332" t="str">
        <f t="shared" ca="1" si="2"/>
        <v/>
      </c>
      <c r="E18" s="153"/>
      <c r="F18" s="153"/>
      <c r="G18" s="153"/>
      <c r="H18" s="153"/>
      <c r="I18" s="153"/>
      <c r="J18" s="153"/>
      <c r="K18" s="153"/>
      <c r="L18" s="153"/>
      <c r="M18" s="153"/>
      <c r="N18" s="153"/>
      <c r="O18" s="153"/>
      <c r="P18" s="269" t="str">
        <f ca="1">IF('Planned background (hide)'!B7&lt;Num_Modalities,IF($C$6="Overall",O18,SUM(OFFSET($E18,0,0,1,Num_Modalities))),"")</f>
        <v/>
      </c>
      <c r="Q18" s="273" t="str">
        <f ca="1">IF(AND('Planned background (hide)'!B7&lt;Num_Modalities,R18&lt;&gt;"Yes"),'Planned background (hide)'!S8,"")</f>
        <v/>
      </c>
      <c r="R18" s="153"/>
      <c r="T18" s="36"/>
    </row>
    <row r="19" spans="1:20" x14ac:dyDescent="0.25">
      <c r="A19" s="67" t="str">
        <f t="shared" ca="1" si="3"/>
        <v/>
      </c>
      <c r="B19" s="268" t="str">
        <f t="shared" ca="1" si="0"/>
        <v xml:space="preserve"> </v>
      </c>
      <c r="C19" s="269" t="str">
        <f t="shared" ca="1" si="1"/>
        <v/>
      </c>
      <c r="D19" s="332" t="str">
        <f t="shared" ca="1" si="2"/>
        <v/>
      </c>
      <c r="E19" s="153"/>
      <c r="F19" s="153"/>
      <c r="G19" s="153"/>
      <c r="H19" s="153"/>
      <c r="I19" s="153"/>
      <c r="J19" s="153"/>
      <c r="K19" s="153"/>
      <c r="L19" s="153"/>
      <c r="M19" s="153"/>
      <c r="N19" s="153"/>
      <c r="O19" s="153"/>
      <c r="P19" s="269" t="str">
        <f ca="1">IF('Planned background (hide)'!B8&lt;Num_Modalities,IF($C$6="Overall",O19,SUM(OFFSET($E19,0,0,1,Num_Modalities))),"")</f>
        <v/>
      </c>
      <c r="Q19" s="273" t="str">
        <f ca="1">IF(AND('Planned background (hide)'!B8&lt;Num_Modalities,R19&lt;&gt;"Yes"),'Planned background (hide)'!S9,"")</f>
        <v/>
      </c>
      <c r="R19" s="153"/>
      <c r="T19" s="36"/>
    </row>
    <row r="20" spans="1:20" x14ac:dyDescent="0.25">
      <c r="A20" s="67" t="str">
        <f t="shared" ca="1" si="3"/>
        <v/>
      </c>
      <c r="B20" s="268" t="str">
        <f t="shared" ca="1" si="0"/>
        <v xml:space="preserve"> </v>
      </c>
      <c r="C20" s="269" t="str">
        <f t="shared" ca="1" si="1"/>
        <v/>
      </c>
      <c r="D20" s="332" t="str">
        <f t="shared" ca="1" si="2"/>
        <v/>
      </c>
      <c r="E20" s="153"/>
      <c r="F20" s="153"/>
      <c r="G20" s="153"/>
      <c r="H20" s="153"/>
      <c r="I20" s="153"/>
      <c r="J20" s="153"/>
      <c r="K20" s="153"/>
      <c r="L20" s="153"/>
      <c r="M20" s="153"/>
      <c r="N20" s="153"/>
      <c r="O20" s="153"/>
      <c r="P20" s="269" t="str">
        <f ca="1">IF('Planned background (hide)'!B9&lt;Num_Modalities,IF($C$6="Overall",O20,SUM(OFFSET($E20,0,0,1,Num_Modalities))),"")</f>
        <v/>
      </c>
      <c r="Q20" s="273" t="str">
        <f ca="1">IF(AND('Planned background (hide)'!B9&lt;Num_Modalities,R20&lt;&gt;"Yes"),'Planned background (hide)'!S10,"")</f>
        <v/>
      </c>
      <c r="R20" s="153"/>
      <c r="T20" s="36"/>
    </row>
    <row r="21" spans="1:20" x14ac:dyDescent="0.25">
      <c r="A21" s="67" t="str">
        <f t="shared" ca="1" si="3"/>
        <v/>
      </c>
      <c r="B21" s="268" t="str">
        <f t="shared" ca="1" si="0"/>
        <v xml:space="preserve"> </v>
      </c>
      <c r="C21" s="269" t="str">
        <f t="shared" ca="1" si="1"/>
        <v/>
      </c>
      <c r="D21" s="332" t="str">
        <f t="shared" ca="1" si="2"/>
        <v/>
      </c>
      <c r="E21" s="153"/>
      <c r="F21" s="153"/>
      <c r="G21" s="153"/>
      <c r="H21" s="153"/>
      <c r="I21" s="153"/>
      <c r="J21" s="153"/>
      <c r="K21" s="153"/>
      <c r="L21" s="153"/>
      <c r="M21" s="153"/>
      <c r="N21" s="153"/>
      <c r="O21" s="153"/>
      <c r="P21" s="269" t="str">
        <f ca="1">IF('Planned background (hide)'!B10&lt;Num_Modalities,IF($C$6="Overall",O21,SUM(OFFSET($E21,0,0,1,Num_Modalities))),"")</f>
        <v/>
      </c>
      <c r="Q21" s="273" t="str">
        <f ca="1">IF(AND('Planned background (hide)'!B10&lt;Num_Modalities,R21&lt;&gt;"Yes"),'Planned background (hide)'!S11,"")</f>
        <v/>
      </c>
      <c r="R21" s="153"/>
      <c r="T21" s="36"/>
    </row>
    <row r="22" spans="1:20" x14ac:dyDescent="0.25">
      <c r="A22" s="67" t="str">
        <f t="shared" ca="1" si="3"/>
        <v/>
      </c>
      <c r="B22" s="268" t="str">
        <f t="shared" ca="1" si="0"/>
        <v xml:space="preserve"> </v>
      </c>
      <c r="C22" s="269" t="str">
        <f t="shared" ca="1" si="1"/>
        <v/>
      </c>
      <c r="D22" s="332" t="str">
        <f t="shared" ca="1" si="2"/>
        <v/>
      </c>
      <c r="E22" s="153"/>
      <c r="F22" s="153"/>
      <c r="G22" s="153"/>
      <c r="H22" s="153"/>
      <c r="I22" s="153"/>
      <c r="J22" s="153"/>
      <c r="K22" s="153"/>
      <c r="L22" s="153"/>
      <c r="M22" s="153"/>
      <c r="N22" s="153"/>
      <c r="O22" s="153"/>
      <c r="P22" s="269" t="str">
        <f ca="1">IF('Planned background (hide)'!B11&lt;Num_Modalities,IF($C$6="Overall",O22,SUM(OFFSET($E22,0,0,1,Num_Modalities))),"")</f>
        <v/>
      </c>
      <c r="Q22" s="273" t="str">
        <f ca="1">IF(AND('Planned background (hide)'!B11&lt;Num_Modalities,R22&lt;&gt;"Yes"),'Planned background (hide)'!S12,"")</f>
        <v/>
      </c>
      <c r="R22" s="153"/>
      <c r="T22" s="36"/>
    </row>
    <row r="23" spans="1:20" x14ac:dyDescent="0.25">
      <c r="A23" s="67" t="str">
        <f t="shared" ca="1" si="3"/>
        <v/>
      </c>
      <c r="B23" s="268" t="str">
        <f t="shared" ca="1" si="0"/>
        <v xml:space="preserve"> </v>
      </c>
      <c r="C23" s="269" t="str">
        <f t="shared" ca="1" si="1"/>
        <v/>
      </c>
      <c r="D23" s="332" t="str">
        <f t="shared" ca="1" si="2"/>
        <v/>
      </c>
      <c r="E23" s="153"/>
      <c r="F23" s="153"/>
      <c r="G23" s="153"/>
      <c r="H23" s="153"/>
      <c r="I23" s="153"/>
      <c r="J23" s="153"/>
      <c r="K23" s="153"/>
      <c r="L23" s="153"/>
      <c r="M23" s="153"/>
      <c r="N23" s="153"/>
      <c r="O23" s="153"/>
      <c r="P23" s="269" t="str">
        <f ca="1">IF('Planned background (hide)'!B12&lt;Num_Modalities,IF($C$6="Overall",O23,SUM(OFFSET($E23,0,0,1,Num_Modalities))),"")</f>
        <v/>
      </c>
      <c r="Q23" s="273" t="str">
        <f ca="1">IF(AND('Planned background (hide)'!B12&lt;Num_Modalities,R23&lt;&gt;"Yes"),'Planned background (hide)'!S13,"")</f>
        <v/>
      </c>
      <c r="R23" s="153"/>
      <c r="T23" s="36"/>
    </row>
    <row r="24" spans="1:20" x14ac:dyDescent="0.25">
      <c r="A24" s="67" t="str">
        <f t="shared" ca="1" si="3"/>
        <v/>
      </c>
      <c r="B24" s="268" t="str">
        <f t="shared" ca="1" si="0"/>
        <v xml:space="preserve"> </v>
      </c>
      <c r="C24" s="269" t="str">
        <f t="shared" ca="1" si="1"/>
        <v/>
      </c>
      <c r="D24" s="332" t="str">
        <f t="shared" ca="1" si="2"/>
        <v/>
      </c>
      <c r="E24" s="153"/>
      <c r="F24" s="153"/>
      <c r="G24" s="153"/>
      <c r="H24" s="153"/>
      <c r="I24" s="153"/>
      <c r="J24" s="153"/>
      <c r="K24" s="153"/>
      <c r="L24" s="153"/>
      <c r="M24" s="153"/>
      <c r="N24" s="153"/>
      <c r="O24" s="153"/>
      <c r="P24" s="269" t="str">
        <f ca="1">IF('Planned background (hide)'!B13&lt;Num_Modalities,IF($C$6="Overall",O24,SUM(OFFSET($E24,0,0,1,Num_Modalities))),"")</f>
        <v/>
      </c>
      <c r="Q24" s="273" t="str">
        <f ca="1">IF(AND('Planned background (hide)'!B13&lt;Num_Modalities,R24&lt;&gt;"Yes"),'Planned background (hide)'!S14,"")</f>
        <v/>
      </c>
      <c r="R24" s="153"/>
      <c r="T24" s="36"/>
    </row>
    <row r="25" spans="1:20" x14ac:dyDescent="0.25">
      <c r="A25" s="67" t="str">
        <f t="shared" ca="1" si="3"/>
        <v/>
      </c>
      <c r="B25" s="268" t="str">
        <f t="shared" ca="1" si="0"/>
        <v xml:space="preserve"> </v>
      </c>
      <c r="C25" s="269" t="str">
        <f t="shared" ca="1" si="1"/>
        <v/>
      </c>
      <c r="D25" s="332" t="str">
        <f t="shared" ca="1" si="2"/>
        <v/>
      </c>
      <c r="E25" s="153"/>
      <c r="F25" s="153"/>
      <c r="G25" s="153"/>
      <c r="H25" s="153"/>
      <c r="I25" s="153"/>
      <c r="J25" s="153"/>
      <c r="K25" s="153"/>
      <c r="L25" s="153"/>
      <c r="M25" s="153"/>
      <c r="N25" s="153"/>
      <c r="O25" s="153"/>
      <c r="P25" s="269" t="str">
        <f ca="1">IF('Planned background (hide)'!B14&lt;Num_Modalities,IF($C$6="Overall",O25,SUM(OFFSET($E25,0,0,1,Num_Modalities))),"")</f>
        <v/>
      </c>
      <c r="Q25" s="273" t="str">
        <f ca="1">IF(AND('Planned background (hide)'!B14&lt;Num_Modalities,R25&lt;&gt;"Yes"),'Planned background (hide)'!S15,"")</f>
        <v/>
      </c>
      <c r="R25" s="153"/>
      <c r="T25" s="36"/>
    </row>
    <row r="26" spans="1:20" x14ac:dyDescent="0.25">
      <c r="A26" s="67" t="str">
        <f t="shared" ca="1" si="3"/>
        <v/>
      </c>
      <c r="B26" s="268" t="str">
        <f t="shared" ca="1" si="0"/>
        <v xml:space="preserve"> </v>
      </c>
      <c r="C26" s="269" t="str">
        <f t="shared" ca="1" si="1"/>
        <v/>
      </c>
      <c r="D26" s="332" t="str">
        <f t="shared" ca="1" si="2"/>
        <v/>
      </c>
      <c r="E26" s="153"/>
      <c r="F26" s="153"/>
      <c r="G26" s="153"/>
      <c r="H26" s="153"/>
      <c r="I26" s="153"/>
      <c r="J26" s="153"/>
      <c r="K26" s="153"/>
      <c r="L26" s="153"/>
      <c r="M26" s="153"/>
      <c r="N26" s="153"/>
      <c r="O26" s="153"/>
      <c r="P26" s="269" t="str">
        <f ca="1">IF('Planned background (hide)'!B15&lt;Num_Modalities,IF($C$6="Overall",O26,SUM(OFFSET($E26,0,0,1,Num_Modalities))),"")</f>
        <v/>
      </c>
      <c r="Q26" s="273" t="str">
        <f ca="1">IF(AND('Planned background (hide)'!B15&lt;Num_Modalities,R26&lt;&gt;"Yes"),'Planned background (hide)'!S16,"")</f>
        <v/>
      </c>
      <c r="R26" s="153"/>
      <c r="T26" s="36"/>
    </row>
    <row r="27" spans="1:20" x14ac:dyDescent="0.25">
      <c r="A27" s="67" t="str">
        <f t="shared" ca="1" si="3"/>
        <v/>
      </c>
      <c r="B27" s="268" t="str">
        <f t="shared" ca="1" si="0"/>
        <v xml:space="preserve"> </v>
      </c>
      <c r="C27" s="269" t="str">
        <f t="shared" ca="1" si="1"/>
        <v/>
      </c>
      <c r="D27" s="332" t="str">
        <f t="shared" ca="1" si="2"/>
        <v/>
      </c>
      <c r="E27" s="153"/>
      <c r="F27" s="153"/>
      <c r="G27" s="153"/>
      <c r="H27" s="153"/>
      <c r="I27" s="153"/>
      <c r="J27" s="153"/>
      <c r="K27" s="153"/>
      <c r="L27" s="153"/>
      <c r="M27" s="153"/>
      <c r="N27" s="153"/>
      <c r="O27" s="153"/>
      <c r="P27" s="269" t="str">
        <f ca="1">IF('Planned background (hide)'!B16&lt;Num_Modalities,IF($C$6="Overall",O27,SUM(OFFSET($E27,0,0,1,Num_Modalities))),"")</f>
        <v/>
      </c>
      <c r="Q27" s="273" t="str">
        <f ca="1">IF(AND('Planned background (hide)'!B16&lt;Num_Modalities,R27&lt;&gt;"Yes"),'Planned background (hide)'!S17,"")</f>
        <v/>
      </c>
      <c r="R27" s="153"/>
      <c r="T27" s="36"/>
    </row>
    <row r="28" spans="1:20" x14ac:dyDescent="0.25">
      <c r="A28" s="67" t="str">
        <f t="shared" ca="1" si="3"/>
        <v/>
      </c>
      <c r="B28" s="268" t="str">
        <f t="shared" ca="1" si="0"/>
        <v xml:space="preserve"> </v>
      </c>
      <c r="C28" s="269" t="str">
        <f t="shared" ca="1" si="1"/>
        <v/>
      </c>
      <c r="D28" s="332" t="str">
        <f t="shared" ca="1" si="2"/>
        <v/>
      </c>
      <c r="E28" s="153"/>
      <c r="F28" s="153"/>
      <c r="G28" s="153"/>
      <c r="H28" s="153"/>
      <c r="I28" s="153"/>
      <c r="J28" s="153"/>
      <c r="K28" s="153"/>
      <c r="L28" s="153"/>
      <c r="M28" s="153"/>
      <c r="N28" s="153"/>
      <c r="O28" s="153"/>
      <c r="P28" s="269" t="str">
        <f ca="1">IF('Planned background (hide)'!B17&lt;Num_Modalities,IF($C$6="Overall",O28,SUM(OFFSET($E28,0,0,1,Num_Modalities))),"")</f>
        <v/>
      </c>
      <c r="Q28" s="273" t="str">
        <f ca="1">IF(AND('Planned background (hide)'!B17&lt;Num_Modalities,R28&lt;&gt;"Yes"),'Planned background (hide)'!S18,"")</f>
        <v/>
      </c>
      <c r="R28" s="153"/>
      <c r="T28" s="36"/>
    </row>
    <row r="29" spans="1:20" x14ac:dyDescent="0.25">
      <c r="A29" s="67" t="str">
        <f t="shared" ca="1" si="3"/>
        <v/>
      </c>
      <c r="B29" s="268" t="str">
        <f t="shared" ca="1" si="0"/>
        <v xml:space="preserve"> </v>
      </c>
      <c r="C29" s="269" t="str">
        <f t="shared" ca="1" si="1"/>
        <v/>
      </c>
      <c r="D29" s="332" t="str">
        <f t="shared" ca="1" si="2"/>
        <v/>
      </c>
      <c r="E29" s="153"/>
      <c r="F29" s="153"/>
      <c r="G29" s="153"/>
      <c r="H29" s="153"/>
      <c r="I29" s="153"/>
      <c r="J29" s="153"/>
      <c r="K29" s="153"/>
      <c r="L29" s="153"/>
      <c r="M29" s="153"/>
      <c r="N29" s="153"/>
      <c r="O29" s="153"/>
      <c r="P29" s="269" t="str">
        <f ca="1">IF('Planned background (hide)'!B18&lt;Num_Modalities,IF($C$6="Overall",O29,SUM(OFFSET($E29,0,0,1,Num_Modalities))),"")</f>
        <v/>
      </c>
      <c r="Q29" s="273" t="str">
        <f ca="1">IF(AND('Planned background (hide)'!B18&lt;Num_Modalities,R29&lt;&gt;"Yes"),'Planned background (hide)'!S19,"")</f>
        <v/>
      </c>
      <c r="R29" s="153"/>
      <c r="T29" s="36"/>
    </row>
    <row r="30" spans="1:20" x14ac:dyDescent="0.25">
      <c r="A30" s="67" t="str">
        <f t="shared" ca="1" si="3"/>
        <v/>
      </c>
      <c r="B30" s="268" t="str">
        <f t="shared" ca="1" si="0"/>
        <v xml:space="preserve"> </v>
      </c>
      <c r="C30" s="269" t="str">
        <f t="shared" ca="1" si="1"/>
        <v/>
      </c>
      <c r="D30" s="332" t="str">
        <f t="shared" ca="1" si="2"/>
        <v/>
      </c>
      <c r="E30" s="153"/>
      <c r="F30" s="153"/>
      <c r="G30" s="153"/>
      <c r="H30" s="153"/>
      <c r="I30" s="153"/>
      <c r="J30" s="153"/>
      <c r="K30" s="153"/>
      <c r="L30" s="153"/>
      <c r="M30" s="153"/>
      <c r="N30" s="153"/>
      <c r="O30" s="153"/>
      <c r="P30" s="269" t="str">
        <f ca="1">IF('Planned background (hide)'!B19&lt;Num_Modalities,IF($C$6="Overall",O30,SUM(OFFSET($E30,0,0,1,Num_Modalities))),"")</f>
        <v/>
      </c>
      <c r="Q30" s="273" t="str">
        <f ca="1">IF(AND('Planned background (hide)'!B19&lt;Num_Modalities,R30&lt;&gt;"Yes"),'Planned background (hide)'!S20,"")</f>
        <v/>
      </c>
      <c r="R30" s="153"/>
      <c r="T30" s="36"/>
    </row>
    <row r="31" spans="1:20" x14ac:dyDescent="0.25">
      <c r="A31" s="67" t="str">
        <f t="shared" ca="1" si="3"/>
        <v/>
      </c>
      <c r="B31" s="268" t="str">
        <f t="shared" ca="1" si="0"/>
        <v xml:space="preserve"> </v>
      </c>
      <c r="C31" s="269" t="str">
        <f t="shared" ca="1" si="1"/>
        <v/>
      </c>
      <c r="D31" s="332" t="str">
        <f t="shared" ca="1" si="2"/>
        <v/>
      </c>
      <c r="E31" s="153"/>
      <c r="F31" s="153"/>
      <c r="G31" s="153"/>
      <c r="H31" s="153"/>
      <c r="I31" s="153"/>
      <c r="J31" s="153"/>
      <c r="K31" s="153"/>
      <c r="L31" s="153"/>
      <c r="M31" s="153"/>
      <c r="N31" s="153"/>
      <c r="O31" s="153"/>
      <c r="P31" s="269" t="str">
        <f ca="1">IF('Planned background (hide)'!B20&lt;Num_Modalities,IF($C$6="Overall",O31,SUM(OFFSET($E31,0,0,1,Num_Modalities))),"")</f>
        <v/>
      </c>
      <c r="Q31" s="273" t="str">
        <f ca="1">IF(AND('Planned background (hide)'!B20&lt;Num_Modalities,R31&lt;&gt;"Yes"),'Planned background (hide)'!S21,"")</f>
        <v/>
      </c>
      <c r="R31" s="153"/>
      <c r="T31" s="36"/>
    </row>
    <row r="32" spans="1:20" x14ac:dyDescent="0.25">
      <c r="A32" s="67" t="str">
        <f t="shared" ca="1" si="3"/>
        <v/>
      </c>
      <c r="B32" s="268" t="str">
        <f t="shared" ca="1" si="0"/>
        <v xml:space="preserve"> </v>
      </c>
      <c r="C32" s="269" t="str">
        <f t="shared" ca="1" si="1"/>
        <v/>
      </c>
      <c r="D32" s="332" t="str">
        <f t="shared" ca="1" si="2"/>
        <v/>
      </c>
      <c r="E32" s="153"/>
      <c r="F32" s="153"/>
      <c r="G32" s="153"/>
      <c r="H32" s="153"/>
      <c r="I32" s="153"/>
      <c r="J32" s="153"/>
      <c r="K32" s="153"/>
      <c r="L32" s="153"/>
      <c r="M32" s="153"/>
      <c r="N32" s="153"/>
      <c r="O32" s="153"/>
      <c r="P32" s="269" t="str">
        <f ca="1">IF('Planned background (hide)'!B21&lt;Num_Modalities,IF($C$6="Overall",O32,SUM(OFFSET($E32,0,0,1,Num_Modalities))),"")</f>
        <v/>
      </c>
      <c r="Q32" s="273" t="str">
        <f ca="1">IF(AND('Planned background (hide)'!B21&lt;Num_Modalities,R32&lt;&gt;"Yes"),'Planned background (hide)'!S22,"")</f>
        <v/>
      </c>
      <c r="R32" s="153"/>
      <c r="T32" s="36"/>
    </row>
    <row r="33" spans="1:20" x14ac:dyDescent="0.25">
      <c r="A33" s="67" t="str">
        <f t="shared" ca="1" si="3"/>
        <v/>
      </c>
      <c r="B33" s="268" t="str">
        <f t="shared" ca="1" si="0"/>
        <v xml:space="preserve"> </v>
      </c>
      <c r="C33" s="269" t="str">
        <f t="shared" ca="1" si="1"/>
        <v/>
      </c>
      <c r="D33" s="332" t="str">
        <f t="shared" ca="1" si="2"/>
        <v/>
      </c>
      <c r="E33" s="153"/>
      <c r="F33" s="153"/>
      <c r="G33" s="153"/>
      <c r="H33" s="153"/>
      <c r="I33" s="153"/>
      <c r="J33" s="153"/>
      <c r="K33" s="153"/>
      <c r="L33" s="153"/>
      <c r="M33" s="153"/>
      <c r="N33" s="153"/>
      <c r="O33" s="153"/>
      <c r="P33" s="269" t="str">
        <f ca="1">IF('Planned background (hide)'!B22&lt;Num_Modalities,IF($C$6="Overall",O33,SUM(OFFSET($E33,0,0,1,Num_Modalities))),"")</f>
        <v/>
      </c>
      <c r="Q33" s="273" t="str">
        <f ca="1">IF(AND('Planned background (hide)'!B22&lt;Num_Modalities,R33&lt;&gt;"Yes"),'Planned background (hide)'!S23,"")</f>
        <v/>
      </c>
      <c r="R33" s="153"/>
      <c r="T33" s="36"/>
    </row>
    <row r="34" spans="1:20" x14ac:dyDescent="0.25">
      <c r="A34" s="67" t="str">
        <f t="shared" ca="1" si="3"/>
        <v/>
      </c>
      <c r="B34" s="268" t="str">
        <f t="shared" ca="1" si="0"/>
        <v xml:space="preserve"> </v>
      </c>
      <c r="C34" s="269" t="str">
        <f t="shared" ca="1" si="1"/>
        <v/>
      </c>
      <c r="D34" s="332" t="str">
        <f t="shared" ca="1" si="2"/>
        <v/>
      </c>
      <c r="E34" s="153"/>
      <c r="F34" s="153"/>
      <c r="G34" s="153"/>
      <c r="H34" s="153"/>
      <c r="I34" s="153"/>
      <c r="J34" s="153"/>
      <c r="K34" s="153"/>
      <c r="L34" s="153"/>
      <c r="M34" s="153"/>
      <c r="N34" s="153"/>
      <c r="O34" s="153"/>
      <c r="P34" s="269" t="str">
        <f ca="1">IF('Planned background (hide)'!B23&lt;Num_Modalities,IF($C$6="Overall",O34,SUM(OFFSET($E34,0,0,1,Num_Modalities))),"")</f>
        <v/>
      </c>
      <c r="Q34" s="273" t="str">
        <f ca="1">IF(AND('Planned background (hide)'!B23&lt;Num_Modalities,R34&lt;&gt;"Yes"),'Planned background (hide)'!S24,"")</f>
        <v/>
      </c>
      <c r="R34" s="153"/>
      <c r="T34" s="36"/>
    </row>
    <row r="35" spans="1:20" x14ac:dyDescent="0.25">
      <c r="A35" s="67" t="str">
        <f t="shared" ca="1" si="3"/>
        <v/>
      </c>
      <c r="B35" s="268" t="str">
        <f t="shared" ca="1" si="0"/>
        <v xml:space="preserve"> </v>
      </c>
      <c r="C35" s="269" t="str">
        <f t="shared" ca="1" si="1"/>
        <v/>
      </c>
      <c r="D35" s="332" t="str">
        <f t="shared" ca="1" si="2"/>
        <v/>
      </c>
      <c r="E35" s="153"/>
      <c r="F35" s="153"/>
      <c r="G35" s="153"/>
      <c r="H35" s="153"/>
      <c r="I35" s="153"/>
      <c r="J35" s="153"/>
      <c r="K35" s="153"/>
      <c r="L35" s="153"/>
      <c r="M35" s="153"/>
      <c r="N35" s="153"/>
      <c r="O35" s="153"/>
      <c r="P35" s="269" t="str">
        <f ca="1">IF('Planned background (hide)'!B24&lt;Num_Modalities,IF($C$6="Overall",O35,SUM(OFFSET($E35,0,0,1,Num_Modalities))),"")</f>
        <v/>
      </c>
      <c r="Q35" s="273" t="str">
        <f ca="1">IF(AND('Planned background (hide)'!B24&lt;Num_Modalities,R35&lt;&gt;"Yes"),'Planned background (hide)'!S25,"")</f>
        <v/>
      </c>
      <c r="R35" s="153"/>
      <c r="T35" s="36"/>
    </row>
    <row r="36" spans="1:20" x14ac:dyDescent="0.25">
      <c r="A36" s="67" t="str">
        <f t="shared" ca="1" si="3"/>
        <v/>
      </c>
      <c r="B36" s="268" t="str">
        <f t="shared" ca="1" si="0"/>
        <v xml:space="preserve"> </v>
      </c>
      <c r="C36" s="269" t="str">
        <f t="shared" ca="1" si="1"/>
        <v/>
      </c>
      <c r="D36" s="332" t="str">
        <f t="shared" ca="1" si="2"/>
        <v/>
      </c>
      <c r="E36" s="153"/>
      <c r="F36" s="153"/>
      <c r="G36" s="153"/>
      <c r="H36" s="153"/>
      <c r="I36" s="153"/>
      <c r="J36" s="153"/>
      <c r="K36" s="153"/>
      <c r="L36" s="153"/>
      <c r="M36" s="153"/>
      <c r="N36" s="153"/>
      <c r="O36" s="153"/>
      <c r="P36" s="269" t="str">
        <f ca="1">IF('Planned background (hide)'!B25&lt;Num_Modalities,IF($C$6="Overall",O36,SUM(OFFSET($E36,0,0,1,Num_Modalities))),"")</f>
        <v/>
      </c>
      <c r="Q36" s="273" t="str">
        <f ca="1">IF(AND('Planned background (hide)'!B25&lt;Num_Modalities,R36&lt;&gt;"Yes"),'Planned background (hide)'!S26,"")</f>
        <v/>
      </c>
      <c r="R36" s="153"/>
      <c r="T36" s="36"/>
    </row>
    <row r="37" spans="1:20" x14ac:dyDescent="0.25">
      <c r="A37" s="67" t="str">
        <f t="shared" ca="1" si="3"/>
        <v/>
      </c>
      <c r="B37" s="268" t="str">
        <f t="shared" ca="1" si="0"/>
        <v xml:space="preserve"> </v>
      </c>
      <c r="C37" s="269" t="str">
        <f t="shared" ca="1" si="1"/>
        <v/>
      </c>
      <c r="D37" s="332" t="str">
        <f t="shared" ca="1" si="2"/>
        <v/>
      </c>
      <c r="E37" s="153"/>
      <c r="F37" s="153"/>
      <c r="G37" s="153"/>
      <c r="H37" s="153"/>
      <c r="I37" s="153"/>
      <c r="J37" s="153"/>
      <c r="K37" s="153"/>
      <c r="L37" s="153"/>
      <c r="M37" s="153"/>
      <c r="N37" s="153"/>
      <c r="O37" s="153"/>
      <c r="P37" s="269" t="str">
        <f ca="1">IF('Planned background (hide)'!B26&lt;Num_Modalities,IF($C$6="Overall",O37,SUM(OFFSET($E37,0,0,1,Num_Modalities))),"")</f>
        <v/>
      </c>
      <c r="Q37" s="273" t="str">
        <f ca="1">IF(AND('Planned background (hide)'!B26&lt;Num_Modalities,R37&lt;&gt;"Yes"),'Planned background (hide)'!S27,"")</f>
        <v/>
      </c>
      <c r="R37" s="153"/>
      <c r="T37" s="36"/>
    </row>
    <row r="38" spans="1:20" x14ac:dyDescent="0.25">
      <c r="A38" s="67" t="str">
        <f t="shared" ca="1" si="3"/>
        <v/>
      </c>
      <c r="B38" s="268" t="str">
        <f t="shared" ca="1" si="0"/>
        <v xml:space="preserve"> </v>
      </c>
      <c r="C38" s="269" t="str">
        <f t="shared" ca="1" si="1"/>
        <v/>
      </c>
      <c r="D38" s="332" t="str">
        <f t="shared" ca="1" si="2"/>
        <v/>
      </c>
      <c r="E38" s="153"/>
      <c r="F38" s="153"/>
      <c r="G38" s="153"/>
      <c r="H38" s="153"/>
      <c r="I38" s="153"/>
      <c r="J38" s="153"/>
      <c r="K38" s="153"/>
      <c r="L38" s="153"/>
      <c r="M38" s="153"/>
      <c r="N38" s="153"/>
      <c r="O38" s="153"/>
      <c r="P38" s="269" t="str">
        <f ca="1">IF('Planned background (hide)'!B27&lt;Num_Modalities,IF($C$6="Overall",O38,SUM(OFFSET($E38,0,0,1,Num_Modalities))),"")</f>
        <v/>
      </c>
      <c r="Q38" s="273" t="str">
        <f ca="1">IF(AND('Planned background (hide)'!B27&lt;Num_Modalities,R38&lt;&gt;"Yes"),'Planned background (hide)'!S28,"")</f>
        <v/>
      </c>
      <c r="R38" s="153"/>
      <c r="T38" s="36"/>
    </row>
    <row r="39" spans="1:20" x14ac:dyDescent="0.25">
      <c r="A39" s="67" t="str">
        <f t="shared" ca="1" si="3"/>
        <v/>
      </c>
      <c r="B39" s="268" t="str">
        <f t="shared" ca="1" si="0"/>
        <v xml:space="preserve"> </v>
      </c>
      <c r="C39" s="269" t="str">
        <f t="shared" ca="1" si="1"/>
        <v/>
      </c>
      <c r="D39" s="332" t="str">
        <f t="shared" ca="1" si="2"/>
        <v/>
      </c>
      <c r="E39" s="153"/>
      <c r="F39" s="153"/>
      <c r="G39" s="153"/>
      <c r="H39" s="153"/>
      <c r="I39" s="153"/>
      <c r="J39" s="153"/>
      <c r="K39" s="153"/>
      <c r="L39" s="153"/>
      <c r="M39" s="153"/>
      <c r="N39" s="153"/>
      <c r="O39" s="153"/>
      <c r="P39" s="269" t="str">
        <f ca="1">IF('Planned background (hide)'!B28&lt;Num_Modalities,IF($C$6="Overall",O39,SUM(OFFSET($E39,0,0,1,Num_Modalities))),"")</f>
        <v/>
      </c>
      <c r="Q39" s="273" t="str">
        <f ca="1">IF(AND('Planned background (hide)'!B28&lt;Num_Modalities,R39&lt;&gt;"Yes"),'Planned background (hide)'!S29,"")</f>
        <v/>
      </c>
      <c r="R39" s="153"/>
      <c r="T39" s="36"/>
    </row>
    <row r="40" spans="1:20" x14ac:dyDescent="0.25">
      <c r="A40" s="67" t="str">
        <f t="shared" ca="1" si="3"/>
        <v/>
      </c>
      <c r="B40" s="268" t="str">
        <f t="shared" ca="1" si="0"/>
        <v xml:space="preserve"> </v>
      </c>
      <c r="C40" s="269" t="str">
        <f t="shared" ca="1" si="1"/>
        <v/>
      </c>
      <c r="D40" s="332" t="str">
        <f t="shared" ca="1" si="2"/>
        <v/>
      </c>
      <c r="E40" s="153"/>
      <c r="F40" s="153"/>
      <c r="G40" s="153"/>
      <c r="H40" s="153"/>
      <c r="I40" s="153"/>
      <c r="J40" s="153"/>
      <c r="K40" s="153"/>
      <c r="L40" s="153"/>
      <c r="M40" s="153"/>
      <c r="N40" s="153"/>
      <c r="O40" s="153"/>
      <c r="P40" s="269" t="str">
        <f ca="1">IF('Planned background (hide)'!B29&lt;Num_Modalities,IF($C$6="Overall",O40,SUM(OFFSET($E40,0,0,1,Num_Modalities))),"")</f>
        <v/>
      </c>
      <c r="Q40" s="273" t="str">
        <f ca="1">IF(AND('Planned background (hide)'!B29&lt;Num_Modalities,R40&lt;&gt;"Yes"),'Planned background (hide)'!S30,"")</f>
        <v/>
      </c>
      <c r="R40" s="153"/>
      <c r="T40" s="36"/>
    </row>
    <row r="41" spans="1:20" x14ac:dyDescent="0.25">
      <c r="A41" s="67" t="str">
        <f t="shared" ca="1" si="3"/>
        <v/>
      </c>
      <c r="B41" s="268" t="str">
        <f t="shared" ca="1" si="0"/>
        <v xml:space="preserve"> </v>
      </c>
      <c r="C41" s="269" t="str">
        <f t="shared" ca="1" si="1"/>
        <v/>
      </c>
      <c r="D41" s="332" t="str">
        <f t="shared" ca="1" si="2"/>
        <v/>
      </c>
      <c r="E41" s="153"/>
      <c r="F41" s="153"/>
      <c r="G41" s="153"/>
      <c r="H41" s="153"/>
      <c r="I41" s="153"/>
      <c r="J41" s="153"/>
      <c r="K41" s="153"/>
      <c r="L41" s="153"/>
      <c r="M41" s="153"/>
      <c r="N41" s="153"/>
      <c r="O41" s="153"/>
      <c r="P41" s="269" t="str">
        <f ca="1">IF('Planned background (hide)'!B30&lt;Num_Modalities,IF($C$6="Overall",O41,SUM(OFFSET($E41,0,0,1,Num_Modalities))),"")</f>
        <v/>
      </c>
      <c r="Q41" s="273" t="str">
        <f ca="1">IF(AND('Planned background (hide)'!B30&lt;Num_Modalities,R41&lt;&gt;"Yes"),'Planned background (hide)'!S31,"")</f>
        <v/>
      </c>
      <c r="R41" s="153"/>
      <c r="T41" s="36"/>
    </row>
    <row r="42" spans="1:20" x14ac:dyDescent="0.25">
      <c r="A42" s="67" t="str">
        <f t="shared" ca="1" si="3"/>
        <v/>
      </c>
      <c r="B42" s="268" t="str">
        <f t="shared" ca="1" si="0"/>
        <v xml:space="preserve"> </v>
      </c>
      <c r="C42" s="269" t="str">
        <f t="shared" ca="1" si="1"/>
        <v/>
      </c>
      <c r="D42" s="332" t="str">
        <f t="shared" ca="1" si="2"/>
        <v/>
      </c>
      <c r="E42" s="153"/>
      <c r="F42" s="153"/>
      <c r="G42" s="153"/>
      <c r="H42" s="153"/>
      <c r="I42" s="153"/>
      <c r="J42" s="153"/>
      <c r="K42" s="153"/>
      <c r="L42" s="153"/>
      <c r="M42" s="153"/>
      <c r="N42" s="153"/>
      <c r="O42" s="153"/>
      <c r="P42" s="269" t="str">
        <f ca="1">IF('Planned background (hide)'!B31&lt;Num_Modalities,IF($C$6="Overall",O42,SUM(OFFSET($E42,0,0,1,Num_Modalities))),"")</f>
        <v/>
      </c>
      <c r="Q42" s="273" t="str">
        <f ca="1">IF(AND('Planned background (hide)'!B31&lt;Num_Modalities,R42&lt;&gt;"Yes"),'Planned background (hide)'!S32,"")</f>
        <v/>
      </c>
      <c r="R42" s="153"/>
      <c r="T42" s="36"/>
    </row>
    <row r="43" spans="1:20" x14ac:dyDescent="0.25">
      <c r="A43" s="67" t="str">
        <f t="shared" ca="1" si="3"/>
        <v/>
      </c>
      <c r="B43" s="268" t="str">
        <f t="shared" ca="1" si="0"/>
        <v xml:space="preserve"> </v>
      </c>
      <c r="C43" s="269" t="str">
        <f t="shared" ca="1" si="1"/>
        <v/>
      </c>
      <c r="D43" s="332" t="str">
        <f t="shared" ca="1" si="2"/>
        <v/>
      </c>
      <c r="E43" s="153"/>
      <c r="F43" s="153"/>
      <c r="G43" s="153"/>
      <c r="H43" s="153"/>
      <c r="I43" s="153"/>
      <c r="J43" s="153"/>
      <c r="K43" s="153"/>
      <c r="L43" s="153"/>
      <c r="M43" s="153"/>
      <c r="N43" s="153"/>
      <c r="O43" s="153"/>
      <c r="P43" s="269" t="str">
        <f ca="1">IF('Planned background (hide)'!B32&lt;Num_Modalities,IF($C$6="Overall",O43,SUM(OFFSET($E43,0,0,1,Num_Modalities))),"")</f>
        <v/>
      </c>
      <c r="Q43" s="273" t="str">
        <f ca="1">IF(AND('Planned background (hide)'!B32&lt;Num_Modalities,R43&lt;&gt;"Yes"),'Planned background (hide)'!S33,"")</f>
        <v/>
      </c>
      <c r="R43" s="153"/>
      <c r="T43" s="36"/>
    </row>
    <row r="44" spans="1:20" x14ac:dyDescent="0.25">
      <c r="A44" s="67" t="str">
        <f t="shared" ca="1" si="3"/>
        <v/>
      </c>
      <c r="B44" s="268" t="str">
        <f t="shared" ca="1" si="0"/>
        <v xml:space="preserve"> </v>
      </c>
      <c r="C44" s="269" t="str">
        <f t="shared" ca="1" si="1"/>
        <v/>
      </c>
      <c r="D44" s="332" t="str">
        <f t="shared" ca="1" si="2"/>
        <v/>
      </c>
      <c r="E44" s="153"/>
      <c r="F44" s="153"/>
      <c r="G44" s="153"/>
      <c r="H44" s="153"/>
      <c r="I44" s="153"/>
      <c r="J44" s="153"/>
      <c r="K44" s="153"/>
      <c r="L44" s="153"/>
      <c r="M44" s="153"/>
      <c r="N44" s="153"/>
      <c r="O44" s="153"/>
      <c r="P44" s="269" t="str">
        <f ca="1">IF('Planned background (hide)'!B33&lt;Num_Modalities,IF($C$6="Overall",O44,SUM(OFFSET($E44,0,0,1,Num_Modalities))),"")</f>
        <v/>
      </c>
      <c r="Q44" s="273" t="str">
        <f ca="1">IF(AND('Planned background (hide)'!B33&lt;Num_Modalities,R44&lt;&gt;"Yes"),'Planned background (hide)'!S34,"")</f>
        <v/>
      </c>
      <c r="R44" s="153"/>
      <c r="T44" s="36"/>
    </row>
    <row r="45" spans="1:20" x14ac:dyDescent="0.25">
      <c r="A45" s="67" t="str">
        <f t="shared" ca="1" si="3"/>
        <v/>
      </c>
      <c r="B45" s="268" t="str">
        <f t="shared" ca="1" si="0"/>
        <v xml:space="preserve"> </v>
      </c>
      <c r="C45" s="269" t="str">
        <f t="shared" ca="1" si="1"/>
        <v/>
      </c>
      <c r="D45" s="332" t="str">
        <f t="shared" ca="1" si="2"/>
        <v/>
      </c>
      <c r="E45" s="153"/>
      <c r="F45" s="153"/>
      <c r="G45" s="153"/>
      <c r="H45" s="153"/>
      <c r="I45" s="153"/>
      <c r="J45" s="153"/>
      <c r="K45" s="153"/>
      <c r="L45" s="153"/>
      <c r="M45" s="153"/>
      <c r="N45" s="153"/>
      <c r="O45" s="153"/>
      <c r="P45" s="269" t="str">
        <f ca="1">IF('Planned background (hide)'!B34&lt;Num_Modalities,IF($C$6="Overall",O45,SUM(OFFSET($E45,0,0,1,Num_Modalities))),"")</f>
        <v/>
      </c>
      <c r="Q45" s="273" t="str">
        <f ca="1">IF(AND('Planned background (hide)'!B34&lt;Num_Modalities,R45&lt;&gt;"Yes"),'Planned background (hide)'!S35,"")</f>
        <v/>
      </c>
      <c r="R45" s="153"/>
      <c r="T45" s="36"/>
    </row>
    <row r="46" spans="1:20" x14ac:dyDescent="0.25">
      <c r="A46" s="67" t="str">
        <f t="shared" ca="1" si="3"/>
        <v/>
      </c>
      <c r="B46" s="268" t="str">
        <f t="shared" ref="B46:B64" ca="1" si="4">IF(A46&lt;=PMaxRows,IF($C$8&lt;&gt;"",IF(YEAR(D46)&lt;&gt;YEAR(D45),YEAR(D46)," "),IF(C46&lt;&gt;1,"",OFFSET(B46,-C45,0,1,1)+1))," ")</f>
        <v xml:space="preserve"> </v>
      </c>
      <c r="C46" s="269" t="str">
        <f t="shared" ref="C46:C64" ca="1" si="5">IF(ROW(A34)&lt;=PMaxRows,IF($C$8&lt;&gt;"",WEEKNUM(D46,21),IF(MOD((C45+1),53)&gt;0,MOD((C45+1),53),53)),"")</f>
        <v/>
      </c>
      <c r="D46" s="332" t="str">
        <f t="shared" ref="D46:D64" ca="1" si="6">IF(ROW(A34)&lt;=PMaxRows,IF($C$8&lt;&gt;"",D45+7,""),"")</f>
        <v/>
      </c>
      <c r="E46" s="153"/>
      <c r="F46" s="153"/>
      <c r="G46" s="153"/>
      <c r="H46" s="153"/>
      <c r="I46" s="153"/>
      <c r="J46" s="153"/>
      <c r="K46" s="153"/>
      <c r="L46" s="153"/>
      <c r="M46" s="153"/>
      <c r="N46" s="153"/>
      <c r="O46" s="153"/>
      <c r="P46" s="269" t="str">
        <f ca="1">IF('Planned background (hide)'!B35&lt;Num_Modalities,IF($C$6="Overall",O46,SUM(OFFSET($E46,0,0,1,Num_Modalities))),"")</f>
        <v/>
      </c>
      <c r="Q46" s="273" t="str">
        <f ca="1">IF(AND('Planned background (hide)'!B35&lt;Num_Modalities,R46&lt;&gt;"Yes"),'Planned background (hide)'!S36,"")</f>
        <v/>
      </c>
      <c r="R46" s="153"/>
      <c r="T46" s="36"/>
    </row>
    <row r="47" spans="1:20" x14ac:dyDescent="0.25">
      <c r="A47" s="67" t="str">
        <f t="shared" ca="1" si="3"/>
        <v/>
      </c>
      <c r="B47" s="268" t="str">
        <f t="shared" ca="1" si="4"/>
        <v xml:space="preserve"> </v>
      </c>
      <c r="C47" s="269" t="str">
        <f t="shared" ca="1" si="5"/>
        <v/>
      </c>
      <c r="D47" s="332" t="str">
        <f t="shared" ca="1" si="6"/>
        <v/>
      </c>
      <c r="E47" s="153"/>
      <c r="F47" s="153"/>
      <c r="G47" s="153"/>
      <c r="H47" s="153"/>
      <c r="I47" s="153"/>
      <c r="J47" s="153"/>
      <c r="K47" s="153"/>
      <c r="L47" s="153"/>
      <c r="M47" s="153"/>
      <c r="N47" s="153"/>
      <c r="O47" s="153"/>
      <c r="P47" s="269" t="str">
        <f ca="1">IF('Planned background (hide)'!B36&lt;Num_Modalities,IF($C$6="Overall",O47,SUM(OFFSET($E47,0,0,1,Num_Modalities))),"")</f>
        <v/>
      </c>
      <c r="Q47" s="273" t="str">
        <f ca="1">IF(AND('Planned background (hide)'!B36&lt;Num_Modalities,R47&lt;&gt;"Yes"),'Planned background (hide)'!S37,"")</f>
        <v/>
      </c>
      <c r="R47" s="153"/>
      <c r="T47" s="36"/>
    </row>
    <row r="48" spans="1:20" x14ac:dyDescent="0.25">
      <c r="A48" s="67" t="str">
        <f t="shared" ca="1" si="3"/>
        <v/>
      </c>
      <c r="B48" s="268" t="str">
        <f t="shared" ca="1" si="4"/>
        <v xml:space="preserve"> </v>
      </c>
      <c r="C48" s="269" t="str">
        <f t="shared" ca="1" si="5"/>
        <v/>
      </c>
      <c r="D48" s="332" t="str">
        <f t="shared" ca="1" si="6"/>
        <v/>
      </c>
      <c r="E48" s="153"/>
      <c r="F48" s="153"/>
      <c r="G48" s="153"/>
      <c r="H48" s="153"/>
      <c r="I48" s="153"/>
      <c r="J48" s="153"/>
      <c r="K48" s="153"/>
      <c r="L48" s="153"/>
      <c r="M48" s="153"/>
      <c r="N48" s="153"/>
      <c r="O48" s="153"/>
      <c r="P48" s="269" t="str">
        <f ca="1">IF('Planned background (hide)'!B37&lt;Num_Modalities,IF($C$6="Overall",O48,SUM(OFFSET($E48,0,0,1,Num_Modalities))),"")</f>
        <v/>
      </c>
      <c r="Q48" s="273" t="str">
        <f ca="1">IF(AND('Planned background (hide)'!B37&lt;Num_Modalities,R48&lt;&gt;"Yes"),'Planned background (hide)'!S38,"")</f>
        <v/>
      </c>
      <c r="R48" s="153"/>
      <c r="T48" s="36"/>
    </row>
    <row r="49" spans="1:20" x14ac:dyDescent="0.25">
      <c r="A49" s="67" t="str">
        <f t="shared" ca="1" si="3"/>
        <v/>
      </c>
      <c r="B49" s="268" t="str">
        <f t="shared" ca="1" si="4"/>
        <v xml:space="preserve"> </v>
      </c>
      <c r="C49" s="269" t="str">
        <f t="shared" ca="1" si="5"/>
        <v/>
      </c>
      <c r="D49" s="332" t="str">
        <f t="shared" ca="1" si="6"/>
        <v/>
      </c>
      <c r="E49" s="153"/>
      <c r="F49" s="153"/>
      <c r="G49" s="153"/>
      <c r="H49" s="153"/>
      <c r="I49" s="153"/>
      <c r="J49" s="153"/>
      <c r="K49" s="153"/>
      <c r="L49" s="153"/>
      <c r="M49" s="153"/>
      <c r="N49" s="153"/>
      <c r="O49" s="153"/>
      <c r="P49" s="269" t="str">
        <f ca="1">IF('Planned background (hide)'!B38&lt;Num_Modalities,IF($C$6="Overall",O49,SUM(OFFSET($E49,0,0,1,Num_Modalities))),"")</f>
        <v/>
      </c>
      <c r="Q49" s="273" t="str">
        <f ca="1">IF(AND('Planned background (hide)'!B38&lt;Num_Modalities,R49&lt;&gt;"Yes"),'Planned background (hide)'!S39,"")</f>
        <v/>
      </c>
      <c r="R49" s="153"/>
      <c r="T49" s="36"/>
    </row>
    <row r="50" spans="1:20" x14ac:dyDescent="0.25">
      <c r="A50" s="67" t="str">
        <f t="shared" ca="1" si="3"/>
        <v/>
      </c>
      <c r="B50" s="268" t="str">
        <f t="shared" ca="1" si="4"/>
        <v xml:space="preserve"> </v>
      </c>
      <c r="C50" s="269" t="str">
        <f t="shared" ca="1" si="5"/>
        <v/>
      </c>
      <c r="D50" s="332" t="str">
        <f t="shared" ca="1" si="6"/>
        <v/>
      </c>
      <c r="E50" s="153"/>
      <c r="F50" s="153"/>
      <c r="G50" s="153"/>
      <c r="H50" s="153"/>
      <c r="I50" s="153"/>
      <c r="J50" s="153"/>
      <c r="K50" s="153"/>
      <c r="L50" s="153"/>
      <c r="M50" s="153"/>
      <c r="N50" s="153"/>
      <c r="O50" s="153"/>
      <c r="P50" s="269" t="str">
        <f ca="1">IF('Planned background (hide)'!B39&lt;Num_Modalities,IF($C$6="Overall",O50,SUM(OFFSET($E50,0,0,1,Num_Modalities))),"")</f>
        <v/>
      </c>
      <c r="Q50" s="273" t="str">
        <f ca="1">IF(AND('Planned background (hide)'!B39&lt;Num_Modalities,R50&lt;&gt;"Yes"),'Planned background (hide)'!S40,"")</f>
        <v/>
      </c>
      <c r="R50" s="153"/>
      <c r="T50" s="36"/>
    </row>
    <row r="51" spans="1:20" x14ac:dyDescent="0.25">
      <c r="A51" s="67" t="str">
        <f t="shared" ca="1" si="3"/>
        <v/>
      </c>
      <c r="B51" s="268" t="str">
        <f t="shared" ca="1" si="4"/>
        <v xml:space="preserve"> </v>
      </c>
      <c r="C51" s="269" t="str">
        <f t="shared" ca="1" si="5"/>
        <v/>
      </c>
      <c r="D51" s="332" t="str">
        <f t="shared" ca="1" si="6"/>
        <v/>
      </c>
      <c r="E51" s="153"/>
      <c r="F51" s="153"/>
      <c r="G51" s="153"/>
      <c r="H51" s="153"/>
      <c r="I51" s="153"/>
      <c r="J51" s="153"/>
      <c r="K51" s="153"/>
      <c r="L51" s="153"/>
      <c r="M51" s="153"/>
      <c r="N51" s="153"/>
      <c r="O51" s="153"/>
      <c r="P51" s="269" t="str">
        <f ca="1">IF('Planned background (hide)'!B40&lt;Num_Modalities,IF($C$6="Overall",O51,SUM(OFFSET($E51,0,0,1,Num_Modalities))),"")</f>
        <v/>
      </c>
      <c r="Q51" s="273" t="str">
        <f ca="1">IF(AND('Planned background (hide)'!B40&lt;Num_Modalities,R51&lt;&gt;"Yes"),'Planned background (hide)'!S41,"")</f>
        <v/>
      </c>
      <c r="R51" s="153"/>
      <c r="T51" s="36"/>
    </row>
    <row r="52" spans="1:20" x14ac:dyDescent="0.25">
      <c r="A52" s="67" t="str">
        <f t="shared" ca="1" si="3"/>
        <v/>
      </c>
      <c r="B52" s="268" t="str">
        <f t="shared" ca="1" si="4"/>
        <v xml:space="preserve"> </v>
      </c>
      <c r="C52" s="269" t="str">
        <f t="shared" ca="1" si="5"/>
        <v/>
      </c>
      <c r="D52" s="332" t="str">
        <f t="shared" ca="1" si="6"/>
        <v/>
      </c>
      <c r="E52" s="153"/>
      <c r="F52" s="153"/>
      <c r="G52" s="153"/>
      <c r="H52" s="153"/>
      <c r="I52" s="153"/>
      <c r="J52" s="153"/>
      <c r="K52" s="153"/>
      <c r="L52" s="153"/>
      <c r="M52" s="153"/>
      <c r="N52" s="153"/>
      <c r="O52" s="153"/>
      <c r="P52" s="269" t="str">
        <f ca="1">IF('Planned background (hide)'!B41&lt;Num_Modalities,IF($C$6="Overall",O52,SUM(OFFSET($E52,0,0,1,Num_Modalities))),"")</f>
        <v/>
      </c>
      <c r="Q52" s="273" t="str">
        <f ca="1">IF(AND('Planned background (hide)'!B41&lt;Num_Modalities,R52&lt;&gt;"Yes"),'Planned background (hide)'!S42,"")</f>
        <v/>
      </c>
      <c r="R52" s="153"/>
      <c r="T52" s="36"/>
    </row>
    <row r="53" spans="1:20" x14ac:dyDescent="0.25">
      <c r="A53" s="67" t="str">
        <f t="shared" ca="1" si="3"/>
        <v/>
      </c>
      <c r="B53" s="268" t="str">
        <f t="shared" ca="1" si="4"/>
        <v xml:space="preserve"> </v>
      </c>
      <c r="C53" s="269" t="str">
        <f t="shared" ca="1" si="5"/>
        <v/>
      </c>
      <c r="D53" s="332" t="str">
        <f t="shared" ca="1" si="6"/>
        <v/>
      </c>
      <c r="E53" s="153"/>
      <c r="F53" s="153"/>
      <c r="G53" s="153"/>
      <c r="H53" s="153"/>
      <c r="I53" s="153"/>
      <c r="J53" s="153"/>
      <c r="K53" s="153"/>
      <c r="L53" s="153"/>
      <c r="M53" s="153"/>
      <c r="N53" s="153"/>
      <c r="O53" s="153"/>
      <c r="P53" s="269" t="str">
        <f ca="1">IF('Planned background (hide)'!B42&lt;Num_Modalities,IF($C$6="Overall",O53,SUM(OFFSET($E53,0,0,1,Num_Modalities))),"")</f>
        <v/>
      </c>
      <c r="Q53" s="273" t="str">
        <f ca="1">IF(AND('Planned background (hide)'!B42&lt;Num_Modalities,R53&lt;&gt;"Yes"),'Planned background (hide)'!S43,"")</f>
        <v/>
      </c>
      <c r="R53" s="153"/>
      <c r="T53" s="36"/>
    </row>
    <row r="54" spans="1:20" x14ac:dyDescent="0.25">
      <c r="A54" s="67" t="str">
        <f t="shared" ca="1" si="3"/>
        <v/>
      </c>
      <c r="B54" s="268" t="str">
        <f t="shared" ca="1" si="4"/>
        <v xml:space="preserve"> </v>
      </c>
      <c r="C54" s="269" t="str">
        <f t="shared" ca="1" si="5"/>
        <v/>
      </c>
      <c r="D54" s="332" t="str">
        <f t="shared" ca="1" si="6"/>
        <v/>
      </c>
      <c r="E54" s="153"/>
      <c r="F54" s="153"/>
      <c r="G54" s="153"/>
      <c r="H54" s="153"/>
      <c r="I54" s="153"/>
      <c r="J54" s="153"/>
      <c r="K54" s="153"/>
      <c r="L54" s="153"/>
      <c r="M54" s="153"/>
      <c r="N54" s="153"/>
      <c r="O54" s="153"/>
      <c r="P54" s="269" t="str">
        <f ca="1">IF('Planned background (hide)'!B43&lt;Num_Modalities,IF($C$6="Overall",O54,SUM(OFFSET($E54,0,0,1,Num_Modalities))),"")</f>
        <v/>
      </c>
      <c r="Q54" s="273" t="str">
        <f ca="1">IF(AND('Planned background (hide)'!B43&lt;Num_Modalities,R54&lt;&gt;"Yes"),'Planned background (hide)'!S44,"")</f>
        <v/>
      </c>
      <c r="R54" s="153"/>
      <c r="T54" s="36"/>
    </row>
    <row r="55" spans="1:20" x14ac:dyDescent="0.25">
      <c r="A55" s="67" t="str">
        <f t="shared" ca="1" si="3"/>
        <v/>
      </c>
      <c r="B55" s="268" t="str">
        <f t="shared" ca="1" si="4"/>
        <v xml:space="preserve"> </v>
      </c>
      <c r="C55" s="269" t="str">
        <f t="shared" ca="1" si="5"/>
        <v/>
      </c>
      <c r="D55" s="332" t="str">
        <f t="shared" ca="1" si="6"/>
        <v/>
      </c>
      <c r="E55" s="153"/>
      <c r="F55" s="153"/>
      <c r="G55" s="153"/>
      <c r="H55" s="153"/>
      <c r="I55" s="153"/>
      <c r="J55" s="153"/>
      <c r="K55" s="153"/>
      <c r="L55" s="153"/>
      <c r="M55" s="153"/>
      <c r="N55" s="153"/>
      <c r="O55" s="153"/>
      <c r="P55" s="269" t="str">
        <f ca="1">IF('Planned background (hide)'!B44&lt;Num_Modalities,IF($C$6="Overall",O55,SUM(OFFSET($E55,0,0,1,Num_Modalities))),"")</f>
        <v/>
      </c>
      <c r="Q55" s="273" t="str">
        <f ca="1">IF(AND('Planned background (hide)'!B44&lt;Num_Modalities,R55&lt;&gt;"Yes"),'Planned background (hide)'!S45,"")</f>
        <v/>
      </c>
      <c r="R55" s="153"/>
      <c r="T55" s="36"/>
    </row>
    <row r="56" spans="1:20" x14ac:dyDescent="0.25">
      <c r="A56" s="67" t="str">
        <f t="shared" ca="1" si="3"/>
        <v/>
      </c>
      <c r="B56" s="268" t="str">
        <f t="shared" ca="1" si="4"/>
        <v xml:space="preserve"> </v>
      </c>
      <c r="C56" s="269" t="str">
        <f t="shared" ca="1" si="5"/>
        <v/>
      </c>
      <c r="D56" s="332" t="str">
        <f t="shared" ca="1" si="6"/>
        <v/>
      </c>
      <c r="E56" s="153"/>
      <c r="F56" s="153"/>
      <c r="G56" s="153"/>
      <c r="H56" s="153"/>
      <c r="I56" s="153"/>
      <c r="J56" s="153"/>
      <c r="K56" s="153"/>
      <c r="L56" s="153"/>
      <c r="M56" s="153"/>
      <c r="N56" s="153"/>
      <c r="O56" s="153"/>
      <c r="P56" s="269" t="str">
        <f ca="1">IF('Planned background (hide)'!B45&lt;Num_Modalities,IF($C$6="Overall",O56,SUM(OFFSET($E56,0,0,1,Num_Modalities))),"")</f>
        <v/>
      </c>
      <c r="Q56" s="273" t="str">
        <f ca="1">IF(AND('Planned background (hide)'!B45&lt;Num_Modalities,R56&lt;&gt;"Yes"),'Planned background (hide)'!S46,"")</f>
        <v/>
      </c>
      <c r="R56" s="153"/>
      <c r="T56" s="36"/>
    </row>
    <row r="57" spans="1:20" x14ac:dyDescent="0.25">
      <c r="A57" s="67" t="str">
        <f t="shared" ca="1" si="3"/>
        <v/>
      </c>
      <c r="B57" s="268" t="str">
        <f t="shared" ca="1" si="4"/>
        <v xml:space="preserve"> </v>
      </c>
      <c r="C57" s="269" t="str">
        <f t="shared" ca="1" si="5"/>
        <v/>
      </c>
      <c r="D57" s="332" t="str">
        <f t="shared" ca="1" si="6"/>
        <v/>
      </c>
      <c r="E57" s="153"/>
      <c r="F57" s="153"/>
      <c r="G57" s="153"/>
      <c r="H57" s="153"/>
      <c r="I57" s="153"/>
      <c r="J57" s="153"/>
      <c r="K57" s="153"/>
      <c r="L57" s="153"/>
      <c r="M57" s="153"/>
      <c r="N57" s="153"/>
      <c r="O57" s="153"/>
      <c r="P57" s="269" t="str">
        <f ca="1">IF('Planned background (hide)'!B46&lt;Num_Modalities,IF($C$6="Overall",O57,SUM(OFFSET($E57,0,0,1,Num_Modalities))),"")</f>
        <v/>
      </c>
      <c r="Q57" s="273" t="str">
        <f ca="1">IF(AND('Planned background (hide)'!B46&lt;Num_Modalities,R57&lt;&gt;"Yes"),'Planned background (hide)'!S47,"")</f>
        <v/>
      </c>
      <c r="R57" s="153"/>
      <c r="T57" s="36"/>
    </row>
    <row r="58" spans="1:20" x14ac:dyDescent="0.25">
      <c r="A58" s="67" t="str">
        <f t="shared" ca="1" si="3"/>
        <v/>
      </c>
      <c r="B58" s="268" t="str">
        <f t="shared" ca="1" si="4"/>
        <v xml:space="preserve"> </v>
      </c>
      <c r="C58" s="269" t="str">
        <f t="shared" ca="1" si="5"/>
        <v/>
      </c>
      <c r="D58" s="332" t="str">
        <f t="shared" ca="1" si="6"/>
        <v/>
      </c>
      <c r="E58" s="153"/>
      <c r="F58" s="153"/>
      <c r="G58" s="153"/>
      <c r="H58" s="153"/>
      <c r="I58" s="153"/>
      <c r="J58" s="153"/>
      <c r="K58" s="153"/>
      <c r="L58" s="153"/>
      <c r="M58" s="153"/>
      <c r="N58" s="153"/>
      <c r="O58" s="153"/>
      <c r="P58" s="269" t="str">
        <f ca="1">IF('Planned background (hide)'!B47&lt;Num_Modalities,IF($C$6="Overall",O58,SUM(OFFSET($E58,0,0,1,Num_Modalities))),"")</f>
        <v/>
      </c>
      <c r="Q58" s="273" t="str">
        <f ca="1">IF(AND('Planned background (hide)'!B47&lt;Num_Modalities,R58&lt;&gt;"Yes"),'Planned background (hide)'!S48,"")</f>
        <v/>
      </c>
      <c r="R58" s="153"/>
      <c r="T58" s="36"/>
    </row>
    <row r="59" spans="1:20" x14ac:dyDescent="0.25">
      <c r="A59" s="67" t="str">
        <f t="shared" ca="1" si="3"/>
        <v/>
      </c>
      <c r="B59" s="268" t="str">
        <f t="shared" ca="1" si="4"/>
        <v xml:space="preserve"> </v>
      </c>
      <c r="C59" s="269" t="str">
        <f t="shared" ca="1" si="5"/>
        <v/>
      </c>
      <c r="D59" s="332" t="str">
        <f t="shared" ca="1" si="6"/>
        <v/>
      </c>
      <c r="E59" s="153"/>
      <c r="F59" s="153"/>
      <c r="G59" s="153"/>
      <c r="H59" s="153"/>
      <c r="I59" s="153"/>
      <c r="J59" s="153"/>
      <c r="K59" s="153"/>
      <c r="L59" s="153"/>
      <c r="M59" s="153"/>
      <c r="N59" s="153"/>
      <c r="O59" s="153"/>
      <c r="P59" s="269" t="str">
        <f ca="1">IF('Planned background (hide)'!B48&lt;Num_Modalities,IF($C$6="Overall",O59,SUM(OFFSET($E59,0,0,1,Num_Modalities))),"")</f>
        <v/>
      </c>
      <c r="Q59" s="273" t="str">
        <f ca="1">IF(AND('Planned background (hide)'!B48&lt;Num_Modalities,R59&lt;&gt;"Yes"),'Planned background (hide)'!S49,"")</f>
        <v/>
      </c>
      <c r="R59" s="153"/>
      <c r="T59" s="36"/>
    </row>
    <row r="60" spans="1:20" x14ac:dyDescent="0.25">
      <c r="A60" s="67" t="str">
        <f t="shared" ca="1" si="3"/>
        <v/>
      </c>
      <c r="B60" s="268" t="str">
        <f t="shared" ca="1" si="4"/>
        <v xml:space="preserve"> </v>
      </c>
      <c r="C60" s="269" t="str">
        <f t="shared" ca="1" si="5"/>
        <v/>
      </c>
      <c r="D60" s="332" t="str">
        <f t="shared" ca="1" si="6"/>
        <v/>
      </c>
      <c r="E60" s="153"/>
      <c r="F60" s="153"/>
      <c r="G60" s="153"/>
      <c r="H60" s="153"/>
      <c r="I60" s="153"/>
      <c r="J60" s="153"/>
      <c r="K60" s="153"/>
      <c r="L60" s="153"/>
      <c r="M60" s="153"/>
      <c r="N60" s="153"/>
      <c r="O60" s="153"/>
      <c r="P60" s="269" t="str">
        <f ca="1">IF('Planned background (hide)'!B49&lt;Num_Modalities,IF($C$6="Overall",O60,SUM(OFFSET($E60,0,0,1,Num_Modalities))),"")</f>
        <v/>
      </c>
      <c r="Q60" s="273" t="str">
        <f ca="1">IF(AND('Planned background (hide)'!B49&lt;Num_Modalities,R60&lt;&gt;"Yes"),'Planned background (hide)'!S50,"")</f>
        <v/>
      </c>
      <c r="R60" s="153"/>
      <c r="T60" s="36"/>
    </row>
    <row r="61" spans="1:20" x14ac:dyDescent="0.25">
      <c r="A61" s="67" t="str">
        <f t="shared" ca="1" si="3"/>
        <v/>
      </c>
      <c r="B61" s="268" t="str">
        <f t="shared" ca="1" si="4"/>
        <v xml:space="preserve"> </v>
      </c>
      <c r="C61" s="269" t="str">
        <f t="shared" ca="1" si="5"/>
        <v/>
      </c>
      <c r="D61" s="332" t="str">
        <f t="shared" ca="1" si="6"/>
        <v/>
      </c>
      <c r="E61" s="153"/>
      <c r="F61" s="153"/>
      <c r="G61" s="153"/>
      <c r="H61" s="153"/>
      <c r="I61" s="153"/>
      <c r="J61" s="153"/>
      <c r="K61" s="153"/>
      <c r="L61" s="153"/>
      <c r="M61" s="153"/>
      <c r="N61" s="153"/>
      <c r="O61" s="153"/>
      <c r="P61" s="269" t="str">
        <f ca="1">IF('Planned background (hide)'!B50&lt;Num_Modalities,IF($C$6="Overall",O61,SUM(OFFSET($E61,0,0,1,Num_Modalities))),"")</f>
        <v/>
      </c>
      <c r="Q61" s="273" t="str">
        <f ca="1">IF(AND('Planned background (hide)'!B50&lt;Num_Modalities,R61&lt;&gt;"Yes"),'Planned background (hide)'!S51,"")</f>
        <v/>
      </c>
      <c r="R61" s="153"/>
      <c r="T61" s="36"/>
    </row>
    <row r="62" spans="1:20" x14ac:dyDescent="0.25">
      <c r="A62" s="67" t="str">
        <f t="shared" ca="1" si="3"/>
        <v/>
      </c>
      <c r="B62" s="268" t="str">
        <f t="shared" ca="1" si="4"/>
        <v xml:space="preserve"> </v>
      </c>
      <c r="C62" s="269" t="str">
        <f t="shared" ca="1" si="5"/>
        <v/>
      </c>
      <c r="D62" s="332" t="str">
        <f t="shared" ca="1" si="6"/>
        <v/>
      </c>
      <c r="E62" s="153"/>
      <c r="F62" s="153"/>
      <c r="G62" s="153"/>
      <c r="H62" s="153"/>
      <c r="I62" s="153"/>
      <c r="J62" s="153"/>
      <c r="K62" s="153"/>
      <c r="L62" s="153"/>
      <c r="M62" s="153"/>
      <c r="N62" s="153"/>
      <c r="O62" s="153"/>
      <c r="P62" s="269" t="str">
        <f ca="1">IF('Planned background (hide)'!B51&lt;Num_Modalities,IF($C$6="Overall",O62,SUM(OFFSET($E62,0,0,1,Num_Modalities))),"")</f>
        <v/>
      </c>
      <c r="Q62" s="273" t="str">
        <f ca="1">IF(AND('Planned background (hide)'!B51&lt;Num_Modalities,R62&lt;&gt;"Yes"),'Planned background (hide)'!S52,"")</f>
        <v/>
      </c>
      <c r="R62" s="153"/>
      <c r="T62" s="36"/>
    </row>
    <row r="63" spans="1:20" x14ac:dyDescent="0.25">
      <c r="A63" s="67" t="str">
        <f t="shared" ca="1" si="3"/>
        <v/>
      </c>
      <c r="B63" s="268" t="str">
        <f t="shared" ca="1" si="4"/>
        <v xml:space="preserve"> </v>
      </c>
      <c r="C63" s="269" t="str">
        <f t="shared" ca="1" si="5"/>
        <v/>
      </c>
      <c r="D63" s="332" t="str">
        <f t="shared" ca="1" si="6"/>
        <v/>
      </c>
      <c r="E63" s="153"/>
      <c r="F63" s="153"/>
      <c r="G63" s="153"/>
      <c r="H63" s="153"/>
      <c r="I63" s="153"/>
      <c r="J63" s="153"/>
      <c r="K63" s="153"/>
      <c r="L63" s="153"/>
      <c r="M63" s="153"/>
      <c r="N63" s="153"/>
      <c r="O63" s="153"/>
      <c r="P63" s="269" t="str">
        <f ca="1">IF('Planned background (hide)'!B52&lt;Num_Modalities,IF($C$6="Overall",O63,SUM(OFFSET($E63,0,0,1,Num_Modalities))),"")</f>
        <v/>
      </c>
      <c r="Q63" s="273" t="str">
        <f ca="1">IF(AND('Planned background (hide)'!B52&lt;Num_Modalities,R63&lt;&gt;"Yes"),'Planned background (hide)'!S53,"")</f>
        <v/>
      </c>
      <c r="R63" s="153"/>
      <c r="T63" s="36"/>
    </row>
    <row r="64" spans="1:20" x14ac:dyDescent="0.25">
      <c r="A64" s="67" t="str">
        <f t="shared" ca="1" si="3"/>
        <v/>
      </c>
      <c r="B64" s="268" t="str">
        <f t="shared" ca="1" si="4"/>
        <v xml:space="preserve"> </v>
      </c>
      <c r="C64" s="269" t="str">
        <f t="shared" ca="1" si="5"/>
        <v/>
      </c>
      <c r="D64" s="332" t="str">
        <f t="shared" ca="1" si="6"/>
        <v/>
      </c>
      <c r="E64" s="153"/>
      <c r="F64" s="153"/>
      <c r="G64" s="153"/>
      <c r="H64" s="153"/>
      <c r="I64" s="153"/>
      <c r="J64" s="153"/>
      <c r="K64" s="153"/>
      <c r="L64" s="153"/>
      <c r="M64" s="153"/>
      <c r="N64" s="153"/>
      <c r="O64" s="153"/>
      <c r="P64" s="269" t="str">
        <f ca="1">IF('Planned background (hide)'!B53&lt;Num_Modalities,IF($C$6="Overall",O64,SUM(OFFSET($E64,0,0,1,Num_Modalities))),"")</f>
        <v/>
      </c>
      <c r="Q64" s="273" t="str">
        <f ca="1">IF(AND('Planned background (hide)'!B53&lt;Num_Modalities,R64&lt;&gt;"Yes"),'Planned background (hide)'!S54,"")</f>
        <v/>
      </c>
      <c r="R64" s="153"/>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ob5FCrVwmdUJG46Eu8yKmwwQaZe31mL1OdE5RtvYDOZ/tQoMAz5PQIEyw8UQb6lT8nEIS+DYSe9ajeb+XLlfqw==" saltValue="wN9kEHs9uhRKy95MxXe1NA==" spinCount="100000" sheet="1" objects="1" scenarios="1"/>
  <mergeCells count="7">
    <mergeCell ref="C6:D6"/>
    <mergeCell ref="R10:R12"/>
    <mergeCell ref="B10:B12"/>
    <mergeCell ref="C10:C12"/>
    <mergeCell ref="D10:D12"/>
    <mergeCell ref="P10:P12"/>
    <mergeCell ref="Q10:Q12"/>
  </mergeCells>
  <conditionalFormatting sqref="B13:R64">
    <cfRule type="expression" dxfId="29"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2</v>
      </c>
      <c r="I1">
        <f ca="1">OFFSET('Demand background (hide)'!$BN$6,COLUMN(B1)-1,0,1,1)</f>
        <v>0</v>
      </c>
      <c r="J1">
        <f ca="1">OFFSET('Demand background (hide)'!$BN$6,COLUMN(C1)-1,0,1,1)</f>
        <v>0</v>
      </c>
      <c r="K1">
        <f ca="1">OFFSET('Demand background (hide)'!$BN$6,COLUMN(D1)-1,0,1,1)</f>
        <v>0</v>
      </c>
      <c r="L1">
        <f ca="1">OFFSET('Demand background (hide)'!$BN$6,COLUMN(E1)-1,0,1,1)</f>
        <v>0</v>
      </c>
      <c r="M1">
        <f ca="1">OFFSET('Demand background (hide)'!$BN$6,COLUMN(F1)-1,0,1,1)</f>
        <v>0</v>
      </c>
      <c r="N1">
        <f ca="1">OFFSET('Demand background (hide)'!$BN$6,COLUMN(G1)-1,0,1,1)</f>
        <v>0</v>
      </c>
      <c r="O1">
        <f ca="1">OFFSET('Demand background (hide)'!$BN$6,COLUMN(H1)-1,0,1,1)</f>
        <v>0</v>
      </c>
      <c r="P1">
        <f ca="1">OFFSET('Demand background (hide)'!$BN$6,COLUMN(I1)-1,0,1,1)</f>
        <v>0</v>
      </c>
      <c r="Q1">
        <f ca="1">OFFSET('Demand background (hide)'!$BN$6,COLUMN(J1)-1,0,1,1)</f>
        <v>0</v>
      </c>
      <c r="R1">
        <f ca="1">OFFSET('Demand background (hide)'!$BN$6,COLUMN(K1)-1,0,1,1)</f>
        <v>2</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9">
        <f>IF(MAX(F3:F54)=53,(WEEKNUM(G55,21)),53)</f>
        <v>53</v>
      </c>
      <c r="G55" s="298"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2" t="s">
        <v>20</v>
      </c>
    </row>
    <row r="11" spans="1:20" x14ac:dyDescent="0.25">
      <c r="C11" s="57"/>
    </row>
    <row r="12" spans="1:20" x14ac:dyDescent="0.25">
      <c r="A12" s="52" t="s">
        <v>196</v>
      </c>
      <c r="C12" s="212"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C3" sqref="C3"/>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6" t="s">
        <v>391</v>
      </c>
      <c r="C2" s="106"/>
      <c r="D2" s="72"/>
      <c r="E2" s="72"/>
      <c r="F2" s="72"/>
      <c r="G2" s="72"/>
      <c r="H2" s="72"/>
      <c r="I2" s="72"/>
      <c r="J2" s="72"/>
      <c r="K2" s="72"/>
      <c r="L2" s="72"/>
      <c r="M2" s="72"/>
      <c r="N2" s="72"/>
      <c r="O2" s="72"/>
      <c r="P2" s="72"/>
      <c r="Q2" s="72"/>
      <c r="R2" s="72"/>
      <c r="S2" s="72"/>
      <c r="T2" s="72"/>
      <c r="U2" s="72"/>
    </row>
    <row r="3" spans="1:22" s="52" customFormat="1" x14ac:dyDescent="0.25">
      <c r="B3" s="72" t="s">
        <v>474</v>
      </c>
      <c r="C3" s="348">
        <f>'Demand adjustments for Covid'!F12</f>
        <v>43934</v>
      </c>
      <c r="D3" s="72"/>
      <c r="F3" s="72"/>
      <c r="G3" s="72"/>
      <c r="H3" s="72"/>
      <c r="I3" s="72"/>
      <c r="J3" s="72"/>
      <c r="K3" s="72"/>
      <c r="L3" s="72"/>
      <c r="M3" s="72"/>
      <c r="N3" s="72"/>
      <c r="O3" s="72"/>
      <c r="P3" s="72"/>
      <c r="Q3" s="72"/>
      <c r="R3" s="72"/>
      <c r="S3" s="72"/>
      <c r="T3" s="72"/>
      <c r="U3" s="72"/>
    </row>
    <row r="4" spans="1:22" x14ac:dyDescent="0.25">
      <c r="B4" t="s">
        <v>437</v>
      </c>
      <c r="C4" s="270">
        <f>IF(C3="","",DATE(YEAR(C3)+1,MONTH(C3),DAY(C3))-1)</f>
        <v>44298</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7" t="s">
        <v>438</v>
      </c>
      <c r="C6" s="117"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8" t="s">
        <v>469</v>
      </c>
      <c r="C9" s="118"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9" t="s">
        <v>490</v>
      </c>
      <c r="C11" s="170" t="s">
        <v>23</v>
      </c>
      <c r="D11" s="227" t="str">
        <f ca="1">"On aggregate, 1 patient = "&amp;TEXT('Demand background (hide)'!$BN$16,"#.#")&amp;" "&amp;Setup!$I$17</f>
        <v>On aggregate, 1 patient = 2. Points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97" t="s">
        <v>440</v>
      </c>
      <c r="C13" s="397"/>
      <c r="D13" s="73"/>
      <c r="E13" s="73"/>
      <c r="F13" s="73"/>
      <c r="G13" s="73"/>
      <c r="H13" s="73"/>
      <c r="I13" s="73"/>
      <c r="J13" s="72"/>
      <c r="K13" s="72"/>
      <c r="L13" s="72"/>
      <c r="M13" s="72"/>
      <c r="N13" s="72"/>
      <c r="O13" s="72"/>
      <c r="P13" s="72"/>
      <c r="Q13" s="72"/>
      <c r="R13" s="72"/>
      <c r="S13" s="72"/>
      <c r="T13" s="72"/>
      <c r="U13" s="72"/>
    </row>
    <row r="14" spans="1:22" x14ac:dyDescent="0.25">
      <c r="B14" s="119" t="s">
        <v>434</v>
      </c>
      <c r="C14" s="75"/>
      <c r="D14" s="72"/>
      <c r="E14" s="72"/>
      <c r="F14" s="72"/>
      <c r="G14" s="72"/>
      <c r="H14" s="72"/>
      <c r="I14" s="72"/>
      <c r="J14" s="67"/>
      <c r="K14" s="67"/>
      <c r="L14" s="67"/>
      <c r="M14" s="67"/>
      <c r="N14" s="120" t="s">
        <v>436</v>
      </c>
      <c r="O14" s="72"/>
      <c r="P14" s="72"/>
      <c r="Q14" s="72"/>
      <c r="R14" s="72"/>
      <c r="S14" s="72"/>
      <c r="T14" s="72"/>
      <c r="U14" s="72"/>
    </row>
    <row r="15" spans="1:22" x14ac:dyDescent="0.25">
      <c r="A15" s="227"/>
      <c r="B15" s="72"/>
      <c r="C15" s="72"/>
      <c r="D15" s="72"/>
      <c r="E15" s="72"/>
      <c r="F15" s="72"/>
      <c r="G15" s="71"/>
      <c r="H15" s="226">
        <f>SUM(H17:H116)</f>
        <v>8400</v>
      </c>
      <c r="I15" s="226">
        <f>H15/52</f>
        <v>161.53846153846155</v>
      </c>
      <c r="J15" s="67"/>
      <c r="K15" s="67"/>
      <c r="L15" s="67"/>
      <c r="M15" s="67"/>
      <c r="N15" s="72"/>
      <c r="O15" s="72"/>
      <c r="P15" s="72"/>
      <c r="Q15" s="72"/>
      <c r="R15" s="120" t="s">
        <v>255</v>
      </c>
      <c r="S15" s="120"/>
      <c r="T15" s="225">
        <f>SUM(T17:T116)</f>
        <v>0</v>
      </c>
      <c r="U15" s="225">
        <f>SUM(U17:U116)</f>
        <v>0</v>
      </c>
    </row>
    <row r="16" spans="1:22" ht="44.25" customHeight="1" x14ac:dyDescent="0.25">
      <c r="A16" s="294">
        <f>MAX(A17:A116)</f>
        <v>1</v>
      </c>
      <c r="B16" s="296" t="s">
        <v>512</v>
      </c>
      <c r="C16" s="296" t="s">
        <v>513</v>
      </c>
      <c r="D16" s="296" t="s">
        <v>514</v>
      </c>
      <c r="E16" s="296" t="s">
        <v>253</v>
      </c>
      <c r="F16" s="296" t="str">
        <f>C11&amp;" Per Clinic"</f>
        <v>Points Per Clinic</v>
      </c>
      <c r="G16" s="296" t="s">
        <v>441</v>
      </c>
      <c r="H16" s="296" t="str">
        <f>"Total 
("&amp;$C$11&amp;")"</f>
        <v>Total 
(Points)</v>
      </c>
      <c r="I16" s="296" t="s">
        <v>254</v>
      </c>
      <c r="J16" s="67"/>
      <c r="K16" s="67"/>
      <c r="L16" s="67"/>
      <c r="M16" s="295">
        <f>MAX(M17:M116)</f>
        <v>1</v>
      </c>
      <c r="N16" s="297" t="s">
        <v>512</v>
      </c>
      <c r="O16" s="297" t="s">
        <v>513</v>
      </c>
      <c r="P16" s="297" t="s">
        <v>514</v>
      </c>
      <c r="Q16" s="297" t="s">
        <v>253</v>
      </c>
      <c r="R16" s="297" t="str">
        <f>C11&amp;" Per Clinic"</f>
        <v>Points Per Clinic</v>
      </c>
      <c r="S16" s="297" t="s">
        <v>441</v>
      </c>
      <c r="T16" s="297" t="str">
        <f>"Total 
("&amp;C11&amp;")"</f>
        <v>Total 
(Points)</v>
      </c>
      <c r="U16" s="297" t="s">
        <v>254</v>
      </c>
      <c r="V16" s="317" t="s">
        <v>1118</v>
      </c>
    </row>
    <row r="17" spans="1:22" x14ac:dyDescent="0.25">
      <c r="A17" s="294">
        <f>IF(B17&lt;&gt;"",ROW(A1),0)</f>
        <v>1</v>
      </c>
      <c r="B17" s="164" t="s">
        <v>1212</v>
      </c>
      <c r="C17" s="164"/>
      <c r="D17" s="164"/>
      <c r="E17" s="176">
        <v>42</v>
      </c>
      <c r="F17" s="176">
        <v>200</v>
      </c>
      <c r="G17" s="131"/>
      <c r="H17" s="223">
        <f>IF(ROW(A1)&lt;=$A$16,F17*E17,"")</f>
        <v>8400</v>
      </c>
      <c r="I17" s="301">
        <f>IFERROR(H17/52,"")</f>
        <v>161.53846153846155</v>
      </c>
      <c r="J17" s="67"/>
      <c r="K17" s="67"/>
      <c r="L17" s="67"/>
      <c r="M17" s="295">
        <f>IF(N17&lt;&gt;"",ROW(A1),0)</f>
        <v>1</v>
      </c>
      <c r="N17" s="177" t="s">
        <v>1213</v>
      </c>
      <c r="O17" s="177"/>
      <c r="P17" s="177"/>
      <c r="Q17" s="178"/>
      <c r="R17" s="178"/>
      <c r="S17" s="132"/>
      <c r="T17" s="224">
        <f>IF(ROW(A1)&lt;=$M$16,R17*Q17,"")</f>
        <v>0</v>
      </c>
      <c r="U17" s="302">
        <f>IFERROR(T17/52,"")</f>
        <v>0</v>
      </c>
      <c r="V17" s="326"/>
    </row>
    <row r="18" spans="1:22" x14ac:dyDescent="0.25">
      <c r="A18" s="294">
        <f t="shared" ref="A18:A81" si="0">IF(B18&lt;&gt;"",ROW(A2),0)</f>
        <v>0</v>
      </c>
      <c r="B18" s="164"/>
      <c r="C18" s="164"/>
      <c r="D18" s="164"/>
      <c r="E18" s="176"/>
      <c r="F18" s="176"/>
      <c r="G18" s="131"/>
      <c r="H18" s="223" t="str">
        <f t="shared" ref="H18:H81" si="1">IF(ROW(A2)&lt;=$A$16,F18*E18,"")</f>
        <v/>
      </c>
      <c r="I18" s="301" t="str">
        <f t="shared" ref="I18:I81" si="2">IFERROR(H18/52,"")</f>
        <v/>
      </c>
      <c r="J18" s="67"/>
      <c r="K18" s="67"/>
      <c r="L18" s="67"/>
      <c r="M18" s="295">
        <f t="shared" ref="M18:M81" si="3">IF(N18&lt;&gt;"",ROW(A2),0)</f>
        <v>0</v>
      </c>
      <c r="N18" s="164"/>
      <c r="O18" s="164"/>
      <c r="P18" s="164"/>
      <c r="Q18" s="176"/>
      <c r="R18" s="176"/>
      <c r="S18" s="131"/>
      <c r="T18" s="224" t="str">
        <f t="shared" ref="T18:T81" si="4">IF(ROW(A2)&lt;=$M$16,R18*Q18,"")</f>
        <v/>
      </c>
      <c r="U18" s="301" t="str">
        <f t="shared" ref="U18:U81" si="5">IFERROR(T18/52,"")</f>
        <v/>
      </c>
      <c r="V18" s="326"/>
    </row>
    <row r="19" spans="1:22" x14ac:dyDescent="0.25">
      <c r="A19" s="294">
        <f t="shared" si="0"/>
        <v>0</v>
      </c>
      <c r="B19" s="164"/>
      <c r="C19" s="164"/>
      <c r="D19" s="164"/>
      <c r="E19" s="176"/>
      <c r="F19" s="176"/>
      <c r="G19" s="131"/>
      <c r="H19" s="223" t="str">
        <f t="shared" si="1"/>
        <v/>
      </c>
      <c r="I19" s="301" t="str">
        <f t="shared" si="2"/>
        <v/>
      </c>
      <c r="J19" s="67"/>
      <c r="K19" s="67"/>
      <c r="L19" s="67"/>
      <c r="M19" s="295">
        <f t="shared" si="3"/>
        <v>0</v>
      </c>
      <c r="N19" s="164"/>
      <c r="O19" s="164"/>
      <c r="P19" s="164"/>
      <c r="Q19" s="176"/>
      <c r="R19" s="176"/>
      <c r="S19" s="131"/>
      <c r="T19" s="224" t="str">
        <f t="shared" si="4"/>
        <v/>
      </c>
      <c r="U19" s="223" t="str">
        <f t="shared" si="5"/>
        <v/>
      </c>
      <c r="V19" s="327"/>
    </row>
    <row r="20" spans="1:22" x14ac:dyDescent="0.25">
      <c r="A20" s="294">
        <f t="shared" si="0"/>
        <v>0</v>
      </c>
      <c r="B20" s="164"/>
      <c r="C20" s="164"/>
      <c r="D20" s="164"/>
      <c r="E20" s="176"/>
      <c r="F20" s="176"/>
      <c r="G20" s="131"/>
      <c r="H20" s="223" t="str">
        <f t="shared" si="1"/>
        <v/>
      </c>
      <c r="I20" s="301" t="str">
        <f t="shared" si="2"/>
        <v/>
      </c>
      <c r="J20" s="67"/>
      <c r="K20" s="67"/>
      <c r="L20" s="67"/>
      <c r="M20" s="295">
        <f t="shared" si="3"/>
        <v>0</v>
      </c>
      <c r="N20" s="164"/>
      <c r="O20" s="164"/>
      <c r="P20" s="164"/>
      <c r="Q20" s="176"/>
      <c r="R20" s="176"/>
      <c r="S20" s="131"/>
      <c r="T20" s="224" t="str">
        <f t="shared" si="4"/>
        <v/>
      </c>
      <c r="U20" s="223" t="str">
        <f t="shared" si="5"/>
        <v/>
      </c>
      <c r="V20" s="327"/>
    </row>
    <row r="21" spans="1:22" x14ac:dyDescent="0.25">
      <c r="A21" s="294">
        <f t="shared" si="0"/>
        <v>0</v>
      </c>
      <c r="B21" s="316"/>
      <c r="C21" s="164"/>
      <c r="D21" s="164"/>
      <c r="E21" s="176"/>
      <c r="F21" s="176"/>
      <c r="G21" s="131"/>
      <c r="H21" s="223" t="str">
        <f t="shared" si="1"/>
        <v/>
      </c>
      <c r="I21" s="223" t="str">
        <f t="shared" si="2"/>
        <v/>
      </c>
      <c r="J21" s="67"/>
      <c r="K21" s="67"/>
      <c r="L21" s="67"/>
      <c r="M21" s="295">
        <f t="shared" si="3"/>
        <v>0</v>
      </c>
      <c r="N21" s="164"/>
      <c r="O21" s="164"/>
      <c r="P21" s="164"/>
      <c r="Q21" s="176"/>
      <c r="R21" s="176"/>
      <c r="S21" s="131"/>
      <c r="T21" s="224" t="str">
        <f t="shared" si="4"/>
        <v/>
      </c>
      <c r="U21" s="223" t="str">
        <f t="shared" si="5"/>
        <v/>
      </c>
      <c r="V21" s="327"/>
    </row>
    <row r="22" spans="1:22" x14ac:dyDescent="0.25">
      <c r="A22" s="294">
        <f t="shared" si="0"/>
        <v>0</v>
      </c>
      <c r="B22" s="164"/>
      <c r="C22" s="164"/>
      <c r="D22" s="164"/>
      <c r="E22" s="176"/>
      <c r="F22" s="176"/>
      <c r="G22" s="131"/>
      <c r="H22" s="223" t="str">
        <f t="shared" si="1"/>
        <v/>
      </c>
      <c r="I22" s="223" t="str">
        <f t="shared" si="2"/>
        <v/>
      </c>
      <c r="J22" s="67"/>
      <c r="K22" s="67"/>
      <c r="L22" s="67"/>
      <c r="M22" s="295">
        <f t="shared" si="3"/>
        <v>0</v>
      </c>
      <c r="N22" s="164"/>
      <c r="O22" s="164"/>
      <c r="P22" s="164"/>
      <c r="Q22" s="176"/>
      <c r="R22" s="176"/>
      <c r="S22" s="131"/>
      <c r="T22" s="224" t="str">
        <f t="shared" si="4"/>
        <v/>
      </c>
      <c r="U22" s="223" t="str">
        <f t="shared" si="5"/>
        <v/>
      </c>
      <c r="V22" s="327"/>
    </row>
    <row r="23" spans="1:22" x14ac:dyDescent="0.25">
      <c r="A23" s="294">
        <f t="shared" si="0"/>
        <v>0</v>
      </c>
      <c r="B23" s="164"/>
      <c r="C23" s="164"/>
      <c r="D23" s="164"/>
      <c r="E23" s="176"/>
      <c r="F23" s="176"/>
      <c r="G23" s="131"/>
      <c r="H23" s="223" t="str">
        <f t="shared" si="1"/>
        <v/>
      </c>
      <c r="I23" s="223" t="str">
        <f t="shared" si="2"/>
        <v/>
      </c>
      <c r="J23" s="67"/>
      <c r="K23" s="67"/>
      <c r="L23" s="67"/>
      <c r="M23" s="295">
        <f t="shared" si="3"/>
        <v>0</v>
      </c>
      <c r="N23" s="164"/>
      <c r="O23" s="164"/>
      <c r="P23" s="164"/>
      <c r="Q23" s="176"/>
      <c r="R23" s="176"/>
      <c r="S23" s="131"/>
      <c r="T23" s="224" t="str">
        <f t="shared" si="4"/>
        <v/>
      </c>
      <c r="U23" s="223" t="str">
        <f t="shared" si="5"/>
        <v/>
      </c>
      <c r="V23" s="327"/>
    </row>
    <row r="24" spans="1:22" x14ac:dyDescent="0.25">
      <c r="A24" s="294">
        <f t="shared" si="0"/>
        <v>0</v>
      </c>
      <c r="B24" s="164"/>
      <c r="C24" s="164"/>
      <c r="D24" s="164"/>
      <c r="E24" s="176"/>
      <c r="F24" s="176"/>
      <c r="G24" s="131"/>
      <c r="H24" s="223" t="str">
        <f t="shared" si="1"/>
        <v/>
      </c>
      <c r="I24" s="223" t="str">
        <f t="shared" si="2"/>
        <v/>
      </c>
      <c r="J24" s="67"/>
      <c r="K24" s="67"/>
      <c r="L24" s="67"/>
      <c r="M24" s="295">
        <f t="shared" si="3"/>
        <v>0</v>
      </c>
      <c r="N24" s="164"/>
      <c r="O24" s="164"/>
      <c r="P24" s="164"/>
      <c r="Q24" s="176"/>
      <c r="R24" s="176"/>
      <c r="S24" s="131"/>
      <c r="T24" s="224" t="str">
        <f t="shared" si="4"/>
        <v/>
      </c>
      <c r="U24" s="223" t="str">
        <f t="shared" si="5"/>
        <v/>
      </c>
      <c r="V24" s="327"/>
    </row>
    <row r="25" spans="1:22" x14ac:dyDescent="0.25">
      <c r="A25" s="294">
        <f t="shared" si="0"/>
        <v>0</v>
      </c>
      <c r="B25" s="164"/>
      <c r="C25" s="164"/>
      <c r="D25" s="164"/>
      <c r="E25" s="176"/>
      <c r="F25" s="176"/>
      <c r="G25" s="131"/>
      <c r="H25" s="223" t="str">
        <f t="shared" si="1"/>
        <v/>
      </c>
      <c r="I25" s="223" t="str">
        <f t="shared" si="2"/>
        <v/>
      </c>
      <c r="J25" s="67"/>
      <c r="K25" s="67"/>
      <c r="L25" s="67"/>
      <c r="M25" s="295">
        <f t="shared" si="3"/>
        <v>0</v>
      </c>
      <c r="N25" s="164"/>
      <c r="O25" s="164"/>
      <c r="P25" s="164"/>
      <c r="Q25" s="176"/>
      <c r="R25" s="176"/>
      <c r="S25" s="131"/>
      <c r="T25" s="224" t="str">
        <f t="shared" si="4"/>
        <v/>
      </c>
      <c r="U25" s="223" t="str">
        <f t="shared" si="5"/>
        <v/>
      </c>
      <c r="V25" s="327"/>
    </row>
    <row r="26" spans="1:22" x14ac:dyDescent="0.25">
      <c r="A26" s="294">
        <f t="shared" si="0"/>
        <v>0</v>
      </c>
      <c r="B26" s="164"/>
      <c r="C26" s="164"/>
      <c r="D26" s="164"/>
      <c r="E26" s="176"/>
      <c r="F26" s="176"/>
      <c r="G26" s="131"/>
      <c r="H26" s="223" t="str">
        <f t="shared" si="1"/>
        <v/>
      </c>
      <c r="I26" s="223" t="str">
        <f t="shared" si="2"/>
        <v/>
      </c>
      <c r="J26" s="67"/>
      <c r="K26" s="67"/>
      <c r="L26" s="67"/>
      <c r="M26" s="295">
        <f t="shared" si="3"/>
        <v>0</v>
      </c>
      <c r="N26" s="164"/>
      <c r="O26" s="164"/>
      <c r="P26" s="164"/>
      <c r="Q26" s="176"/>
      <c r="R26" s="176"/>
      <c r="S26" s="131"/>
      <c r="T26" s="224" t="str">
        <f t="shared" si="4"/>
        <v/>
      </c>
      <c r="U26" s="223" t="str">
        <f t="shared" si="5"/>
        <v/>
      </c>
      <c r="V26" s="327"/>
    </row>
    <row r="27" spans="1:22" x14ac:dyDescent="0.25">
      <c r="A27" s="294">
        <f t="shared" si="0"/>
        <v>0</v>
      </c>
      <c r="B27" s="164"/>
      <c r="C27" s="164"/>
      <c r="D27" s="164"/>
      <c r="E27" s="176"/>
      <c r="F27" s="176"/>
      <c r="G27" s="131"/>
      <c r="H27" s="223" t="str">
        <f t="shared" si="1"/>
        <v/>
      </c>
      <c r="I27" s="223" t="str">
        <f t="shared" si="2"/>
        <v/>
      </c>
      <c r="J27" s="67"/>
      <c r="K27" s="67"/>
      <c r="L27" s="67"/>
      <c r="M27" s="295">
        <f t="shared" si="3"/>
        <v>0</v>
      </c>
      <c r="N27" s="164"/>
      <c r="O27" s="164"/>
      <c r="P27" s="164"/>
      <c r="Q27" s="176"/>
      <c r="R27" s="176"/>
      <c r="S27" s="131"/>
      <c r="T27" s="224" t="str">
        <f t="shared" si="4"/>
        <v/>
      </c>
      <c r="U27" s="223" t="str">
        <f t="shared" si="5"/>
        <v/>
      </c>
      <c r="V27" s="327"/>
    </row>
    <row r="28" spans="1:22" x14ac:dyDescent="0.25">
      <c r="A28" s="294">
        <f t="shared" si="0"/>
        <v>0</v>
      </c>
      <c r="B28" s="164"/>
      <c r="C28" s="164"/>
      <c r="D28" s="164"/>
      <c r="E28" s="176"/>
      <c r="F28" s="176"/>
      <c r="G28" s="131"/>
      <c r="H28" s="223" t="str">
        <f t="shared" si="1"/>
        <v/>
      </c>
      <c r="I28" s="223" t="str">
        <f t="shared" si="2"/>
        <v/>
      </c>
      <c r="J28" s="67"/>
      <c r="K28" s="67"/>
      <c r="L28" s="67"/>
      <c r="M28" s="295">
        <f t="shared" si="3"/>
        <v>0</v>
      </c>
      <c r="N28" s="164"/>
      <c r="O28" s="164"/>
      <c r="P28" s="164"/>
      <c r="Q28" s="176"/>
      <c r="R28" s="176"/>
      <c r="S28" s="131"/>
      <c r="T28" s="224" t="str">
        <f t="shared" si="4"/>
        <v/>
      </c>
      <c r="U28" s="223" t="str">
        <f t="shared" si="5"/>
        <v/>
      </c>
      <c r="V28" s="327"/>
    </row>
    <row r="29" spans="1:22" x14ac:dyDescent="0.25">
      <c r="A29" s="294">
        <f t="shared" si="0"/>
        <v>0</v>
      </c>
      <c r="B29" s="164"/>
      <c r="C29" s="164"/>
      <c r="D29" s="164"/>
      <c r="E29" s="176"/>
      <c r="F29" s="176"/>
      <c r="G29" s="131"/>
      <c r="H29" s="223" t="str">
        <f t="shared" si="1"/>
        <v/>
      </c>
      <c r="I29" s="223" t="str">
        <f t="shared" si="2"/>
        <v/>
      </c>
      <c r="J29" s="67"/>
      <c r="K29" s="67"/>
      <c r="L29" s="67"/>
      <c r="M29" s="295">
        <f t="shared" si="3"/>
        <v>0</v>
      </c>
      <c r="N29" s="164"/>
      <c r="O29" s="164"/>
      <c r="P29" s="164"/>
      <c r="Q29" s="176"/>
      <c r="R29" s="176"/>
      <c r="S29" s="131"/>
      <c r="T29" s="224" t="str">
        <f t="shared" si="4"/>
        <v/>
      </c>
      <c r="U29" s="223" t="str">
        <f t="shared" si="5"/>
        <v/>
      </c>
      <c r="V29" s="327"/>
    </row>
    <row r="30" spans="1:22" x14ac:dyDescent="0.25">
      <c r="A30" s="294">
        <f t="shared" si="0"/>
        <v>0</v>
      </c>
      <c r="B30" s="164"/>
      <c r="C30" s="164"/>
      <c r="D30" s="164"/>
      <c r="E30" s="176"/>
      <c r="F30" s="176"/>
      <c r="G30" s="131"/>
      <c r="H30" s="223" t="str">
        <f t="shared" si="1"/>
        <v/>
      </c>
      <c r="I30" s="223" t="str">
        <f t="shared" si="2"/>
        <v/>
      </c>
      <c r="J30" s="67"/>
      <c r="K30" s="67"/>
      <c r="L30" s="67"/>
      <c r="M30" s="295">
        <f t="shared" si="3"/>
        <v>0</v>
      </c>
      <c r="N30" s="164"/>
      <c r="O30" s="164"/>
      <c r="P30" s="164"/>
      <c r="Q30" s="176"/>
      <c r="R30" s="176"/>
      <c r="S30" s="131"/>
      <c r="T30" s="224" t="str">
        <f t="shared" si="4"/>
        <v/>
      </c>
      <c r="U30" s="223" t="str">
        <f t="shared" si="5"/>
        <v/>
      </c>
      <c r="V30" s="327"/>
    </row>
    <row r="31" spans="1:22" x14ac:dyDescent="0.25">
      <c r="A31" s="294">
        <f t="shared" si="0"/>
        <v>0</v>
      </c>
      <c r="B31" s="164"/>
      <c r="C31" s="164"/>
      <c r="D31" s="164"/>
      <c r="E31" s="176"/>
      <c r="F31" s="176"/>
      <c r="G31" s="131"/>
      <c r="H31" s="223" t="str">
        <f t="shared" si="1"/>
        <v/>
      </c>
      <c r="I31" s="223" t="str">
        <f t="shared" si="2"/>
        <v/>
      </c>
      <c r="J31" s="67"/>
      <c r="K31" s="67"/>
      <c r="L31" s="67"/>
      <c r="M31" s="295">
        <f t="shared" si="3"/>
        <v>0</v>
      </c>
      <c r="N31" s="164"/>
      <c r="O31" s="164"/>
      <c r="P31" s="164"/>
      <c r="Q31" s="176"/>
      <c r="R31" s="176"/>
      <c r="S31" s="131"/>
      <c r="T31" s="224" t="str">
        <f t="shared" si="4"/>
        <v/>
      </c>
      <c r="U31" s="223" t="str">
        <f t="shared" si="5"/>
        <v/>
      </c>
      <c r="V31" s="327"/>
    </row>
    <row r="32" spans="1:22" x14ac:dyDescent="0.25">
      <c r="A32" s="294">
        <f t="shared" si="0"/>
        <v>0</v>
      </c>
      <c r="B32" s="164"/>
      <c r="C32" s="164"/>
      <c r="D32" s="164"/>
      <c r="E32" s="176"/>
      <c r="F32" s="176"/>
      <c r="G32" s="131"/>
      <c r="H32" s="223" t="str">
        <f t="shared" si="1"/>
        <v/>
      </c>
      <c r="I32" s="223" t="str">
        <f t="shared" si="2"/>
        <v/>
      </c>
      <c r="J32" s="67"/>
      <c r="K32" s="67"/>
      <c r="L32" s="67"/>
      <c r="M32" s="295">
        <f t="shared" si="3"/>
        <v>0</v>
      </c>
      <c r="N32" s="164"/>
      <c r="O32" s="164"/>
      <c r="P32" s="164"/>
      <c r="Q32" s="176"/>
      <c r="R32" s="176"/>
      <c r="S32" s="131"/>
      <c r="T32" s="224" t="str">
        <f t="shared" si="4"/>
        <v/>
      </c>
      <c r="U32" s="223" t="str">
        <f t="shared" si="5"/>
        <v/>
      </c>
      <c r="V32" s="327"/>
    </row>
    <row r="33" spans="1:22" x14ac:dyDescent="0.25">
      <c r="A33" s="294">
        <f t="shared" si="0"/>
        <v>0</v>
      </c>
      <c r="B33" s="164"/>
      <c r="C33" s="164"/>
      <c r="D33" s="164"/>
      <c r="E33" s="176"/>
      <c r="F33" s="176"/>
      <c r="G33" s="131"/>
      <c r="H33" s="223" t="str">
        <f t="shared" si="1"/>
        <v/>
      </c>
      <c r="I33" s="223" t="str">
        <f t="shared" si="2"/>
        <v/>
      </c>
      <c r="J33" s="67"/>
      <c r="K33" s="67"/>
      <c r="L33" s="67"/>
      <c r="M33" s="295">
        <f t="shared" si="3"/>
        <v>0</v>
      </c>
      <c r="N33" s="164"/>
      <c r="O33" s="164"/>
      <c r="P33" s="164"/>
      <c r="Q33" s="176"/>
      <c r="R33" s="176"/>
      <c r="S33" s="131"/>
      <c r="T33" s="224" t="str">
        <f t="shared" si="4"/>
        <v/>
      </c>
      <c r="U33" s="223" t="str">
        <f t="shared" si="5"/>
        <v/>
      </c>
      <c r="V33" s="327"/>
    </row>
    <row r="34" spans="1:22" x14ac:dyDescent="0.25">
      <c r="A34" s="294">
        <f t="shared" si="0"/>
        <v>0</v>
      </c>
      <c r="B34" s="164"/>
      <c r="C34" s="164"/>
      <c r="D34" s="164"/>
      <c r="E34" s="176"/>
      <c r="F34" s="176"/>
      <c r="G34" s="131"/>
      <c r="H34" s="223" t="str">
        <f t="shared" si="1"/>
        <v/>
      </c>
      <c r="I34" s="223" t="str">
        <f t="shared" si="2"/>
        <v/>
      </c>
      <c r="J34" s="67"/>
      <c r="K34" s="67"/>
      <c r="L34" s="67"/>
      <c r="M34" s="295">
        <f t="shared" si="3"/>
        <v>0</v>
      </c>
      <c r="N34" s="164"/>
      <c r="O34" s="164"/>
      <c r="P34" s="164"/>
      <c r="Q34" s="176"/>
      <c r="R34" s="176"/>
      <c r="S34" s="131"/>
      <c r="T34" s="224" t="str">
        <f t="shared" si="4"/>
        <v/>
      </c>
      <c r="U34" s="223" t="str">
        <f t="shared" si="5"/>
        <v/>
      </c>
      <c r="V34" s="327"/>
    </row>
    <row r="35" spans="1:22" x14ac:dyDescent="0.25">
      <c r="A35" s="294">
        <f t="shared" si="0"/>
        <v>0</v>
      </c>
      <c r="B35" s="164"/>
      <c r="C35" s="164"/>
      <c r="D35" s="164"/>
      <c r="E35" s="176"/>
      <c r="F35" s="176"/>
      <c r="G35" s="131"/>
      <c r="H35" s="223" t="str">
        <f t="shared" si="1"/>
        <v/>
      </c>
      <c r="I35" s="223" t="str">
        <f t="shared" si="2"/>
        <v/>
      </c>
      <c r="J35" s="67"/>
      <c r="K35" s="67"/>
      <c r="L35" s="67"/>
      <c r="M35" s="295">
        <f t="shared" si="3"/>
        <v>0</v>
      </c>
      <c r="N35" s="164"/>
      <c r="O35" s="164"/>
      <c r="P35" s="164"/>
      <c r="Q35" s="176"/>
      <c r="R35" s="176"/>
      <c r="S35" s="131"/>
      <c r="T35" s="224" t="str">
        <f t="shared" si="4"/>
        <v/>
      </c>
      <c r="U35" s="223" t="str">
        <f t="shared" si="5"/>
        <v/>
      </c>
      <c r="V35" s="327"/>
    </row>
    <row r="36" spans="1:22" x14ac:dyDescent="0.25">
      <c r="A36" s="294">
        <f t="shared" si="0"/>
        <v>0</v>
      </c>
      <c r="B36" s="164"/>
      <c r="C36" s="164"/>
      <c r="D36" s="164"/>
      <c r="E36" s="176"/>
      <c r="F36" s="176"/>
      <c r="G36" s="131"/>
      <c r="H36" s="223" t="str">
        <f t="shared" si="1"/>
        <v/>
      </c>
      <c r="I36" s="223" t="str">
        <f t="shared" si="2"/>
        <v/>
      </c>
      <c r="J36" s="67"/>
      <c r="K36" s="67"/>
      <c r="L36" s="67"/>
      <c r="M36" s="295">
        <f t="shared" si="3"/>
        <v>0</v>
      </c>
      <c r="N36" s="164"/>
      <c r="O36" s="164"/>
      <c r="P36" s="164"/>
      <c r="Q36" s="176"/>
      <c r="R36" s="176"/>
      <c r="S36" s="131"/>
      <c r="T36" s="224" t="str">
        <f t="shared" si="4"/>
        <v/>
      </c>
      <c r="U36" s="223" t="str">
        <f t="shared" si="5"/>
        <v/>
      </c>
      <c r="V36" s="327"/>
    </row>
    <row r="37" spans="1:22" x14ac:dyDescent="0.25">
      <c r="A37" s="294">
        <f t="shared" si="0"/>
        <v>0</v>
      </c>
      <c r="B37" s="164"/>
      <c r="C37" s="164"/>
      <c r="D37" s="164"/>
      <c r="E37" s="176"/>
      <c r="F37" s="176"/>
      <c r="G37" s="131"/>
      <c r="H37" s="223" t="str">
        <f t="shared" si="1"/>
        <v/>
      </c>
      <c r="I37" s="223" t="str">
        <f t="shared" si="2"/>
        <v/>
      </c>
      <c r="J37" s="67"/>
      <c r="K37" s="67"/>
      <c r="L37" s="67"/>
      <c r="M37" s="295">
        <f t="shared" si="3"/>
        <v>0</v>
      </c>
      <c r="N37" s="164"/>
      <c r="O37" s="164"/>
      <c r="P37" s="164"/>
      <c r="Q37" s="176"/>
      <c r="R37" s="176"/>
      <c r="S37" s="131"/>
      <c r="T37" s="224" t="str">
        <f t="shared" si="4"/>
        <v/>
      </c>
      <c r="U37" s="223" t="str">
        <f t="shared" si="5"/>
        <v/>
      </c>
      <c r="V37" s="327"/>
    </row>
    <row r="38" spans="1:22" x14ac:dyDescent="0.25">
      <c r="A38" s="294">
        <f t="shared" si="0"/>
        <v>0</v>
      </c>
      <c r="B38" s="164"/>
      <c r="C38" s="164"/>
      <c r="D38" s="164"/>
      <c r="E38" s="176"/>
      <c r="F38" s="176"/>
      <c r="G38" s="131"/>
      <c r="H38" s="223" t="str">
        <f t="shared" si="1"/>
        <v/>
      </c>
      <c r="I38" s="223" t="str">
        <f t="shared" si="2"/>
        <v/>
      </c>
      <c r="J38" s="67"/>
      <c r="K38" s="67"/>
      <c r="L38" s="67"/>
      <c r="M38" s="295">
        <f t="shared" si="3"/>
        <v>0</v>
      </c>
      <c r="N38" s="164"/>
      <c r="O38" s="164"/>
      <c r="P38" s="164"/>
      <c r="Q38" s="176"/>
      <c r="R38" s="176"/>
      <c r="S38" s="131"/>
      <c r="T38" s="224" t="str">
        <f t="shared" si="4"/>
        <v/>
      </c>
      <c r="U38" s="223" t="str">
        <f t="shared" si="5"/>
        <v/>
      </c>
      <c r="V38" s="327"/>
    </row>
    <row r="39" spans="1:22" x14ac:dyDescent="0.25">
      <c r="A39" s="294">
        <f t="shared" si="0"/>
        <v>0</v>
      </c>
      <c r="B39" s="164"/>
      <c r="C39" s="164"/>
      <c r="D39" s="164"/>
      <c r="E39" s="176"/>
      <c r="F39" s="176"/>
      <c r="G39" s="131"/>
      <c r="H39" s="223" t="str">
        <f t="shared" si="1"/>
        <v/>
      </c>
      <c r="I39" s="223" t="str">
        <f t="shared" si="2"/>
        <v/>
      </c>
      <c r="J39" s="67"/>
      <c r="K39" s="67"/>
      <c r="L39" s="67"/>
      <c r="M39" s="295">
        <f t="shared" si="3"/>
        <v>0</v>
      </c>
      <c r="N39" s="164"/>
      <c r="O39" s="164"/>
      <c r="P39" s="164"/>
      <c r="Q39" s="176"/>
      <c r="R39" s="176"/>
      <c r="S39" s="131"/>
      <c r="T39" s="224" t="str">
        <f t="shared" si="4"/>
        <v/>
      </c>
      <c r="U39" s="223" t="str">
        <f t="shared" si="5"/>
        <v/>
      </c>
      <c r="V39" s="327"/>
    </row>
    <row r="40" spans="1:22" x14ac:dyDescent="0.25">
      <c r="A40" s="294">
        <f t="shared" si="0"/>
        <v>0</v>
      </c>
      <c r="B40" s="164"/>
      <c r="C40" s="164"/>
      <c r="D40" s="164"/>
      <c r="E40" s="176"/>
      <c r="F40" s="176"/>
      <c r="G40" s="131"/>
      <c r="H40" s="223" t="str">
        <f t="shared" si="1"/>
        <v/>
      </c>
      <c r="I40" s="223" t="str">
        <f t="shared" si="2"/>
        <v/>
      </c>
      <c r="J40" s="67"/>
      <c r="K40" s="67"/>
      <c r="L40" s="67"/>
      <c r="M40" s="295">
        <f t="shared" si="3"/>
        <v>0</v>
      </c>
      <c r="N40" s="164"/>
      <c r="O40" s="164"/>
      <c r="P40" s="164"/>
      <c r="Q40" s="176"/>
      <c r="R40" s="176"/>
      <c r="S40" s="131"/>
      <c r="T40" s="224" t="str">
        <f t="shared" si="4"/>
        <v/>
      </c>
      <c r="U40" s="223" t="str">
        <f t="shared" si="5"/>
        <v/>
      </c>
      <c r="V40" s="327"/>
    </row>
    <row r="41" spans="1:22" x14ac:dyDescent="0.25">
      <c r="A41" s="294">
        <f t="shared" si="0"/>
        <v>0</v>
      </c>
      <c r="B41" s="164"/>
      <c r="C41" s="164"/>
      <c r="D41" s="164"/>
      <c r="E41" s="176"/>
      <c r="F41" s="176"/>
      <c r="G41" s="131"/>
      <c r="H41" s="223" t="str">
        <f t="shared" si="1"/>
        <v/>
      </c>
      <c r="I41" s="223" t="str">
        <f t="shared" si="2"/>
        <v/>
      </c>
      <c r="J41" s="67"/>
      <c r="K41" s="67"/>
      <c r="L41" s="67"/>
      <c r="M41" s="295">
        <f t="shared" si="3"/>
        <v>0</v>
      </c>
      <c r="N41" s="164"/>
      <c r="O41" s="164"/>
      <c r="P41" s="164"/>
      <c r="Q41" s="176"/>
      <c r="R41" s="176"/>
      <c r="S41" s="131"/>
      <c r="T41" s="224" t="str">
        <f t="shared" si="4"/>
        <v/>
      </c>
      <c r="U41" s="223" t="str">
        <f t="shared" si="5"/>
        <v/>
      </c>
      <c r="V41" s="327"/>
    </row>
    <row r="42" spans="1:22" x14ac:dyDescent="0.25">
      <c r="A42" s="294">
        <f t="shared" si="0"/>
        <v>0</v>
      </c>
      <c r="B42" s="164"/>
      <c r="C42" s="164"/>
      <c r="D42" s="164"/>
      <c r="E42" s="176"/>
      <c r="F42" s="176"/>
      <c r="G42" s="131"/>
      <c r="H42" s="223" t="str">
        <f t="shared" si="1"/>
        <v/>
      </c>
      <c r="I42" s="223" t="str">
        <f t="shared" si="2"/>
        <v/>
      </c>
      <c r="J42" s="67"/>
      <c r="K42" s="67"/>
      <c r="L42" s="67"/>
      <c r="M42" s="295">
        <f t="shared" si="3"/>
        <v>0</v>
      </c>
      <c r="N42" s="164"/>
      <c r="O42" s="164"/>
      <c r="P42" s="164"/>
      <c r="Q42" s="176"/>
      <c r="R42" s="176"/>
      <c r="S42" s="131"/>
      <c r="T42" s="224" t="str">
        <f t="shared" si="4"/>
        <v/>
      </c>
      <c r="U42" s="223" t="str">
        <f t="shared" si="5"/>
        <v/>
      </c>
      <c r="V42" s="327"/>
    </row>
    <row r="43" spans="1:22" x14ac:dyDescent="0.25">
      <c r="A43" s="294">
        <f t="shared" si="0"/>
        <v>0</v>
      </c>
      <c r="B43" s="164"/>
      <c r="C43" s="164"/>
      <c r="D43" s="164"/>
      <c r="E43" s="176"/>
      <c r="F43" s="176"/>
      <c r="G43" s="131"/>
      <c r="H43" s="223" t="str">
        <f t="shared" si="1"/>
        <v/>
      </c>
      <c r="I43" s="223" t="str">
        <f t="shared" si="2"/>
        <v/>
      </c>
      <c r="J43" s="67"/>
      <c r="K43" s="67"/>
      <c r="L43" s="67"/>
      <c r="M43" s="295">
        <f t="shared" si="3"/>
        <v>0</v>
      </c>
      <c r="N43" s="164"/>
      <c r="O43" s="164"/>
      <c r="P43" s="164"/>
      <c r="Q43" s="176"/>
      <c r="R43" s="176"/>
      <c r="S43" s="131"/>
      <c r="T43" s="224" t="str">
        <f t="shared" si="4"/>
        <v/>
      </c>
      <c r="U43" s="223" t="str">
        <f t="shared" si="5"/>
        <v/>
      </c>
      <c r="V43" s="327"/>
    </row>
    <row r="44" spans="1:22" x14ac:dyDescent="0.25">
      <c r="A44" s="294">
        <f t="shared" si="0"/>
        <v>0</v>
      </c>
      <c r="B44" s="164"/>
      <c r="C44" s="164"/>
      <c r="D44" s="164"/>
      <c r="E44" s="176"/>
      <c r="F44" s="176"/>
      <c r="G44" s="131"/>
      <c r="H44" s="223" t="str">
        <f t="shared" si="1"/>
        <v/>
      </c>
      <c r="I44" s="223" t="str">
        <f t="shared" si="2"/>
        <v/>
      </c>
      <c r="J44" s="67"/>
      <c r="K44" s="67"/>
      <c r="L44" s="67"/>
      <c r="M44" s="295">
        <f t="shared" si="3"/>
        <v>0</v>
      </c>
      <c r="N44" s="164"/>
      <c r="O44" s="164"/>
      <c r="P44" s="164"/>
      <c r="Q44" s="176"/>
      <c r="R44" s="176"/>
      <c r="S44" s="131"/>
      <c r="T44" s="224" t="str">
        <f t="shared" si="4"/>
        <v/>
      </c>
      <c r="U44" s="223" t="str">
        <f t="shared" si="5"/>
        <v/>
      </c>
      <c r="V44" s="327"/>
    </row>
    <row r="45" spans="1:22" x14ac:dyDescent="0.25">
      <c r="A45" s="294">
        <f t="shared" si="0"/>
        <v>0</v>
      </c>
      <c r="B45" s="164"/>
      <c r="C45" s="164"/>
      <c r="D45" s="164"/>
      <c r="E45" s="176"/>
      <c r="F45" s="176"/>
      <c r="G45" s="131"/>
      <c r="H45" s="223" t="str">
        <f t="shared" si="1"/>
        <v/>
      </c>
      <c r="I45" s="223" t="str">
        <f t="shared" si="2"/>
        <v/>
      </c>
      <c r="J45" s="67"/>
      <c r="K45" s="67"/>
      <c r="L45" s="67"/>
      <c r="M45" s="295">
        <f t="shared" si="3"/>
        <v>0</v>
      </c>
      <c r="N45" s="164"/>
      <c r="O45" s="164"/>
      <c r="P45" s="164"/>
      <c r="Q45" s="176"/>
      <c r="R45" s="176"/>
      <c r="S45" s="131"/>
      <c r="T45" s="224" t="str">
        <f t="shared" si="4"/>
        <v/>
      </c>
      <c r="U45" s="223" t="str">
        <f t="shared" si="5"/>
        <v/>
      </c>
      <c r="V45" s="327"/>
    </row>
    <row r="46" spans="1:22" x14ac:dyDescent="0.25">
      <c r="A46" s="294">
        <f t="shared" si="0"/>
        <v>0</v>
      </c>
      <c r="B46" s="164"/>
      <c r="C46" s="164"/>
      <c r="D46" s="164"/>
      <c r="E46" s="176"/>
      <c r="F46" s="176"/>
      <c r="G46" s="131"/>
      <c r="H46" s="223" t="str">
        <f t="shared" si="1"/>
        <v/>
      </c>
      <c r="I46" s="223" t="str">
        <f t="shared" si="2"/>
        <v/>
      </c>
      <c r="J46" s="67"/>
      <c r="K46" s="67"/>
      <c r="L46" s="67"/>
      <c r="M46" s="295">
        <f t="shared" si="3"/>
        <v>0</v>
      </c>
      <c r="N46" s="164"/>
      <c r="O46" s="164"/>
      <c r="P46" s="164"/>
      <c r="Q46" s="176"/>
      <c r="R46" s="176"/>
      <c r="S46" s="131"/>
      <c r="T46" s="224" t="str">
        <f t="shared" si="4"/>
        <v/>
      </c>
      <c r="U46" s="223" t="str">
        <f t="shared" si="5"/>
        <v/>
      </c>
      <c r="V46" s="327"/>
    </row>
    <row r="47" spans="1:22" x14ac:dyDescent="0.25">
      <c r="A47" s="294">
        <f t="shared" si="0"/>
        <v>0</v>
      </c>
      <c r="B47" s="164"/>
      <c r="C47" s="164"/>
      <c r="D47" s="164"/>
      <c r="E47" s="176"/>
      <c r="F47" s="176"/>
      <c r="G47" s="131"/>
      <c r="H47" s="223" t="str">
        <f t="shared" si="1"/>
        <v/>
      </c>
      <c r="I47" s="223" t="str">
        <f t="shared" si="2"/>
        <v/>
      </c>
      <c r="J47" s="67"/>
      <c r="K47" s="67"/>
      <c r="L47" s="67"/>
      <c r="M47" s="295">
        <f t="shared" si="3"/>
        <v>0</v>
      </c>
      <c r="N47" s="164"/>
      <c r="O47" s="164"/>
      <c r="P47" s="164"/>
      <c r="Q47" s="176"/>
      <c r="R47" s="176"/>
      <c r="S47" s="131"/>
      <c r="T47" s="224" t="str">
        <f t="shared" si="4"/>
        <v/>
      </c>
      <c r="U47" s="223" t="str">
        <f t="shared" si="5"/>
        <v/>
      </c>
      <c r="V47" s="327"/>
    </row>
    <row r="48" spans="1:22" x14ac:dyDescent="0.25">
      <c r="A48" s="294">
        <f t="shared" si="0"/>
        <v>0</v>
      </c>
      <c r="B48" s="164"/>
      <c r="C48" s="164"/>
      <c r="D48" s="164"/>
      <c r="E48" s="176"/>
      <c r="F48" s="176"/>
      <c r="G48" s="131"/>
      <c r="H48" s="223" t="str">
        <f t="shared" si="1"/>
        <v/>
      </c>
      <c r="I48" s="223" t="str">
        <f t="shared" si="2"/>
        <v/>
      </c>
      <c r="J48" s="67"/>
      <c r="K48" s="67"/>
      <c r="L48" s="67"/>
      <c r="M48" s="295">
        <f t="shared" si="3"/>
        <v>0</v>
      </c>
      <c r="N48" s="164"/>
      <c r="O48" s="164"/>
      <c r="P48" s="164"/>
      <c r="Q48" s="176"/>
      <c r="R48" s="176"/>
      <c r="S48" s="131"/>
      <c r="T48" s="224" t="str">
        <f t="shared" si="4"/>
        <v/>
      </c>
      <c r="U48" s="223" t="str">
        <f t="shared" si="5"/>
        <v/>
      </c>
      <c r="V48" s="327"/>
    </row>
    <row r="49" spans="1:22" x14ac:dyDescent="0.25">
      <c r="A49" s="294">
        <f t="shared" si="0"/>
        <v>0</v>
      </c>
      <c r="B49" s="164"/>
      <c r="C49" s="164"/>
      <c r="D49" s="164"/>
      <c r="E49" s="176"/>
      <c r="F49" s="176"/>
      <c r="G49" s="131"/>
      <c r="H49" s="223" t="str">
        <f t="shared" si="1"/>
        <v/>
      </c>
      <c r="I49" s="223" t="str">
        <f t="shared" si="2"/>
        <v/>
      </c>
      <c r="J49" s="67"/>
      <c r="K49" s="67"/>
      <c r="L49" s="67"/>
      <c r="M49" s="295">
        <f t="shared" si="3"/>
        <v>0</v>
      </c>
      <c r="N49" s="164"/>
      <c r="O49" s="164"/>
      <c r="P49" s="164"/>
      <c r="Q49" s="176"/>
      <c r="R49" s="176"/>
      <c r="S49" s="131"/>
      <c r="T49" s="224" t="str">
        <f t="shared" si="4"/>
        <v/>
      </c>
      <c r="U49" s="223" t="str">
        <f t="shared" si="5"/>
        <v/>
      </c>
      <c r="V49" s="327"/>
    </row>
    <row r="50" spans="1:22" x14ac:dyDescent="0.25">
      <c r="A50" s="294">
        <f t="shared" si="0"/>
        <v>0</v>
      </c>
      <c r="B50" s="164"/>
      <c r="C50" s="164"/>
      <c r="D50" s="164"/>
      <c r="E50" s="176"/>
      <c r="F50" s="176"/>
      <c r="G50" s="131"/>
      <c r="H50" s="223" t="str">
        <f t="shared" si="1"/>
        <v/>
      </c>
      <c r="I50" s="223" t="str">
        <f t="shared" si="2"/>
        <v/>
      </c>
      <c r="J50" s="67"/>
      <c r="K50" s="67"/>
      <c r="L50" s="67"/>
      <c r="M50" s="295">
        <f t="shared" si="3"/>
        <v>0</v>
      </c>
      <c r="N50" s="164"/>
      <c r="O50" s="164"/>
      <c r="P50" s="164"/>
      <c r="Q50" s="176"/>
      <c r="R50" s="176"/>
      <c r="S50" s="131"/>
      <c r="T50" s="224" t="str">
        <f t="shared" si="4"/>
        <v/>
      </c>
      <c r="U50" s="223" t="str">
        <f t="shared" si="5"/>
        <v/>
      </c>
      <c r="V50" s="327"/>
    </row>
    <row r="51" spans="1:22" x14ac:dyDescent="0.25">
      <c r="A51" s="294">
        <f t="shared" si="0"/>
        <v>0</v>
      </c>
      <c r="B51" s="164"/>
      <c r="C51" s="164"/>
      <c r="D51" s="164"/>
      <c r="E51" s="176"/>
      <c r="F51" s="176"/>
      <c r="G51" s="131"/>
      <c r="H51" s="223" t="str">
        <f t="shared" si="1"/>
        <v/>
      </c>
      <c r="I51" s="223" t="str">
        <f t="shared" si="2"/>
        <v/>
      </c>
      <c r="J51" s="67"/>
      <c r="K51" s="67"/>
      <c r="L51" s="67"/>
      <c r="M51" s="295">
        <f t="shared" si="3"/>
        <v>0</v>
      </c>
      <c r="N51" s="164"/>
      <c r="O51" s="164"/>
      <c r="P51" s="164"/>
      <c r="Q51" s="176"/>
      <c r="R51" s="176"/>
      <c r="S51" s="131"/>
      <c r="T51" s="224" t="str">
        <f t="shared" si="4"/>
        <v/>
      </c>
      <c r="U51" s="223" t="str">
        <f t="shared" si="5"/>
        <v/>
      </c>
      <c r="V51" s="327"/>
    </row>
    <row r="52" spans="1:22" x14ac:dyDescent="0.25">
      <c r="A52" s="294">
        <f t="shared" si="0"/>
        <v>0</v>
      </c>
      <c r="B52" s="164"/>
      <c r="C52" s="164"/>
      <c r="D52" s="164"/>
      <c r="E52" s="176"/>
      <c r="F52" s="176"/>
      <c r="G52" s="131"/>
      <c r="H52" s="223" t="str">
        <f t="shared" si="1"/>
        <v/>
      </c>
      <c r="I52" s="223" t="str">
        <f t="shared" si="2"/>
        <v/>
      </c>
      <c r="J52" s="67"/>
      <c r="K52" s="67"/>
      <c r="L52" s="67"/>
      <c r="M52" s="295">
        <f t="shared" si="3"/>
        <v>0</v>
      </c>
      <c r="N52" s="164"/>
      <c r="O52" s="164"/>
      <c r="P52" s="164"/>
      <c r="Q52" s="176"/>
      <c r="R52" s="176"/>
      <c r="S52" s="131"/>
      <c r="T52" s="224" t="str">
        <f t="shared" si="4"/>
        <v/>
      </c>
      <c r="U52" s="223" t="str">
        <f t="shared" si="5"/>
        <v/>
      </c>
      <c r="V52" s="327"/>
    </row>
    <row r="53" spans="1:22" x14ac:dyDescent="0.25">
      <c r="A53" s="294">
        <f t="shared" si="0"/>
        <v>0</v>
      </c>
      <c r="B53" s="164"/>
      <c r="C53" s="164"/>
      <c r="D53" s="164"/>
      <c r="E53" s="176"/>
      <c r="F53" s="176"/>
      <c r="G53" s="131"/>
      <c r="H53" s="223" t="str">
        <f t="shared" si="1"/>
        <v/>
      </c>
      <c r="I53" s="223" t="str">
        <f t="shared" si="2"/>
        <v/>
      </c>
      <c r="J53" s="67"/>
      <c r="K53" s="67"/>
      <c r="L53" s="67"/>
      <c r="M53" s="295">
        <f t="shared" si="3"/>
        <v>0</v>
      </c>
      <c r="N53" s="164"/>
      <c r="O53" s="164"/>
      <c r="P53" s="164"/>
      <c r="Q53" s="176"/>
      <c r="R53" s="176"/>
      <c r="S53" s="131"/>
      <c r="T53" s="224" t="str">
        <f t="shared" si="4"/>
        <v/>
      </c>
      <c r="U53" s="223" t="str">
        <f t="shared" si="5"/>
        <v/>
      </c>
      <c r="V53" s="327"/>
    </row>
    <row r="54" spans="1:22" x14ac:dyDescent="0.25">
      <c r="A54" s="294">
        <f t="shared" si="0"/>
        <v>0</v>
      </c>
      <c r="B54" s="164"/>
      <c r="C54" s="164"/>
      <c r="D54" s="164"/>
      <c r="E54" s="176"/>
      <c r="F54" s="176"/>
      <c r="G54" s="131"/>
      <c r="H54" s="223" t="str">
        <f t="shared" si="1"/>
        <v/>
      </c>
      <c r="I54" s="223" t="str">
        <f t="shared" si="2"/>
        <v/>
      </c>
      <c r="J54" s="67"/>
      <c r="K54" s="67"/>
      <c r="L54" s="67"/>
      <c r="M54" s="295">
        <f t="shared" si="3"/>
        <v>0</v>
      </c>
      <c r="N54" s="164"/>
      <c r="O54" s="164"/>
      <c r="P54" s="164"/>
      <c r="Q54" s="176"/>
      <c r="R54" s="176"/>
      <c r="S54" s="131"/>
      <c r="T54" s="224" t="str">
        <f t="shared" si="4"/>
        <v/>
      </c>
      <c r="U54" s="223" t="str">
        <f t="shared" si="5"/>
        <v/>
      </c>
      <c r="V54" s="327"/>
    </row>
    <row r="55" spans="1:22" x14ac:dyDescent="0.25">
      <c r="A55" s="294">
        <f t="shared" si="0"/>
        <v>0</v>
      </c>
      <c r="B55" s="164"/>
      <c r="C55" s="164"/>
      <c r="D55" s="164"/>
      <c r="E55" s="176"/>
      <c r="F55" s="176"/>
      <c r="G55" s="131"/>
      <c r="H55" s="223" t="str">
        <f t="shared" si="1"/>
        <v/>
      </c>
      <c r="I55" s="223" t="str">
        <f t="shared" si="2"/>
        <v/>
      </c>
      <c r="J55" s="67"/>
      <c r="K55" s="67"/>
      <c r="L55" s="67"/>
      <c r="M55" s="295">
        <f t="shared" si="3"/>
        <v>0</v>
      </c>
      <c r="N55" s="164"/>
      <c r="O55" s="164"/>
      <c r="P55" s="164"/>
      <c r="Q55" s="176"/>
      <c r="R55" s="176"/>
      <c r="S55" s="131"/>
      <c r="T55" s="224" t="str">
        <f t="shared" si="4"/>
        <v/>
      </c>
      <c r="U55" s="223" t="str">
        <f t="shared" si="5"/>
        <v/>
      </c>
      <c r="V55" s="327"/>
    </row>
    <row r="56" spans="1:22" x14ac:dyDescent="0.25">
      <c r="A56" s="294">
        <f t="shared" si="0"/>
        <v>0</v>
      </c>
      <c r="B56" s="164"/>
      <c r="C56" s="164"/>
      <c r="D56" s="164"/>
      <c r="E56" s="176"/>
      <c r="F56" s="176"/>
      <c r="G56" s="131"/>
      <c r="H56" s="223" t="str">
        <f t="shared" si="1"/>
        <v/>
      </c>
      <c r="I56" s="223" t="str">
        <f t="shared" si="2"/>
        <v/>
      </c>
      <c r="J56" s="67"/>
      <c r="K56" s="67"/>
      <c r="L56" s="67"/>
      <c r="M56" s="295">
        <f t="shared" si="3"/>
        <v>0</v>
      </c>
      <c r="N56" s="164"/>
      <c r="O56" s="164"/>
      <c r="P56" s="164"/>
      <c r="Q56" s="176"/>
      <c r="R56" s="176"/>
      <c r="S56" s="131"/>
      <c r="T56" s="224" t="str">
        <f t="shared" si="4"/>
        <v/>
      </c>
      <c r="U56" s="223" t="str">
        <f t="shared" si="5"/>
        <v/>
      </c>
      <c r="V56" s="327"/>
    </row>
    <row r="57" spans="1:22" x14ac:dyDescent="0.25">
      <c r="A57" s="294">
        <f t="shared" si="0"/>
        <v>0</v>
      </c>
      <c r="B57" s="164"/>
      <c r="C57" s="164"/>
      <c r="D57" s="164"/>
      <c r="E57" s="176"/>
      <c r="F57" s="176"/>
      <c r="G57" s="131"/>
      <c r="H57" s="223" t="str">
        <f t="shared" si="1"/>
        <v/>
      </c>
      <c r="I57" s="223" t="str">
        <f t="shared" si="2"/>
        <v/>
      </c>
      <c r="J57" s="67"/>
      <c r="K57" s="67"/>
      <c r="L57" s="67"/>
      <c r="M57" s="295">
        <f t="shared" si="3"/>
        <v>0</v>
      </c>
      <c r="N57" s="164"/>
      <c r="O57" s="164"/>
      <c r="P57" s="164"/>
      <c r="Q57" s="176"/>
      <c r="R57" s="176"/>
      <c r="S57" s="131"/>
      <c r="T57" s="224" t="str">
        <f t="shared" si="4"/>
        <v/>
      </c>
      <c r="U57" s="223" t="str">
        <f t="shared" si="5"/>
        <v/>
      </c>
      <c r="V57" s="327"/>
    </row>
    <row r="58" spans="1:22" x14ac:dyDescent="0.25">
      <c r="A58" s="294">
        <f t="shared" si="0"/>
        <v>0</v>
      </c>
      <c r="B58" s="164"/>
      <c r="C58" s="164"/>
      <c r="D58" s="164"/>
      <c r="E58" s="176"/>
      <c r="F58" s="176"/>
      <c r="G58" s="131"/>
      <c r="H58" s="223" t="str">
        <f t="shared" si="1"/>
        <v/>
      </c>
      <c r="I58" s="223" t="str">
        <f t="shared" si="2"/>
        <v/>
      </c>
      <c r="J58" s="67"/>
      <c r="K58" s="67"/>
      <c r="L58" s="67"/>
      <c r="M58" s="295">
        <f t="shared" si="3"/>
        <v>0</v>
      </c>
      <c r="N58" s="164"/>
      <c r="O58" s="164"/>
      <c r="P58" s="164"/>
      <c r="Q58" s="176"/>
      <c r="R58" s="176"/>
      <c r="S58" s="131"/>
      <c r="T58" s="224" t="str">
        <f t="shared" si="4"/>
        <v/>
      </c>
      <c r="U58" s="223" t="str">
        <f t="shared" si="5"/>
        <v/>
      </c>
      <c r="V58" s="327"/>
    </row>
    <row r="59" spans="1:22" x14ac:dyDescent="0.25">
      <c r="A59" s="294">
        <f t="shared" si="0"/>
        <v>0</v>
      </c>
      <c r="B59" s="164"/>
      <c r="C59" s="164"/>
      <c r="D59" s="164"/>
      <c r="E59" s="176"/>
      <c r="F59" s="176"/>
      <c r="G59" s="131"/>
      <c r="H59" s="223" t="str">
        <f t="shared" si="1"/>
        <v/>
      </c>
      <c r="I59" s="223" t="str">
        <f t="shared" si="2"/>
        <v/>
      </c>
      <c r="J59" s="67"/>
      <c r="K59" s="67"/>
      <c r="L59" s="67"/>
      <c r="M59" s="295">
        <f t="shared" si="3"/>
        <v>0</v>
      </c>
      <c r="N59" s="164"/>
      <c r="O59" s="164"/>
      <c r="P59" s="164"/>
      <c r="Q59" s="176"/>
      <c r="R59" s="176"/>
      <c r="S59" s="131"/>
      <c r="T59" s="224" t="str">
        <f t="shared" si="4"/>
        <v/>
      </c>
      <c r="U59" s="223" t="str">
        <f t="shared" si="5"/>
        <v/>
      </c>
      <c r="V59" s="327"/>
    </row>
    <row r="60" spans="1:22" x14ac:dyDescent="0.25">
      <c r="A60" s="294">
        <f t="shared" si="0"/>
        <v>0</v>
      </c>
      <c r="B60" s="164"/>
      <c r="C60" s="164"/>
      <c r="D60" s="164"/>
      <c r="E60" s="176"/>
      <c r="F60" s="176"/>
      <c r="G60" s="131"/>
      <c r="H60" s="223" t="str">
        <f t="shared" si="1"/>
        <v/>
      </c>
      <c r="I60" s="223" t="str">
        <f t="shared" si="2"/>
        <v/>
      </c>
      <c r="J60" s="67"/>
      <c r="K60" s="67"/>
      <c r="L60" s="67"/>
      <c r="M60" s="295">
        <f t="shared" si="3"/>
        <v>0</v>
      </c>
      <c r="N60" s="164"/>
      <c r="O60" s="164"/>
      <c r="P60" s="164"/>
      <c r="Q60" s="176"/>
      <c r="R60" s="176"/>
      <c r="S60" s="131"/>
      <c r="T60" s="224" t="str">
        <f t="shared" si="4"/>
        <v/>
      </c>
      <c r="U60" s="223" t="str">
        <f t="shared" si="5"/>
        <v/>
      </c>
      <c r="V60" s="327"/>
    </row>
    <row r="61" spans="1:22" x14ac:dyDescent="0.25">
      <c r="A61" s="294">
        <f t="shared" si="0"/>
        <v>0</v>
      </c>
      <c r="B61" s="164"/>
      <c r="C61" s="164"/>
      <c r="D61" s="164"/>
      <c r="E61" s="176"/>
      <c r="F61" s="176"/>
      <c r="G61" s="131"/>
      <c r="H61" s="223" t="str">
        <f t="shared" si="1"/>
        <v/>
      </c>
      <c r="I61" s="223" t="str">
        <f t="shared" si="2"/>
        <v/>
      </c>
      <c r="J61" s="67"/>
      <c r="K61" s="67"/>
      <c r="L61" s="67"/>
      <c r="M61" s="295">
        <f t="shared" si="3"/>
        <v>0</v>
      </c>
      <c r="N61" s="164"/>
      <c r="O61" s="164"/>
      <c r="P61" s="164"/>
      <c r="Q61" s="176"/>
      <c r="R61" s="176"/>
      <c r="S61" s="131"/>
      <c r="T61" s="224" t="str">
        <f t="shared" si="4"/>
        <v/>
      </c>
      <c r="U61" s="223" t="str">
        <f t="shared" si="5"/>
        <v/>
      </c>
      <c r="V61" s="327"/>
    </row>
    <row r="62" spans="1:22" x14ac:dyDescent="0.25">
      <c r="A62" s="294">
        <f t="shared" si="0"/>
        <v>0</v>
      </c>
      <c r="B62" s="164"/>
      <c r="C62" s="164"/>
      <c r="D62" s="164"/>
      <c r="E62" s="176"/>
      <c r="F62" s="176"/>
      <c r="G62" s="131"/>
      <c r="H62" s="223" t="str">
        <f t="shared" si="1"/>
        <v/>
      </c>
      <c r="I62" s="223" t="str">
        <f t="shared" si="2"/>
        <v/>
      </c>
      <c r="J62" s="67"/>
      <c r="K62" s="67"/>
      <c r="L62" s="67"/>
      <c r="M62" s="295">
        <f t="shared" si="3"/>
        <v>0</v>
      </c>
      <c r="N62" s="164"/>
      <c r="O62" s="164"/>
      <c r="P62" s="164"/>
      <c r="Q62" s="176"/>
      <c r="R62" s="176"/>
      <c r="S62" s="131"/>
      <c r="T62" s="224" t="str">
        <f t="shared" si="4"/>
        <v/>
      </c>
      <c r="U62" s="223" t="str">
        <f t="shared" si="5"/>
        <v/>
      </c>
      <c r="V62" s="327"/>
    </row>
    <row r="63" spans="1:22" x14ac:dyDescent="0.25">
      <c r="A63" s="294">
        <f t="shared" si="0"/>
        <v>0</v>
      </c>
      <c r="B63" s="164"/>
      <c r="C63" s="164"/>
      <c r="D63" s="164"/>
      <c r="E63" s="176"/>
      <c r="F63" s="176"/>
      <c r="G63" s="131"/>
      <c r="H63" s="223" t="str">
        <f t="shared" si="1"/>
        <v/>
      </c>
      <c r="I63" s="223" t="str">
        <f t="shared" si="2"/>
        <v/>
      </c>
      <c r="J63" s="67"/>
      <c r="K63" s="67"/>
      <c r="L63" s="67"/>
      <c r="M63" s="295">
        <f t="shared" si="3"/>
        <v>0</v>
      </c>
      <c r="N63" s="164"/>
      <c r="O63" s="164"/>
      <c r="P63" s="164"/>
      <c r="Q63" s="176"/>
      <c r="R63" s="176"/>
      <c r="S63" s="131"/>
      <c r="T63" s="224" t="str">
        <f t="shared" si="4"/>
        <v/>
      </c>
      <c r="U63" s="223" t="str">
        <f t="shared" si="5"/>
        <v/>
      </c>
      <c r="V63" s="327"/>
    </row>
    <row r="64" spans="1:22" x14ac:dyDescent="0.25">
      <c r="A64" s="294">
        <f t="shared" si="0"/>
        <v>0</v>
      </c>
      <c r="B64" s="164"/>
      <c r="C64" s="164"/>
      <c r="D64" s="164"/>
      <c r="E64" s="176"/>
      <c r="F64" s="176"/>
      <c r="G64" s="131"/>
      <c r="H64" s="223" t="str">
        <f t="shared" si="1"/>
        <v/>
      </c>
      <c r="I64" s="223" t="str">
        <f t="shared" si="2"/>
        <v/>
      </c>
      <c r="J64" s="67"/>
      <c r="K64" s="67"/>
      <c r="L64" s="67"/>
      <c r="M64" s="295">
        <f t="shared" si="3"/>
        <v>0</v>
      </c>
      <c r="N64" s="164"/>
      <c r="O64" s="164"/>
      <c r="P64" s="164"/>
      <c r="Q64" s="176"/>
      <c r="R64" s="176"/>
      <c r="S64" s="131"/>
      <c r="T64" s="224" t="str">
        <f t="shared" si="4"/>
        <v/>
      </c>
      <c r="U64" s="223" t="str">
        <f t="shared" si="5"/>
        <v/>
      </c>
      <c r="V64" s="327"/>
    </row>
    <row r="65" spans="1:22" x14ac:dyDescent="0.25">
      <c r="A65" s="294">
        <f t="shared" si="0"/>
        <v>0</v>
      </c>
      <c r="B65" s="164"/>
      <c r="C65" s="164"/>
      <c r="D65" s="164"/>
      <c r="E65" s="176"/>
      <c r="F65" s="176"/>
      <c r="G65" s="131"/>
      <c r="H65" s="223" t="str">
        <f t="shared" si="1"/>
        <v/>
      </c>
      <c r="I65" s="223" t="str">
        <f t="shared" si="2"/>
        <v/>
      </c>
      <c r="J65" s="67"/>
      <c r="K65" s="67"/>
      <c r="L65" s="67"/>
      <c r="M65" s="295">
        <f t="shared" si="3"/>
        <v>0</v>
      </c>
      <c r="N65" s="164"/>
      <c r="O65" s="164"/>
      <c r="P65" s="164"/>
      <c r="Q65" s="176"/>
      <c r="R65" s="176"/>
      <c r="S65" s="131"/>
      <c r="T65" s="224" t="str">
        <f t="shared" si="4"/>
        <v/>
      </c>
      <c r="U65" s="223" t="str">
        <f t="shared" si="5"/>
        <v/>
      </c>
      <c r="V65" s="327"/>
    </row>
    <row r="66" spans="1:22" x14ac:dyDescent="0.25">
      <c r="A66" s="294">
        <f t="shared" si="0"/>
        <v>0</v>
      </c>
      <c r="B66" s="164"/>
      <c r="C66" s="164"/>
      <c r="D66" s="164"/>
      <c r="E66" s="176"/>
      <c r="F66" s="176"/>
      <c r="G66" s="131"/>
      <c r="H66" s="223" t="str">
        <f t="shared" si="1"/>
        <v/>
      </c>
      <c r="I66" s="223" t="str">
        <f t="shared" si="2"/>
        <v/>
      </c>
      <c r="J66" s="67"/>
      <c r="K66" s="67"/>
      <c r="L66" s="67"/>
      <c r="M66" s="295">
        <f t="shared" si="3"/>
        <v>0</v>
      </c>
      <c r="N66" s="164"/>
      <c r="O66" s="164"/>
      <c r="P66" s="164"/>
      <c r="Q66" s="176"/>
      <c r="R66" s="176"/>
      <c r="S66" s="131"/>
      <c r="T66" s="224" t="str">
        <f t="shared" si="4"/>
        <v/>
      </c>
      <c r="U66" s="223" t="str">
        <f t="shared" si="5"/>
        <v/>
      </c>
      <c r="V66" s="327"/>
    </row>
    <row r="67" spans="1:22" x14ac:dyDescent="0.25">
      <c r="A67" s="294">
        <f t="shared" si="0"/>
        <v>0</v>
      </c>
      <c r="B67" s="164"/>
      <c r="C67" s="164"/>
      <c r="D67" s="164"/>
      <c r="E67" s="176"/>
      <c r="F67" s="176"/>
      <c r="G67" s="131"/>
      <c r="H67" s="223" t="str">
        <f t="shared" si="1"/>
        <v/>
      </c>
      <c r="I67" s="223" t="str">
        <f t="shared" si="2"/>
        <v/>
      </c>
      <c r="J67" s="67"/>
      <c r="K67" s="67"/>
      <c r="L67" s="67"/>
      <c r="M67" s="295">
        <f t="shared" si="3"/>
        <v>0</v>
      </c>
      <c r="N67" s="164"/>
      <c r="O67" s="164"/>
      <c r="P67" s="164"/>
      <c r="Q67" s="176"/>
      <c r="R67" s="176"/>
      <c r="S67" s="131"/>
      <c r="T67" s="224" t="str">
        <f t="shared" si="4"/>
        <v/>
      </c>
      <c r="U67" s="223" t="str">
        <f t="shared" si="5"/>
        <v/>
      </c>
      <c r="V67" s="327"/>
    </row>
    <row r="68" spans="1:22" x14ac:dyDescent="0.25">
      <c r="A68" s="294">
        <f t="shared" si="0"/>
        <v>0</v>
      </c>
      <c r="B68" s="164"/>
      <c r="C68" s="164"/>
      <c r="D68" s="164"/>
      <c r="E68" s="176"/>
      <c r="F68" s="176"/>
      <c r="G68" s="131"/>
      <c r="H68" s="223" t="str">
        <f t="shared" si="1"/>
        <v/>
      </c>
      <c r="I68" s="223" t="str">
        <f t="shared" si="2"/>
        <v/>
      </c>
      <c r="J68" s="67"/>
      <c r="K68" s="67"/>
      <c r="L68" s="67"/>
      <c r="M68" s="295">
        <f t="shared" si="3"/>
        <v>0</v>
      </c>
      <c r="N68" s="164"/>
      <c r="O68" s="164"/>
      <c r="P68" s="164"/>
      <c r="Q68" s="176"/>
      <c r="R68" s="176"/>
      <c r="S68" s="131"/>
      <c r="T68" s="224" t="str">
        <f t="shared" si="4"/>
        <v/>
      </c>
      <c r="U68" s="223" t="str">
        <f t="shared" si="5"/>
        <v/>
      </c>
      <c r="V68" s="327"/>
    </row>
    <row r="69" spans="1:22" x14ac:dyDescent="0.25">
      <c r="A69" s="294">
        <f t="shared" si="0"/>
        <v>0</v>
      </c>
      <c r="B69" s="164"/>
      <c r="C69" s="164"/>
      <c r="D69" s="164"/>
      <c r="E69" s="176"/>
      <c r="F69" s="176"/>
      <c r="G69" s="131"/>
      <c r="H69" s="223" t="str">
        <f t="shared" si="1"/>
        <v/>
      </c>
      <c r="I69" s="223" t="str">
        <f t="shared" si="2"/>
        <v/>
      </c>
      <c r="J69" s="67"/>
      <c r="K69" s="67"/>
      <c r="L69" s="67"/>
      <c r="M69" s="295">
        <f t="shared" si="3"/>
        <v>0</v>
      </c>
      <c r="N69" s="164"/>
      <c r="O69" s="164"/>
      <c r="P69" s="164"/>
      <c r="Q69" s="176"/>
      <c r="R69" s="176"/>
      <c r="S69" s="131"/>
      <c r="T69" s="224" t="str">
        <f t="shared" si="4"/>
        <v/>
      </c>
      <c r="U69" s="223" t="str">
        <f t="shared" si="5"/>
        <v/>
      </c>
      <c r="V69" s="327"/>
    </row>
    <row r="70" spans="1:22" x14ac:dyDescent="0.25">
      <c r="A70" s="294">
        <f t="shared" si="0"/>
        <v>0</v>
      </c>
      <c r="B70" s="164"/>
      <c r="C70" s="164"/>
      <c r="D70" s="164"/>
      <c r="E70" s="176"/>
      <c r="F70" s="176"/>
      <c r="G70" s="131"/>
      <c r="H70" s="223" t="str">
        <f t="shared" si="1"/>
        <v/>
      </c>
      <c r="I70" s="223" t="str">
        <f t="shared" si="2"/>
        <v/>
      </c>
      <c r="J70" s="67"/>
      <c r="K70" s="67"/>
      <c r="L70" s="67"/>
      <c r="M70" s="295">
        <f t="shared" si="3"/>
        <v>0</v>
      </c>
      <c r="N70" s="164"/>
      <c r="O70" s="164"/>
      <c r="P70" s="164"/>
      <c r="Q70" s="176"/>
      <c r="R70" s="176"/>
      <c r="S70" s="131"/>
      <c r="T70" s="224" t="str">
        <f t="shared" si="4"/>
        <v/>
      </c>
      <c r="U70" s="223" t="str">
        <f t="shared" si="5"/>
        <v/>
      </c>
      <c r="V70" s="327"/>
    </row>
    <row r="71" spans="1:22" x14ac:dyDescent="0.25">
      <c r="A71" s="294">
        <f t="shared" si="0"/>
        <v>0</v>
      </c>
      <c r="B71" s="164"/>
      <c r="C71" s="164"/>
      <c r="D71" s="164"/>
      <c r="E71" s="176"/>
      <c r="F71" s="176"/>
      <c r="G71" s="131"/>
      <c r="H71" s="223" t="str">
        <f t="shared" si="1"/>
        <v/>
      </c>
      <c r="I71" s="223" t="str">
        <f t="shared" si="2"/>
        <v/>
      </c>
      <c r="J71" s="67"/>
      <c r="K71" s="67"/>
      <c r="L71" s="67"/>
      <c r="M71" s="295">
        <f t="shared" si="3"/>
        <v>0</v>
      </c>
      <c r="N71" s="164"/>
      <c r="O71" s="164"/>
      <c r="P71" s="164"/>
      <c r="Q71" s="176"/>
      <c r="R71" s="176"/>
      <c r="S71" s="131"/>
      <c r="T71" s="224" t="str">
        <f t="shared" si="4"/>
        <v/>
      </c>
      <c r="U71" s="223" t="str">
        <f t="shared" si="5"/>
        <v/>
      </c>
      <c r="V71" s="327"/>
    </row>
    <row r="72" spans="1:22" x14ac:dyDescent="0.25">
      <c r="A72" s="294">
        <f t="shared" si="0"/>
        <v>0</v>
      </c>
      <c r="B72" s="164"/>
      <c r="C72" s="164"/>
      <c r="D72" s="164"/>
      <c r="E72" s="176"/>
      <c r="F72" s="176"/>
      <c r="G72" s="131"/>
      <c r="H72" s="223" t="str">
        <f t="shared" si="1"/>
        <v/>
      </c>
      <c r="I72" s="223" t="str">
        <f t="shared" si="2"/>
        <v/>
      </c>
      <c r="J72" s="67"/>
      <c r="K72" s="67"/>
      <c r="L72" s="67"/>
      <c r="M72" s="295">
        <f t="shared" si="3"/>
        <v>0</v>
      </c>
      <c r="N72" s="164"/>
      <c r="O72" s="164"/>
      <c r="P72" s="164"/>
      <c r="Q72" s="176"/>
      <c r="R72" s="176"/>
      <c r="S72" s="131"/>
      <c r="T72" s="224" t="str">
        <f t="shared" si="4"/>
        <v/>
      </c>
      <c r="U72" s="223" t="str">
        <f t="shared" si="5"/>
        <v/>
      </c>
      <c r="V72" s="327"/>
    </row>
    <row r="73" spans="1:22" x14ac:dyDescent="0.25">
      <c r="A73" s="294">
        <f t="shared" si="0"/>
        <v>0</v>
      </c>
      <c r="B73" s="164"/>
      <c r="C73" s="164"/>
      <c r="D73" s="164"/>
      <c r="E73" s="176"/>
      <c r="F73" s="176"/>
      <c r="G73" s="131"/>
      <c r="H73" s="223" t="str">
        <f t="shared" si="1"/>
        <v/>
      </c>
      <c r="I73" s="223" t="str">
        <f t="shared" si="2"/>
        <v/>
      </c>
      <c r="J73" s="67"/>
      <c r="K73" s="67"/>
      <c r="L73" s="67"/>
      <c r="M73" s="295">
        <f t="shared" si="3"/>
        <v>0</v>
      </c>
      <c r="N73" s="164"/>
      <c r="O73" s="164"/>
      <c r="P73" s="164"/>
      <c r="Q73" s="176"/>
      <c r="R73" s="176"/>
      <c r="S73" s="131"/>
      <c r="T73" s="224" t="str">
        <f t="shared" si="4"/>
        <v/>
      </c>
      <c r="U73" s="223" t="str">
        <f t="shared" si="5"/>
        <v/>
      </c>
      <c r="V73" s="327"/>
    </row>
    <row r="74" spans="1:22" x14ac:dyDescent="0.25">
      <c r="A74" s="294">
        <f t="shared" si="0"/>
        <v>0</v>
      </c>
      <c r="B74" s="164"/>
      <c r="C74" s="164"/>
      <c r="D74" s="164"/>
      <c r="E74" s="176"/>
      <c r="F74" s="176"/>
      <c r="G74" s="131"/>
      <c r="H74" s="223" t="str">
        <f t="shared" si="1"/>
        <v/>
      </c>
      <c r="I74" s="223" t="str">
        <f t="shared" si="2"/>
        <v/>
      </c>
      <c r="J74" s="67"/>
      <c r="K74" s="67"/>
      <c r="L74" s="67"/>
      <c r="M74" s="295">
        <f t="shared" si="3"/>
        <v>0</v>
      </c>
      <c r="N74" s="164"/>
      <c r="O74" s="164"/>
      <c r="P74" s="164"/>
      <c r="Q74" s="176"/>
      <c r="R74" s="176"/>
      <c r="S74" s="131"/>
      <c r="T74" s="224" t="str">
        <f t="shared" si="4"/>
        <v/>
      </c>
      <c r="U74" s="223" t="str">
        <f t="shared" si="5"/>
        <v/>
      </c>
      <c r="V74" s="327"/>
    </row>
    <row r="75" spans="1:22" x14ac:dyDescent="0.25">
      <c r="A75" s="294">
        <f t="shared" si="0"/>
        <v>0</v>
      </c>
      <c r="B75" s="164"/>
      <c r="C75" s="164"/>
      <c r="D75" s="164"/>
      <c r="E75" s="176"/>
      <c r="F75" s="176"/>
      <c r="G75" s="131"/>
      <c r="H75" s="223" t="str">
        <f t="shared" si="1"/>
        <v/>
      </c>
      <c r="I75" s="223" t="str">
        <f t="shared" si="2"/>
        <v/>
      </c>
      <c r="J75" s="67"/>
      <c r="K75" s="67"/>
      <c r="L75" s="67"/>
      <c r="M75" s="295">
        <f t="shared" si="3"/>
        <v>0</v>
      </c>
      <c r="N75" s="164"/>
      <c r="O75" s="164"/>
      <c r="P75" s="164"/>
      <c r="Q75" s="176"/>
      <c r="R75" s="176"/>
      <c r="S75" s="131"/>
      <c r="T75" s="224" t="str">
        <f t="shared" si="4"/>
        <v/>
      </c>
      <c r="U75" s="223" t="str">
        <f t="shared" si="5"/>
        <v/>
      </c>
      <c r="V75" s="327"/>
    </row>
    <row r="76" spans="1:22" x14ac:dyDescent="0.25">
      <c r="A76" s="294">
        <f t="shared" si="0"/>
        <v>0</v>
      </c>
      <c r="B76" s="164"/>
      <c r="C76" s="164"/>
      <c r="D76" s="164"/>
      <c r="E76" s="176"/>
      <c r="F76" s="176"/>
      <c r="G76" s="131"/>
      <c r="H76" s="223" t="str">
        <f t="shared" si="1"/>
        <v/>
      </c>
      <c r="I76" s="223" t="str">
        <f t="shared" si="2"/>
        <v/>
      </c>
      <c r="J76" s="67"/>
      <c r="K76" s="67"/>
      <c r="L76" s="67"/>
      <c r="M76" s="295">
        <f t="shared" si="3"/>
        <v>0</v>
      </c>
      <c r="N76" s="164"/>
      <c r="O76" s="164"/>
      <c r="P76" s="164"/>
      <c r="Q76" s="176"/>
      <c r="R76" s="176"/>
      <c r="S76" s="131"/>
      <c r="T76" s="224" t="str">
        <f t="shared" si="4"/>
        <v/>
      </c>
      <c r="U76" s="223" t="str">
        <f t="shared" si="5"/>
        <v/>
      </c>
      <c r="V76" s="327"/>
    </row>
    <row r="77" spans="1:22" x14ac:dyDescent="0.25">
      <c r="A77" s="294">
        <f t="shared" si="0"/>
        <v>0</v>
      </c>
      <c r="B77" s="164"/>
      <c r="C77" s="164"/>
      <c r="D77" s="164"/>
      <c r="E77" s="176"/>
      <c r="F77" s="176"/>
      <c r="G77" s="131"/>
      <c r="H77" s="223" t="str">
        <f t="shared" si="1"/>
        <v/>
      </c>
      <c r="I77" s="223" t="str">
        <f t="shared" si="2"/>
        <v/>
      </c>
      <c r="J77" s="67"/>
      <c r="K77" s="67"/>
      <c r="L77" s="67"/>
      <c r="M77" s="295">
        <f t="shared" si="3"/>
        <v>0</v>
      </c>
      <c r="N77" s="164"/>
      <c r="O77" s="164"/>
      <c r="P77" s="164"/>
      <c r="Q77" s="176"/>
      <c r="R77" s="176"/>
      <c r="S77" s="131"/>
      <c r="T77" s="224" t="str">
        <f t="shared" si="4"/>
        <v/>
      </c>
      <c r="U77" s="223" t="str">
        <f t="shared" si="5"/>
        <v/>
      </c>
      <c r="V77" s="327"/>
    </row>
    <row r="78" spans="1:22" x14ac:dyDescent="0.25">
      <c r="A78" s="294">
        <f t="shared" si="0"/>
        <v>0</v>
      </c>
      <c r="B78" s="164"/>
      <c r="C78" s="164"/>
      <c r="D78" s="164"/>
      <c r="E78" s="176"/>
      <c r="F78" s="176"/>
      <c r="G78" s="131"/>
      <c r="H78" s="223" t="str">
        <f t="shared" si="1"/>
        <v/>
      </c>
      <c r="I78" s="223" t="str">
        <f t="shared" si="2"/>
        <v/>
      </c>
      <c r="J78" s="67"/>
      <c r="K78" s="67"/>
      <c r="L78" s="67"/>
      <c r="M78" s="295">
        <f t="shared" si="3"/>
        <v>0</v>
      </c>
      <c r="N78" s="164"/>
      <c r="O78" s="164"/>
      <c r="P78" s="164"/>
      <c r="Q78" s="176"/>
      <c r="R78" s="176"/>
      <c r="S78" s="131"/>
      <c r="T78" s="224" t="str">
        <f t="shared" si="4"/>
        <v/>
      </c>
      <c r="U78" s="223" t="str">
        <f t="shared" si="5"/>
        <v/>
      </c>
      <c r="V78" s="327"/>
    </row>
    <row r="79" spans="1:22" x14ac:dyDescent="0.25">
      <c r="A79" s="294">
        <f t="shared" si="0"/>
        <v>0</v>
      </c>
      <c r="B79" s="164"/>
      <c r="C79" s="164"/>
      <c r="D79" s="164"/>
      <c r="E79" s="176"/>
      <c r="F79" s="176"/>
      <c r="G79" s="131"/>
      <c r="H79" s="223" t="str">
        <f t="shared" si="1"/>
        <v/>
      </c>
      <c r="I79" s="223" t="str">
        <f t="shared" si="2"/>
        <v/>
      </c>
      <c r="J79" s="67"/>
      <c r="K79" s="67"/>
      <c r="L79" s="67"/>
      <c r="M79" s="295">
        <f t="shared" si="3"/>
        <v>0</v>
      </c>
      <c r="N79" s="164"/>
      <c r="O79" s="164"/>
      <c r="P79" s="164"/>
      <c r="Q79" s="176"/>
      <c r="R79" s="176"/>
      <c r="S79" s="131"/>
      <c r="T79" s="224" t="str">
        <f t="shared" si="4"/>
        <v/>
      </c>
      <c r="U79" s="223" t="str">
        <f t="shared" si="5"/>
        <v/>
      </c>
      <c r="V79" s="327"/>
    </row>
    <row r="80" spans="1:22" x14ac:dyDescent="0.25">
      <c r="A80" s="294">
        <f t="shared" si="0"/>
        <v>0</v>
      </c>
      <c r="B80" s="164"/>
      <c r="C80" s="164"/>
      <c r="D80" s="164"/>
      <c r="E80" s="176"/>
      <c r="F80" s="176"/>
      <c r="G80" s="131"/>
      <c r="H80" s="223" t="str">
        <f t="shared" si="1"/>
        <v/>
      </c>
      <c r="I80" s="223" t="str">
        <f t="shared" si="2"/>
        <v/>
      </c>
      <c r="J80" s="67"/>
      <c r="K80" s="67"/>
      <c r="L80" s="67"/>
      <c r="M80" s="295">
        <f t="shared" si="3"/>
        <v>0</v>
      </c>
      <c r="N80" s="164"/>
      <c r="O80" s="164"/>
      <c r="P80" s="164"/>
      <c r="Q80" s="176"/>
      <c r="R80" s="176"/>
      <c r="S80" s="131"/>
      <c r="T80" s="224" t="str">
        <f t="shared" si="4"/>
        <v/>
      </c>
      <c r="U80" s="223" t="str">
        <f t="shared" si="5"/>
        <v/>
      </c>
      <c r="V80" s="327"/>
    </row>
    <row r="81" spans="1:22" x14ac:dyDescent="0.25">
      <c r="A81" s="294">
        <f t="shared" si="0"/>
        <v>0</v>
      </c>
      <c r="B81" s="164"/>
      <c r="C81" s="164"/>
      <c r="D81" s="164"/>
      <c r="E81" s="176"/>
      <c r="F81" s="176"/>
      <c r="G81" s="131"/>
      <c r="H81" s="223" t="str">
        <f t="shared" si="1"/>
        <v/>
      </c>
      <c r="I81" s="223" t="str">
        <f t="shared" si="2"/>
        <v/>
      </c>
      <c r="J81" s="67"/>
      <c r="K81" s="67"/>
      <c r="L81" s="67"/>
      <c r="M81" s="295">
        <f t="shared" si="3"/>
        <v>0</v>
      </c>
      <c r="N81" s="164"/>
      <c r="O81" s="164"/>
      <c r="P81" s="164"/>
      <c r="Q81" s="176"/>
      <c r="R81" s="176"/>
      <c r="S81" s="131"/>
      <c r="T81" s="224" t="str">
        <f t="shared" si="4"/>
        <v/>
      </c>
      <c r="U81" s="223" t="str">
        <f t="shared" si="5"/>
        <v/>
      </c>
      <c r="V81" s="327"/>
    </row>
    <row r="82" spans="1:22" x14ac:dyDescent="0.25">
      <c r="A82" s="294">
        <f t="shared" ref="A82:A116" si="6">IF(B82&lt;&gt;"",ROW(A66),0)</f>
        <v>0</v>
      </c>
      <c r="B82" s="164"/>
      <c r="C82" s="164"/>
      <c r="D82" s="164"/>
      <c r="E82" s="176"/>
      <c r="F82" s="176"/>
      <c r="G82" s="131"/>
      <c r="H82" s="223" t="str">
        <f t="shared" ref="H82:H116" si="7">IF(ROW(A66)&lt;=$A$16,F82*E82,"")</f>
        <v/>
      </c>
      <c r="I82" s="223" t="str">
        <f t="shared" ref="I82:I116" si="8">IFERROR(H82/52,"")</f>
        <v/>
      </c>
      <c r="J82" s="67"/>
      <c r="K82" s="67"/>
      <c r="L82" s="67"/>
      <c r="M82" s="295">
        <f t="shared" ref="M82:M116" si="9">IF(N82&lt;&gt;"",ROW(A66),0)</f>
        <v>0</v>
      </c>
      <c r="N82" s="164"/>
      <c r="O82" s="164"/>
      <c r="P82" s="164"/>
      <c r="Q82" s="176"/>
      <c r="R82" s="176"/>
      <c r="S82" s="131"/>
      <c r="T82" s="224" t="str">
        <f t="shared" ref="T82:T116" si="10">IF(ROW(A66)&lt;=$M$16,R82*Q82,"")</f>
        <v/>
      </c>
      <c r="U82" s="223" t="str">
        <f t="shared" ref="U82:U116" si="11">IFERROR(T82/52,"")</f>
        <v/>
      </c>
      <c r="V82" s="327"/>
    </row>
    <row r="83" spans="1:22" x14ac:dyDescent="0.25">
      <c r="A83" s="294">
        <f t="shared" si="6"/>
        <v>0</v>
      </c>
      <c r="B83" s="164"/>
      <c r="C83" s="164"/>
      <c r="D83" s="164"/>
      <c r="E83" s="176"/>
      <c r="F83" s="176"/>
      <c r="G83" s="131"/>
      <c r="H83" s="223" t="str">
        <f t="shared" si="7"/>
        <v/>
      </c>
      <c r="I83" s="223" t="str">
        <f t="shared" si="8"/>
        <v/>
      </c>
      <c r="J83" s="67"/>
      <c r="K83" s="67"/>
      <c r="L83" s="67"/>
      <c r="M83" s="295">
        <f t="shared" si="9"/>
        <v>0</v>
      </c>
      <c r="N83" s="164"/>
      <c r="O83" s="164"/>
      <c r="P83" s="164"/>
      <c r="Q83" s="176"/>
      <c r="R83" s="176"/>
      <c r="S83" s="131"/>
      <c r="T83" s="224" t="str">
        <f t="shared" si="10"/>
        <v/>
      </c>
      <c r="U83" s="223" t="str">
        <f t="shared" si="11"/>
        <v/>
      </c>
      <c r="V83" s="327"/>
    </row>
    <row r="84" spans="1:22" x14ac:dyDescent="0.25">
      <c r="A84" s="294">
        <f t="shared" si="6"/>
        <v>0</v>
      </c>
      <c r="B84" s="164"/>
      <c r="C84" s="164"/>
      <c r="D84" s="164"/>
      <c r="E84" s="176"/>
      <c r="F84" s="176"/>
      <c r="G84" s="131"/>
      <c r="H84" s="223" t="str">
        <f t="shared" si="7"/>
        <v/>
      </c>
      <c r="I84" s="223" t="str">
        <f t="shared" si="8"/>
        <v/>
      </c>
      <c r="J84" s="67"/>
      <c r="K84" s="67"/>
      <c r="L84" s="67"/>
      <c r="M84" s="295">
        <f t="shared" si="9"/>
        <v>0</v>
      </c>
      <c r="N84" s="164"/>
      <c r="O84" s="164"/>
      <c r="P84" s="164"/>
      <c r="Q84" s="176"/>
      <c r="R84" s="176"/>
      <c r="S84" s="131"/>
      <c r="T84" s="224" t="str">
        <f t="shared" si="10"/>
        <v/>
      </c>
      <c r="U84" s="223" t="str">
        <f t="shared" si="11"/>
        <v/>
      </c>
      <c r="V84" s="327"/>
    </row>
    <row r="85" spans="1:22" x14ac:dyDescent="0.25">
      <c r="A85" s="294">
        <f t="shared" si="6"/>
        <v>0</v>
      </c>
      <c r="B85" s="164"/>
      <c r="C85" s="164"/>
      <c r="D85" s="164"/>
      <c r="E85" s="176"/>
      <c r="F85" s="176"/>
      <c r="G85" s="131"/>
      <c r="H85" s="223" t="str">
        <f t="shared" si="7"/>
        <v/>
      </c>
      <c r="I85" s="223" t="str">
        <f t="shared" si="8"/>
        <v/>
      </c>
      <c r="J85" s="67"/>
      <c r="K85" s="67"/>
      <c r="L85" s="67"/>
      <c r="M85" s="295">
        <f t="shared" si="9"/>
        <v>0</v>
      </c>
      <c r="N85" s="164"/>
      <c r="O85" s="164"/>
      <c r="P85" s="164"/>
      <c r="Q85" s="176"/>
      <c r="R85" s="176"/>
      <c r="S85" s="131"/>
      <c r="T85" s="224" t="str">
        <f t="shared" si="10"/>
        <v/>
      </c>
      <c r="U85" s="223" t="str">
        <f t="shared" si="11"/>
        <v/>
      </c>
      <c r="V85" s="327"/>
    </row>
    <row r="86" spans="1:22" x14ac:dyDescent="0.25">
      <c r="A86" s="294">
        <f t="shared" si="6"/>
        <v>0</v>
      </c>
      <c r="B86" s="164"/>
      <c r="C86" s="164"/>
      <c r="D86" s="164"/>
      <c r="E86" s="176"/>
      <c r="F86" s="176"/>
      <c r="G86" s="131"/>
      <c r="H86" s="223" t="str">
        <f t="shared" si="7"/>
        <v/>
      </c>
      <c r="I86" s="223" t="str">
        <f t="shared" si="8"/>
        <v/>
      </c>
      <c r="J86" s="67"/>
      <c r="K86" s="67"/>
      <c r="L86" s="67"/>
      <c r="M86" s="295">
        <f t="shared" si="9"/>
        <v>0</v>
      </c>
      <c r="N86" s="164"/>
      <c r="O86" s="164"/>
      <c r="P86" s="164"/>
      <c r="Q86" s="176"/>
      <c r="R86" s="176"/>
      <c r="S86" s="131"/>
      <c r="T86" s="224" t="str">
        <f t="shared" si="10"/>
        <v/>
      </c>
      <c r="U86" s="223" t="str">
        <f t="shared" si="11"/>
        <v/>
      </c>
      <c r="V86" s="327"/>
    </row>
    <row r="87" spans="1:22" x14ac:dyDescent="0.25">
      <c r="A87" s="294">
        <f t="shared" si="6"/>
        <v>0</v>
      </c>
      <c r="B87" s="164"/>
      <c r="C87" s="164"/>
      <c r="D87" s="164"/>
      <c r="E87" s="176"/>
      <c r="F87" s="176"/>
      <c r="G87" s="131"/>
      <c r="H87" s="223" t="str">
        <f t="shared" si="7"/>
        <v/>
      </c>
      <c r="I87" s="223" t="str">
        <f t="shared" si="8"/>
        <v/>
      </c>
      <c r="J87" s="67"/>
      <c r="K87" s="67"/>
      <c r="L87" s="67"/>
      <c r="M87" s="295">
        <f t="shared" si="9"/>
        <v>0</v>
      </c>
      <c r="N87" s="164"/>
      <c r="O87" s="164"/>
      <c r="P87" s="164"/>
      <c r="Q87" s="176"/>
      <c r="R87" s="176"/>
      <c r="S87" s="131"/>
      <c r="T87" s="224" t="str">
        <f t="shared" si="10"/>
        <v/>
      </c>
      <c r="U87" s="223" t="str">
        <f t="shared" si="11"/>
        <v/>
      </c>
      <c r="V87" s="327"/>
    </row>
    <row r="88" spans="1:22" x14ac:dyDescent="0.25">
      <c r="A88" s="294">
        <f t="shared" si="6"/>
        <v>0</v>
      </c>
      <c r="B88" s="164"/>
      <c r="C88" s="164"/>
      <c r="D88" s="164"/>
      <c r="E88" s="176"/>
      <c r="F88" s="176"/>
      <c r="G88" s="131"/>
      <c r="H88" s="223" t="str">
        <f t="shared" si="7"/>
        <v/>
      </c>
      <c r="I88" s="223" t="str">
        <f t="shared" si="8"/>
        <v/>
      </c>
      <c r="J88" s="67"/>
      <c r="K88" s="67"/>
      <c r="L88" s="67"/>
      <c r="M88" s="295">
        <f t="shared" si="9"/>
        <v>0</v>
      </c>
      <c r="N88" s="164"/>
      <c r="O88" s="164"/>
      <c r="P88" s="164"/>
      <c r="Q88" s="176"/>
      <c r="R88" s="176"/>
      <c r="S88" s="131"/>
      <c r="T88" s="224" t="str">
        <f t="shared" si="10"/>
        <v/>
      </c>
      <c r="U88" s="223" t="str">
        <f t="shared" si="11"/>
        <v/>
      </c>
      <c r="V88" s="327"/>
    </row>
    <row r="89" spans="1:22" x14ac:dyDescent="0.25">
      <c r="A89" s="294">
        <f t="shared" si="6"/>
        <v>0</v>
      </c>
      <c r="B89" s="164"/>
      <c r="C89" s="164"/>
      <c r="D89" s="164"/>
      <c r="E89" s="176"/>
      <c r="F89" s="176"/>
      <c r="G89" s="131"/>
      <c r="H89" s="223" t="str">
        <f t="shared" si="7"/>
        <v/>
      </c>
      <c r="I89" s="223" t="str">
        <f t="shared" si="8"/>
        <v/>
      </c>
      <c r="J89" s="67"/>
      <c r="K89" s="67"/>
      <c r="L89" s="67"/>
      <c r="M89" s="295">
        <f t="shared" si="9"/>
        <v>0</v>
      </c>
      <c r="N89" s="164"/>
      <c r="O89" s="164"/>
      <c r="P89" s="164"/>
      <c r="Q89" s="176"/>
      <c r="R89" s="176"/>
      <c r="S89" s="131"/>
      <c r="T89" s="224" t="str">
        <f t="shared" si="10"/>
        <v/>
      </c>
      <c r="U89" s="223" t="str">
        <f t="shared" si="11"/>
        <v/>
      </c>
      <c r="V89" s="327"/>
    </row>
    <row r="90" spans="1:22" x14ac:dyDescent="0.25">
      <c r="A90" s="294">
        <f t="shared" si="6"/>
        <v>0</v>
      </c>
      <c r="B90" s="164"/>
      <c r="C90" s="164"/>
      <c r="D90" s="164"/>
      <c r="E90" s="176"/>
      <c r="F90" s="176"/>
      <c r="G90" s="131"/>
      <c r="H90" s="223" t="str">
        <f t="shared" si="7"/>
        <v/>
      </c>
      <c r="I90" s="223" t="str">
        <f t="shared" si="8"/>
        <v/>
      </c>
      <c r="J90" s="67"/>
      <c r="K90" s="67"/>
      <c r="L90" s="67"/>
      <c r="M90" s="295">
        <f t="shared" si="9"/>
        <v>0</v>
      </c>
      <c r="N90" s="164"/>
      <c r="O90" s="164"/>
      <c r="P90" s="164"/>
      <c r="Q90" s="176"/>
      <c r="R90" s="176"/>
      <c r="S90" s="131"/>
      <c r="T90" s="224" t="str">
        <f t="shared" si="10"/>
        <v/>
      </c>
      <c r="U90" s="223" t="str">
        <f t="shared" si="11"/>
        <v/>
      </c>
      <c r="V90" s="327"/>
    </row>
    <row r="91" spans="1:22" x14ac:dyDescent="0.25">
      <c r="A91" s="294">
        <f t="shared" si="6"/>
        <v>0</v>
      </c>
      <c r="B91" s="164"/>
      <c r="C91" s="164"/>
      <c r="D91" s="164"/>
      <c r="E91" s="176"/>
      <c r="F91" s="176"/>
      <c r="G91" s="131"/>
      <c r="H91" s="223" t="str">
        <f t="shared" si="7"/>
        <v/>
      </c>
      <c r="I91" s="223" t="str">
        <f t="shared" si="8"/>
        <v/>
      </c>
      <c r="J91" s="67"/>
      <c r="K91" s="67"/>
      <c r="L91" s="67"/>
      <c r="M91" s="295">
        <f t="shared" si="9"/>
        <v>0</v>
      </c>
      <c r="N91" s="164"/>
      <c r="O91" s="164"/>
      <c r="P91" s="164"/>
      <c r="Q91" s="176"/>
      <c r="R91" s="176"/>
      <c r="S91" s="131"/>
      <c r="T91" s="224" t="str">
        <f t="shared" si="10"/>
        <v/>
      </c>
      <c r="U91" s="223" t="str">
        <f t="shared" si="11"/>
        <v/>
      </c>
      <c r="V91" s="327"/>
    </row>
    <row r="92" spans="1:22" x14ac:dyDescent="0.25">
      <c r="A92" s="294">
        <f t="shared" si="6"/>
        <v>0</v>
      </c>
      <c r="B92" s="164"/>
      <c r="C92" s="164"/>
      <c r="D92" s="164"/>
      <c r="E92" s="176"/>
      <c r="F92" s="176"/>
      <c r="G92" s="131"/>
      <c r="H92" s="223" t="str">
        <f t="shared" si="7"/>
        <v/>
      </c>
      <c r="I92" s="223" t="str">
        <f t="shared" si="8"/>
        <v/>
      </c>
      <c r="J92" s="67"/>
      <c r="K92" s="67"/>
      <c r="L92" s="67"/>
      <c r="M92" s="295">
        <f t="shared" si="9"/>
        <v>0</v>
      </c>
      <c r="N92" s="164"/>
      <c r="O92" s="164"/>
      <c r="P92" s="164"/>
      <c r="Q92" s="176"/>
      <c r="R92" s="176"/>
      <c r="S92" s="131"/>
      <c r="T92" s="224" t="str">
        <f t="shared" si="10"/>
        <v/>
      </c>
      <c r="U92" s="223" t="str">
        <f t="shared" si="11"/>
        <v/>
      </c>
      <c r="V92" s="327"/>
    </row>
    <row r="93" spans="1:22" x14ac:dyDescent="0.25">
      <c r="A93" s="294">
        <f t="shared" si="6"/>
        <v>0</v>
      </c>
      <c r="B93" s="164"/>
      <c r="C93" s="164"/>
      <c r="D93" s="164"/>
      <c r="E93" s="176"/>
      <c r="F93" s="176"/>
      <c r="G93" s="131"/>
      <c r="H93" s="223" t="str">
        <f t="shared" si="7"/>
        <v/>
      </c>
      <c r="I93" s="223" t="str">
        <f t="shared" si="8"/>
        <v/>
      </c>
      <c r="J93" s="67"/>
      <c r="K93" s="67"/>
      <c r="L93" s="67"/>
      <c r="M93" s="295">
        <f t="shared" si="9"/>
        <v>0</v>
      </c>
      <c r="N93" s="164"/>
      <c r="O93" s="164"/>
      <c r="P93" s="164"/>
      <c r="Q93" s="176"/>
      <c r="R93" s="176"/>
      <c r="S93" s="131"/>
      <c r="T93" s="224" t="str">
        <f t="shared" si="10"/>
        <v/>
      </c>
      <c r="U93" s="223" t="str">
        <f t="shared" si="11"/>
        <v/>
      </c>
      <c r="V93" s="327"/>
    </row>
    <row r="94" spans="1:22" x14ac:dyDescent="0.25">
      <c r="A94" s="294">
        <f t="shared" si="6"/>
        <v>0</v>
      </c>
      <c r="B94" s="164"/>
      <c r="C94" s="164"/>
      <c r="D94" s="164"/>
      <c r="E94" s="176"/>
      <c r="F94" s="176"/>
      <c r="G94" s="131"/>
      <c r="H94" s="223" t="str">
        <f t="shared" si="7"/>
        <v/>
      </c>
      <c r="I94" s="223" t="str">
        <f t="shared" si="8"/>
        <v/>
      </c>
      <c r="J94" s="67"/>
      <c r="K94" s="67"/>
      <c r="L94" s="67"/>
      <c r="M94" s="295">
        <f t="shared" si="9"/>
        <v>0</v>
      </c>
      <c r="N94" s="164"/>
      <c r="O94" s="164"/>
      <c r="P94" s="164"/>
      <c r="Q94" s="176"/>
      <c r="R94" s="176"/>
      <c r="S94" s="131"/>
      <c r="T94" s="224" t="str">
        <f t="shared" si="10"/>
        <v/>
      </c>
      <c r="U94" s="223" t="str">
        <f t="shared" si="11"/>
        <v/>
      </c>
      <c r="V94" s="327"/>
    </row>
    <row r="95" spans="1:22" x14ac:dyDescent="0.25">
      <c r="A95" s="294">
        <f t="shared" si="6"/>
        <v>0</v>
      </c>
      <c r="B95" s="164"/>
      <c r="C95" s="164"/>
      <c r="D95" s="164"/>
      <c r="E95" s="176"/>
      <c r="F95" s="176"/>
      <c r="G95" s="131"/>
      <c r="H95" s="223" t="str">
        <f t="shared" si="7"/>
        <v/>
      </c>
      <c r="I95" s="223" t="str">
        <f t="shared" si="8"/>
        <v/>
      </c>
      <c r="J95" s="67"/>
      <c r="K95" s="67"/>
      <c r="L95" s="67"/>
      <c r="M95" s="295">
        <f t="shared" si="9"/>
        <v>0</v>
      </c>
      <c r="N95" s="164"/>
      <c r="O95" s="164"/>
      <c r="P95" s="164"/>
      <c r="Q95" s="176"/>
      <c r="R95" s="176"/>
      <c r="S95" s="131"/>
      <c r="T95" s="224" t="str">
        <f t="shared" si="10"/>
        <v/>
      </c>
      <c r="U95" s="223" t="str">
        <f t="shared" si="11"/>
        <v/>
      </c>
      <c r="V95" s="327"/>
    </row>
    <row r="96" spans="1:22" x14ac:dyDescent="0.25">
      <c r="A96" s="294">
        <f t="shared" si="6"/>
        <v>0</v>
      </c>
      <c r="B96" s="164"/>
      <c r="C96" s="164"/>
      <c r="D96" s="164"/>
      <c r="E96" s="176"/>
      <c r="F96" s="176"/>
      <c r="G96" s="131"/>
      <c r="H96" s="223" t="str">
        <f t="shared" si="7"/>
        <v/>
      </c>
      <c r="I96" s="223" t="str">
        <f t="shared" si="8"/>
        <v/>
      </c>
      <c r="J96" s="67"/>
      <c r="K96" s="67"/>
      <c r="L96" s="67"/>
      <c r="M96" s="295">
        <f t="shared" si="9"/>
        <v>0</v>
      </c>
      <c r="N96" s="164"/>
      <c r="O96" s="164"/>
      <c r="P96" s="164"/>
      <c r="Q96" s="176"/>
      <c r="R96" s="176"/>
      <c r="S96" s="131"/>
      <c r="T96" s="224" t="str">
        <f t="shared" si="10"/>
        <v/>
      </c>
      <c r="U96" s="223" t="str">
        <f t="shared" si="11"/>
        <v/>
      </c>
      <c r="V96" s="327"/>
    </row>
    <row r="97" spans="1:22" x14ac:dyDescent="0.25">
      <c r="A97" s="294">
        <f t="shared" si="6"/>
        <v>0</v>
      </c>
      <c r="B97" s="164"/>
      <c r="C97" s="164"/>
      <c r="D97" s="164"/>
      <c r="E97" s="176"/>
      <c r="F97" s="176"/>
      <c r="G97" s="131"/>
      <c r="H97" s="223" t="str">
        <f t="shared" si="7"/>
        <v/>
      </c>
      <c r="I97" s="223" t="str">
        <f t="shared" si="8"/>
        <v/>
      </c>
      <c r="J97" s="67"/>
      <c r="K97" s="67"/>
      <c r="L97" s="67"/>
      <c r="M97" s="295">
        <f t="shared" si="9"/>
        <v>0</v>
      </c>
      <c r="N97" s="164"/>
      <c r="O97" s="164"/>
      <c r="P97" s="164"/>
      <c r="Q97" s="176"/>
      <c r="R97" s="176"/>
      <c r="S97" s="131"/>
      <c r="T97" s="224" t="str">
        <f t="shared" si="10"/>
        <v/>
      </c>
      <c r="U97" s="223" t="str">
        <f t="shared" si="11"/>
        <v/>
      </c>
      <c r="V97" s="327"/>
    </row>
    <row r="98" spans="1:22" x14ac:dyDescent="0.25">
      <c r="A98" s="294">
        <f t="shared" si="6"/>
        <v>0</v>
      </c>
      <c r="B98" s="164"/>
      <c r="C98" s="164"/>
      <c r="D98" s="164"/>
      <c r="E98" s="176"/>
      <c r="F98" s="176"/>
      <c r="G98" s="131"/>
      <c r="H98" s="223" t="str">
        <f t="shared" si="7"/>
        <v/>
      </c>
      <c r="I98" s="223" t="str">
        <f t="shared" si="8"/>
        <v/>
      </c>
      <c r="J98" s="67"/>
      <c r="K98" s="67"/>
      <c r="L98" s="67"/>
      <c r="M98" s="295">
        <f t="shared" si="9"/>
        <v>0</v>
      </c>
      <c r="N98" s="164"/>
      <c r="O98" s="164"/>
      <c r="P98" s="164"/>
      <c r="Q98" s="176"/>
      <c r="R98" s="176"/>
      <c r="S98" s="131"/>
      <c r="T98" s="224" t="str">
        <f t="shared" si="10"/>
        <v/>
      </c>
      <c r="U98" s="223" t="str">
        <f t="shared" si="11"/>
        <v/>
      </c>
      <c r="V98" s="327"/>
    </row>
    <row r="99" spans="1:22" x14ac:dyDescent="0.25">
      <c r="A99" s="294">
        <f t="shared" si="6"/>
        <v>0</v>
      </c>
      <c r="B99" s="164"/>
      <c r="C99" s="164"/>
      <c r="D99" s="164"/>
      <c r="E99" s="176"/>
      <c r="F99" s="176"/>
      <c r="G99" s="131"/>
      <c r="H99" s="223" t="str">
        <f t="shared" si="7"/>
        <v/>
      </c>
      <c r="I99" s="223" t="str">
        <f t="shared" si="8"/>
        <v/>
      </c>
      <c r="J99" s="67"/>
      <c r="K99" s="67"/>
      <c r="L99" s="67"/>
      <c r="M99" s="295">
        <f t="shared" si="9"/>
        <v>0</v>
      </c>
      <c r="N99" s="164"/>
      <c r="O99" s="164"/>
      <c r="P99" s="164"/>
      <c r="Q99" s="176"/>
      <c r="R99" s="176"/>
      <c r="S99" s="131"/>
      <c r="T99" s="224" t="str">
        <f t="shared" si="10"/>
        <v/>
      </c>
      <c r="U99" s="223" t="str">
        <f t="shared" si="11"/>
        <v/>
      </c>
      <c r="V99" s="327"/>
    </row>
    <row r="100" spans="1:22" x14ac:dyDescent="0.25">
      <c r="A100" s="294">
        <f t="shared" si="6"/>
        <v>0</v>
      </c>
      <c r="B100" s="164"/>
      <c r="C100" s="164"/>
      <c r="D100" s="164"/>
      <c r="E100" s="176"/>
      <c r="F100" s="176"/>
      <c r="G100" s="131"/>
      <c r="H100" s="223" t="str">
        <f t="shared" si="7"/>
        <v/>
      </c>
      <c r="I100" s="223" t="str">
        <f t="shared" si="8"/>
        <v/>
      </c>
      <c r="J100" s="67"/>
      <c r="K100" s="67"/>
      <c r="L100" s="67"/>
      <c r="M100" s="295">
        <f t="shared" si="9"/>
        <v>0</v>
      </c>
      <c r="N100" s="164"/>
      <c r="O100" s="164"/>
      <c r="P100" s="164"/>
      <c r="Q100" s="176"/>
      <c r="R100" s="176"/>
      <c r="S100" s="131"/>
      <c r="T100" s="224" t="str">
        <f t="shared" si="10"/>
        <v/>
      </c>
      <c r="U100" s="223" t="str">
        <f t="shared" si="11"/>
        <v/>
      </c>
      <c r="V100" s="327"/>
    </row>
    <row r="101" spans="1:22" x14ac:dyDescent="0.25">
      <c r="A101" s="294">
        <f t="shared" si="6"/>
        <v>0</v>
      </c>
      <c r="B101" s="164"/>
      <c r="C101" s="164"/>
      <c r="D101" s="164"/>
      <c r="E101" s="176"/>
      <c r="F101" s="176"/>
      <c r="G101" s="131"/>
      <c r="H101" s="223" t="str">
        <f t="shared" si="7"/>
        <v/>
      </c>
      <c r="I101" s="223" t="str">
        <f t="shared" si="8"/>
        <v/>
      </c>
      <c r="J101" s="67"/>
      <c r="K101" s="67"/>
      <c r="L101" s="67"/>
      <c r="M101" s="295">
        <f t="shared" si="9"/>
        <v>0</v>
      </c>
      <c r="N101" s="164"/>
      <c r="O101" s="164"/>
      <c r="P101" s="164"/>
      <c r="Q101" s="176"/>
      <c r="R101" s="176"/>
      <c r="S101" s="131"/>
      <c r="T101" s="224" t="str">
        <f t="shared" si="10"/>
        <v/>
      </c>
      <c r="U101" s="223" t="str">
        <f t="shared" si="11"/>
        <v/>
      </c>
      <c r="V101" s="327"/>
    </row>
    <row r="102" spans="1:22" x14ac:dyDescent="0.25">
      <c r="A102" s="294">
        <f t="shared" si="6"/>
        <v>0</v>
      </c>
      <c r="B102" s="164"/>
      <c r="C102" s="164"/>
      <c r="D102" s="164"/>
      <c r="E102" s="176"/>
      <c r="F102" s="176"/>
      <c r="G102" s="131"/>
      <c r="H102" s="223" t="str">
        <f t="shared" si="7"/>
        <v/>
      </c>
      <c r="I102" s="223" t="str">
        <f t="shared" si="8"/>
        <v/>
      </c>
      <c r="J102" s="67"/>
      <c r="K102" s="67"/>
      <c r="L102" s="67"/>
      <c r="M102" s="295">
        <f t="shared" si="9"/>
        <v>0</v>
      </c>
      <c r="N102" s="164"/>
      <c r="O102" s="164"/>
      <c r="P102" s="164"/>
      <c r="Q102" s="176"/>
      <c r="R102" s="176"/>
      <c r="S102" s="131"/>
      <c r="T102" s="224" t="str">
        <f t="shared" si="10"/>
        <v/>
      </c>
      <c r="U102" s="223" t="str">
        <f t="shared" si="11"/>
        <v/>
      </c>
      <c r="V102" s="327"/>
    </row>
    <row r="103" spans="1:22" x14ac:dyDescent="0.25">
      <c r="A103" s="294">
        <f t="shared" si="6"/>
        <v>0</v>
      </c>
      <c r="B103" s="164"/>
      <c r="C103" s="164"/>
      <c r="D103" s="164"/>
      <c r="E103" s="176"/>
      <c r="F103" s="176"/>
      <c r="G103" s="131"/>
      <c r="H103" s="223" t="str">
        <f t="shared" si="7"/>
        <v/>
      </c>
      <c r="I103" s="223" t="str">
        <f t="shared" si="8"/>
        <v/>
      </c>
      <c r="J103" s="67"/>
      <c r="K103" s="67"/>
      <c r="L103" s="67"/>
      <c r="M103" s="295">
        <f t="shared" si="9"/>
        <v>0</v>
      </c>
      <c r="N103" s="164"/>
      <c r="O103" s="164"/>
      <c r="P103" s="164"/>
      <c r="Q103" s="176"/>
      <c r="R103" s="176"/>
      <c r="S103" s="131"/>
      <c r="T103" s="224" t="str">
        <f t="shared" si="10"/>
        <v/>
      </c>
      <c r="U103" s="223" t="str">
        <f t="shared" si="11"/>
        <v/>
      </c>
      <c r="V103" s="327"/>
    </row>
    <row r="104" spans="1:22" x14ac:dyDescent="0.25">
      <c r="A104" s="294">
        <f t="shared" si="6"/>
        <v>0</v>
      </c>
      <c r="B104" s="164"/>
      <c r="C104" s="164"/>
      <c r="D104" s="164"/>
      <c r="E104" s="176"/>
      <c r="F104" s="176"/>
      <c r="G104" s="131"/>
      <c r="H104" s="223" t="str">
        <f t="shared" si="7"/>
        <v/>
      </c>
      <c r="I104" s="223" t="str">
        <f t="shared" si="8"/>
        <v/>
      </c>
      <c r="J104" s="67"/>
      <c r="K104" s="67"/>
      <c r="L104" s="67"/>
      <c r="M104" s="295">
        <f t="shared" si="9"/>
        <v>0</v>
      </c>
      <c r="N104" s="164"/>
      <c r="O104" s="164"/>
      <c r="P104" s="164"/>
      <c r="Q104" s="176"/>
      <c r="R104" s="176"/>
      <c r="S104" s="131"/>
      <c r="T104" s="224" t="str">
        <f t="shared" si="10"/>
        <v/>
      </c>
      <c r="U104" s="223" t="str">
        <f t="shared" si="11"/>
        <v/>
      </c>
      <c r="V104" s="327"/>
    </row>
    <row r="105" spans="1:22" x14ac:dyDescent="0.25">
      <c r="A105" s="294">
        <f t="shared" si="6"/>
        <v>0</v>
      </c>
      <c r="B105" s="164"/>
      <c r="C105" s="164"/>
      <c r="D105" s="164"/>
      <c r="E105" s="176"/>
      <c r="F105" s="176"/>
      <c r="G105" s="131"/>
      <c r="H105" s="223" t="str">
        <f t="shared" si="7"/>
        <v/>
      </c>
      <c r="I105" s="223" t="str">
        <f t="shared" si="8"/>
        <v/>
      </c>
      <c r="J105" s="67"/>
      <c r="K105" s="67"/>
      <c r="L105" s="67"/>
      <c r="M105" s="295">
        <f t="shared" si="9"/>
        <v>0</v>
      </c>
      <c r="N105" s="164"/>
      <c r="O105" s="164"/>
      <c r="P105" s="164"/>
      <c r="Q105" s="176"/>
      <c r="R105" s="176"/>
      <c r="S105" s="131"/>
      <c r="T105" s="224" t="str">
        <f t="shared" si="10"/>
        <v/>
      </c>
      <c r="U105" s="223" t="str">
        <f t="shared" si="11"/>
        <v/>
      </c>
      <c r="V105" s="327"/>
    </row>
    <row r="106" spans="1:22" x14ac:dyDescent="0.25">
      <c r="A106" s="294">
        <f t="shared" si="6"/>
        <v>0</v>
      </c>
      <c r="B106" s="164"/>
      <c r="C106" s="164"/>
      <c r="D106" s="164"/>
      <c r="E106" s="176"/>
      <c r="F106" s="176"/>
      <c r="G106" s="131"/>
      <c r="H106" s="223" t="str">
        <f t="shared" si="7"/>
        <v/>
      </c>
      <c r="I106" s="223" t="str">
        <f t="shared" si="8"/>
        <v/>
      </c>
      <c r="J106" s="67"/>
      <c r="K106" s="67"/>
      <c r="L106" s="67"/>
      <c r="M106" s="295">
        <f t="shared" si="9"/>
        <v>0</v>
      </c>
      <c r="N106" s="164"/>
      <c r="O106" s="164"/>
      <c r="P106" s="164"/>
      <c r="Q106" s="176"/>
      <c r="R106" s="176"/>
      <c r="S106" s="131"/>
      <c r="T106" s="224" t="str">
        <f t="shared" si="10"/>
        <v/>
      </c>
      <c r="U106" s="223" t="str">
        <f t="shared" si="11"/>
        <v/>
      </c>
      <c r="V106" s="327"/>
    </row>
    <row r="107" spans="1:22" x14ac:dyDescent="0.25">
      <c r="A107" s="294">
        <f t="shared" si="6"/>
        <v>0</v>
      </c>
      <c r="B107" s="164"/>
      <c r="C107" s="164"/>
      <c r="D107" s="164"/>
      <c r="E107" s="176"/>
      <c r="F107" s="176"/>
      <c r="G107" s="131"/>
      <c r="H107" s="223" t="str">
        <f t="shared" si="7"/>
        <v/>
      </c>
      <c r="I107" s="223" t="str">
        <f t="shared" si="8"/>
        <v/>
      </c>
      <c r="J107" s="67"/>
      <c r="K107" s="67"/>
      <c r="L107" s="67"/>
      <c r="M107" s="295">
        <f t="shared" si="9"/>
        <v>0</v>
      </c>
      <c r="N107" s="164"/>
      <c r="O107" s="164"/>
      <c r="P107" s="164"/>
      <c r="Q107" s="176"/>
      <c r="R107" s="176"/>
      <c r="S107" s="131"/>
      <c r="T107" s="224" t="str">
        <f t="shared" si="10"/>
        <v/>
      </c>
      <c r="U107" s="223" t="str">
        <f t="shared" si="11"/>
        <v/>
      </c>
      <c r="V107" s="327"/>
    </row>
    <row r="108" spans="1:22" x14ac:dyDescent="0.25">
      <c r="A108" s="294">
        <f t="shared" si="6"/>
        <v>0</v>
      </c>
      <c r="B108" s="164"/>
      <c r="C108" s="164"/>
      <c r="D108" s="164"/>
      <c r="E108" s="176"/>
      <c r="F108" s="176"/>
      <c r="G108" s="131"/>
      <c r="H108" s="223" t="str">
        <f t="shared" si="7"/>
        <v/>
      </c>
      <c r="I108" s="223" t="str">
        <f t="shared" si="8"/>
        <v/>
      </c>
      <c r="J108" s="67"/>
      <c r="K108" s="67"/>
      <c r="L108" s="67"/>
      <c r="M108" s="295">
        <f t="shared" si="9"/>
        <v>0</v>
      </c>
      <c r="N108" s="164"/>
      <c r="O108" s="164"/>
      <c r="P108" s="164"/>
      <c r="Q108" s="176"/>
      <c r="R108" s="176"/>
      <c r="S108" s="131"/>
      <c r="T108" s="224" t="str">
        <f t="shared" si="10"/>
        <v/>
      </c>
      <c r="U108" s="223" t="str">
        <f t="shared" si="11"/>
        <v/>
      </c>
      <c r="V108" s="327"/>
    </row>
    <row r="109" spans="1:22" x14ac:dyDescent="0.25">
      <c r="A109" s="294">
        <f t="shared" si="6"/>
        <v>0</v>
      </c>
      <c r="B109" s="164"/>
      <c r="C109" s="164"/>
      <c r="D109" s="164"/>
      <c r="E109" s="176"/>
      <c r="F109" s="176"/>
      <c r="G109" s="131"/>
      <c r="H109" s="223" t="str">
        <f t="shared" si="7"/>
        <v/>
      </c>
      <c r="I109" s="223" t="str">
        <f t="shared" si="8"/>
        <v/>
      </c>
      <c r="J109" s="67"/>
      <c r="K109" s="67"/>
      <c r="L109" s="67"/>
      <c r="M109" s="295">
        <f t="shared" si="9"/>
        <v>0</v>
      </c>
      <c r="N109" s="164"/>
      <c r="O109" s="164"/>
      <c r="P109" s="164"/>
      <c r="Q109" s="176"/>
      <c r="R109" s="176"/>
      <c r="S109" s="131"/>
      <c r="T109" s="224" t="str">
        <f t="shared" si="10"/>
        <v/>
      </c>
      <c r="U109" s="223" t="str">
        <f t="shared" si="11"/>
        <v/>
      </c>
      <c r="V109" s="327"/>
    </row>
    <row r="110" spans="1:22" x14ac:dyDescent="0.25">
      <c r="A110" s="294">
        <f t="shared" si="6"/>
        <v>0</v>
      </c>
      <c r="B110" s="164"/>
      <c r="C110" s="164"/>
      <c r="D110" s="164"/>
      <c r="E110" s="176"/>
      <c r="F110" s="176"/>
      <c r="G110" s="131"/>
      <c r="H110" s="223" t="str">
        <f t="shared" si="7"/>
        <v/>
      </c>
      <c r="I110" s="223" t="str">
        <f t="shared" si="8"/>
        <v/>
      </c>
      <c r="J110" s="67"/>
      <c r="K110" s="67"/>
      <c r="L110" s="67"/>
      <c r="M110" s="295">
        <f t="shared" si="9"/>
        <v>0</v>
      </c>
      <c r="N110" s="164"/>
      <c r="O110" s="164"/>
      <c r="P110" s="164"/>
      <c r="Q110" s="176"/>
      <c r="R110" s="176"/>
      <c r="S110" s="131"/>
      <c r="T110" s="224" t="str">
        <f t="shared" si="10"/>
        <v/>
      </c>
      <c r="U110" s="223" t="str">
        <f t="shared" si="11"/>
        <v/>
      </c>
      <c r="V110" s="327"/>
    </row>
    <row r="111" spans="1:22" x14ac:dyDescent="0.25">
      <c r="A111" s="294">
        <f t="shared" si="6"/>
        <v>0</v>
      </c>
      <c r="B111" s="164"/>
      <c r="C111" s="164"/>
      <c r="D111" s="164"/>
      <c r="E111" s="176"/>
      <c r="F111" s="176"/>
      <c r="G111" s="131"/>
      <c r="H111" s="223" t="str">
        <f t="shared" si="7"/>
        <v/>
      </c>
      <c r="I111" s="223" t="str">
        <f t="shared" si="8"/>
        <v/>
      </c>
      <c r="J111" s="67"/>
      <c r="K111" s="67"/>
      <c r="L111" s="67"/>
      <c r="M111" s="295">
        <f t="shared" si="9"/>
        <v>0</v>
      </c>
      <c r="N111" s="164"/>
      <c r="O111" s="164"/>
      <c r="P111" s="164"/>
      <c r="Q111" s="176"/>
      <c r="R111" s="176"/>
      <c r="S111" s="131"/>
      <c r="T111" s="224" t="str">
        <f t="shared" si="10"/>
        <v/>
      </c>
      <c r="U111" s="223" t="str">
        <f t="shared" si="11"/>
        <v/>
      </c>
      <c r="V111" s="327"/>
    </row>
    <row r="112" spans="1:22" x14ac:dyDescent="0.25">
      <c r="A112" s="294">
        <f t="shared" si="6"/>
        <v>0</v>
      </c>
      <c r="B112" s="164"/>
      <c r="C112" s="164"/>
      <c r="D112" s="164"/>
      <c r="E112" s="176"/>
      <c r="F112" s="176"/>
      <c r="G112" s="131"/>
      <c r="H112" s="223" t="str">
        <f t="shared" si="7"/>
        <v/>
      </c>
      <c r="I112" s="223" t="str">
        <f t="shared" si="8"/>
        <v/>
      </c>
      <c r="J112" s="67"/>
      <c r="K112" s="67"/>
      <c r="L112" s="67"/>
      <c r="M112" s="295">
        <f t="shared" si="9"/>
        <v>0</v>
      </c>
      <c r="N112" s="164"/>
      <c r="O112" s="164"/>
      <c r="P112" s="164"/>
      <c r="Q112" s="176"/>
      <c r="R112" s="176"/>
      <c r="S112" s="131"/>
      <c r="T112" s="224" t="str">
        <f t="shared" si="10"/>
        <v/>
      </c>
      <c r="U112" s="223" t="str">
        <f t="shared" si="11"/>
        <v/>
      </c>
      <c r="V112" s="327"/>
    </row>
    <row r="113" spans="1:22" x14ac:dyDescent="0.25">
      <c r="A113" s="294">
        <f t="shared" si="6"/>
        <v>0</v>
      </c>
      <c r="B113" s="164"/>
      <c r="C113" s="164"/>
      <c r="D113" s="164"/>
      <c r="E113" s="176"/>
      <c r="F113" s="176"/>
      <c r="G113" s="131"/>
      <c r="H113" s="223" t="str">
        <f t="shared" si="7"/>
        <v/>
      </c>
      <c r="I113" s="223" t="str">
        <f t="shared" si="8"/>
        <v/>
      </c>
      <c r="J113" s="67"/>
      <c r="K113" s="67"/>
      <c r="L113" s="67"/>
      <c r="M113" s="295">
        <f t="shared" si="9"/>
        <v>0</v>
      </c>
      <c r="N113" s="164"/>
      <c r="O113" s="164"/>
      <c r="P113" s="164"/>
      <c r="Q113" s="176"/>
      <c r="R113" s="176"/>
      <c r="S113" s="131"/>
      <c r="T113" s="224" t="str">
        <f t="shared" si="10"/>
        <v/>
      </c>
      <c r="U113" s="223" t="str">
        <f t="shared" si="11"/>
        <v/>
      </c>
      <c r="V113" s="327"/>
    </row>
    <row r="114" spans="1:22" x14ac:dyDescent="0.25">
      <c r="A114" s="294">
        <f t="shared" si="6"/>
        <v>0</v>
      </c>
      <c r="B114" s="164"/>
      <c r="C114" s="164"/>
      <c r="D114" s="164"/>
      <c r="E114" s="176"/>
      <c r="F114" s="176"/>
      <c r="G114" s="131"/>
      <c r="H114" s="223" t="str">
        <f t="shared" si="7"/>
        <v/>
      </c>
      <c r="I114" s="223" t="str">
        <f t="shared" si="8"/>
        <v/>
      </c>
      <c r="J114" s="67"/>
      <c r="K114" s="67"/>
      <c r="L114" s="67"/>
      <c r="M114" s="295">
        <f t="shared" si="9"/>
        <v>0</v>
      </c>
      <c r="N114" s="164"/>
      <c r="O114" s="164"/>
      <c r="P114" s="164"/>
      <c r="Q114" s="176"/>
      <c r="R114" s="176"/>
      <c r="S114" s="131"/>
      <c r="T114" s="224" t="str">
        <f t="shared" si="10"/>
        <v/>
      </c>
      <c r="U114" s="223" t="str">
        <f t="shared" si="11"/>
        <v/>
      </c>
      <c r="V114" s="327"/>
    </row>
    <row r="115" spans="1:22" x14ac:dyDescent="0.25">
      <c r="A115" s="294">
        <f t="shared" si="6"/>
        <v>0</v>
      </c>
      <c r="B115" s="164"/>
      <c r="C115" s="164"/>
      <c r="D115" s="164"/>
      <c r="E115" s="176"/>
      <c r="F115" s="176"/>
      <c r="G115" s="131"/>
      <c r="H115" s="223" t="str">
        <f t="shared" si="7"/>
        <v/>
      </c>
      <c r="I115" s="223" t="str">
        <f t="shared" si="8"/>
        <v/>
      </c>
      <c r="J115" s="67"/>
      <c r="K115" s="67"/>
      <c r="L115" s="67"/>
      <c r="M115" s="295">
        <f t="shared" si="9"/>
        <v>0</v>
      </c>
      <c r="N115" s="164"/>
      <c r="O115" s="164"/>
      <c r="P115" s="164"/>
      <c r="Q115" s="176"/>
      <c r="R115" s="176"/>
      <c r="S115" s="131"/>
      <c r="T115" s="224" t="str">
        <f t="shared" si="10"/>
        <v/>
      </c>
      <c r="U115" s="223" t="str">
        <f t="shared" si="11"/>
        <v/>
      </c>
      <c r="V115" s="327"/>
    </row>
    <row r="116" spans="1:22" x14ac:dyDescent="0.25">
      <c r="A116" s="294">
        <f t="shared" si="6"/>
        <v>0</v>
      </c>
      <c r="B116" s="164"/>
      <c r="C116" s="164"/>
      <c r="D116" s="164"/>
      <c r="E116" s="176"/>
      <c r="F116" s="176"/>
      <c r="G116" s="131"/>
      <c r="H116" s="223" t="str">
        <f t="shared" si="7"/>
        <v/>
      </c>
      <c r="I116" s="223" t="str">
        <f t="shared" si="8"/>
        <v/>
      </c>
      <c r="J116" s="67"/>
      <c r="K116" s="67"/>
      <c r="L116" s="67"/>
      <c r="M116" s="295">
        <f t="shared" si="9"/>
        <v>0</v>
      </c>
      <c r="N116" s="164"/>
      <c r="O116" s="164"/>
      <c r="P116" s="164"/>
      <c r="Q116" s="176"/>
      <c r="R116" s="176"/>
      <c r="S116" s="131"/>
      <c r="T116" s="224" t="str">
        <f t="shared" si="10"/>
        <v/>
      </c>
      <c r="U116" s="223" t="str">
        <f t="shared" si="11"/>
        <v/>
      </c>
      <c r="V116" s="327"/>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VqDXWU9BhsKabl30m9r1QAhxyT9x1Upp6bwb/zBRgIiDtgi68hc/CpzhpcmBbGqqkk37Hg6MnlGXVoxEUAhBHg==" saltValue="JwNwGlZGNJ4sUOYGLdnasg==" spinCount="100000" sheet="1" objects="1" scenarios="1"/>
  <mergeCells count="1">
    <mergeCell ref="B13:C13"/>
  </mergeCells>
  <conditionalFormatting sqref="B17:I116">
    <cfRule type="expression" dxfId="26" priority="2">
      <formula>IF(ROW(B17)-16&lt;=$A$16,TRUE, FALSE)</formula>
    </cfRule>
  </conditionalFormatting>
  <conditionalFormatting sqref="N17:V116">
    <cfRule type="expression" dxfId="25"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8" t="s">
        <v>478</v>
      </c>
      <c r="C2" s="129"/>
      <c r="D2" s="129"/>
      <c r="E2" s="129"/>
      <c r="F2" s="111"/>
    </row>
    <row r="3" spans="1:19" x14ac:dyDescent="0.25">
      <c r="B3" s="140" t="s">
        <v>474</v>
      </c>
      <c r="C3" s="140"/>
      <c r="D3" s="271">
        <f ca="1">IF(Capacity!C3="",TODAY(),Capacity!C3)</f>
        <v>43934</v>
      </c>
      <c r="F3" s="112"/>
    </row>
    <row r="4" spans="1:19" x14ac:dyDescent="0.25">
      <c r="B4" s="140" t="s">
        <v>437</v>
      </c>
      <c r="C4" s="140"/>
      <c r="D4" s="272">
        <f>IF(Capacity!C4="",DATE(YEAR(D3)+1,MONTH(D3),DAY(D3))-1,Capacity!C4)</f>
        <v>44298</v>
      </c>
      <c r="F4" s="112"/>
    </row>
    <row r="6" spans="1:19" ht="15" customHeight="1" x14ac:dyDescent="0.25">
      <c r="C6" s="109"/>
      <c r="D6" s="107"/>
      <c r="E6" s="107"/>
      <c r="F6" s="109"/>
      <c r="G6" s="107"/>
      <c r="H6" s="107"/>
      <c r="I6" s="109"/>
      <c r="J6" s="107"/>
      <c r="K6" s="107"/>
      <c r="L6" s="109"/>
      <c r="M6" s="107"/>
      <c r="N6" s="107"/>
      <c r="O6" s="109"/>
      <c r="P6" s="107"/>
      <c r="Q6" s="107"/>
      <c r="R6" s="77"/>
      <c r="S6" s="78"/>
    </row>
    <row r="7" spans="1:19" ht="14.25" customHeight="1" x14ac:dyDescent="0.25">
      <c r="B7" s="107"/>
      <c r="C7" s="109"/>
      <c r="D7" s="107"/>
      <c r="E7" s="107"/>
      <c r="F7" s="109"/>
      <c r="G7" s="107"/>
      <c r="H7" s="107"/>
      <c r="I7" s="109"/>
      <c r="J7" s="107"/>
      <c r="K7" s="107"/>
      <c r="L7" s="109"/>
      <c r="M7" s="107"/>
      <c r="N7" s="107"/>
      <c r="O7" s="109"/>
      <c r="P7" s="107"/>
      <c r="Q7" s="107"/>
      <c r="R7" s="77"/>
      <c r="S7" s="78"/>
    </row>
    <row r="8" spans="1:19" x14ac:dyDescent="0.25">
      <c r="C8" s="110"/>
      <c r="D8" s="400" t="s">
        <v>475</v>
      </c>
      <c r="E8" s="400"/>
      <c r="F8" s="400"/>
      <c r="G8" s="400"/>
      <c r="H8" s="400"/>
      <c r="I8" s="400"/>
      <c r="J8" s="400"/>
      <c r="K8" s="400"/>
      <c r="L8" s="109"/>
      <c r="M8" s="107"/>
      <c r="N8" s="107"/>
      <c r="O8" s="109"/>
      <c r="P8" s="107"/>
      <c r="Q8" s="107"/>
      <c r="S8" s="78"/>
    </row>
    <row r="10" spans="1:19" x14ac:dyDescent="0.25">
      <c r="D10" s="399" t="s">
        <v>444</v>
      </c>
      <c r="E10" s="399"/>
      <c r="F10" s="113"/>
      <c r="G10" s="398" t="s">
        <v>445</v>
      </c>
      <c r="H10" s="398"/>
      <c r="I10" s="113"/>
      <c r="J10" s="399" t="s">
        <v>446</v>
      </c>
      <c r="K10" s="399"/>
      <c r="L10" s="113"/>
      <c r="M10" s="398" t="s">
        <v>447</v>
      </c>
      <c r="N10" s="398"/>
      <c r="O10" s="113"/>
      <c r="P10" s="399" t="s">
        <v>448</v>
      </c>
      <c r="Q10" s="399"/>
    </row>
    <row r="11" spans="1:19" x14ac:dyDescent="0.25">
      <c r="A11" s="74">
        <f>MAX(A12:A111)</f>
        <v>0</v>
      </c>
      <c r="B11" s="115" t="s">
        <v>950</v>
      </c>
      <c r="C11" s="114"/>
      <c r="D11" s="124" t="s">
        <v>148</v>
      </c>
      <c r="E11" s="124" t="s">
        <v>149</v>
      </c>
      <c r="F11" s="113"/>
      <c r="G11" s="125" t="s">
        <v>148</v>
      </c>
      <c r="H11" s="125" t="s">
        <v>149</v>
      </c>
      <c r="I11" s="113"/>
      <c r="J11" s="124" t="s">
        <v>148</v>
      </c>
      <c r="K11" s="124" t="s">
        <v>149</v>
      </c>
      <c r="L11" s="113"/>
      <c r="M11" s="125" t="s">
        <v>148</v>
      </c>
      <c r="N11" s="125" t="s">
        <v>149</v>
      </c>
      <c r="O11" s="113"/>
      <c r="P11" s="124" t="s">
        <v>148</v>
      </c>
      <c r="Q11" s="124" t="s">
        <v>149</v>
      </c>
    </row>
    <row r="12" spans="1:19" x14ac:dyDescent="0.25">
      <c r="A12" s="74">
        <f>IF(B12="",0,ROW(A1))</f>
        <v>0</v>
      </c>
      <c r="B12" s="172"/>
      <c r="D12" s="174"/>
      <c r="E12" s="174"/>
      <c r="F12" s="112"/>
      <c r="G12" s="174"/>
      <c r="H12" s="174"/>
      <c r="I12" s="112"/>
      <c r="J12" s="174"/>
      <c r="K12" s="174"/>
      <c r="L12" s="112"/>
      <c r="M12" s="174"/>
      <c r="N12" s="174"/>
      <c r="O12" s="112"/>
      <c r="P12" s="174"/>
      <c r="Q12" s="174"/>
    </row>
    <row r="13" spans="1:19" x14ac:dyDescent="0.25">
      <c r="A13" s="74">
        <f t="shared" ref="A13:A76" si="0">IF(B13="",0,ROW(A2))</f>
        <v>0</v>
      </c>
      <c r="B13" s="173"/>
      <c r="D13" s="175"/>
      <c r="E13" s="175"/>
      <c r="F13" s="112"/>
      <c r="G13" s="175"/>
      <c r="H13" s="175"/>
      <c r="J13" s="175"/>
      <c r="K13" s="175"/>
      <c r="M13" s="175"/>
      <c r="N13" s="175"/>
      <c r="P13" s="175"/>
      <c r="Q13" s="175"/>
    </row>
    <row r="14" spans="1:19" x14ac:dyDescent="0.25">
      <c r="A14" s="74">
        <f t="shared" si="0"/>
        <v>0</v>
      </c>
      <c r="B14" s="173"/>
      <c r="D14" s="175"/>
      <c r="E14" s="175"/>
      <c r="F14" s="112"/>
      <c r="G14" s="175"/>
      <c r="H14" s="175"/>
      <c r="J14" s="175"/>
      <c r="K14" s="175"/>
      <c r="M14" s="175"/>
      <c r="N14" s="175"/>
      <c r="P14" s="175"/>
      <c r="Q14" s="175"/>
    </row>
    <row r="15" spans="1:19" x14ac:dyDescent="0.25">
      <c r="A15" s="74">
        <f t="shared" si="0"/>
        <v>0</v>
      </c>
      <c r="B15" s="173"/>
      <c r="D15" s="175"/>
      <c r="E15" s="175"/>
      <c r="G15" s="175"/>
      <c r="H15" s="175"/>
      <c r="J15" s="175"/>
      <c r="K15" s="175"/>
      <c r="M15" s="175"/>
      <c r="N15" s="175"/>
      <c r="P15" s="175"/>
      <c r="Q15" s="175"/>
    </row>
    <row r="16" spans="1:19" x14ac:dyDescent="0.25">
      <c r="A16" s="74">
        <f t="shared" si="0"/>
        <v>0</v>
      </c>
      <c r="B16" s="173"/>
      <c r="D16" s="175"/>
      <c r="E16" s="175"/>
      <c r="G16" s="175"/>
      <c r="H16" s="175"/>
      <c r="J16" s="175"/>
      <c r="K16" s="175"/>
      <c r="M16" s="175"/>
      <c r="N16" s="175"/>
      <c r="P16" s="175"/>
      <c r="Q16" s="175"/>
    </row>
    <row r="17" spans="1:17" x14ac:dyDescent="0.25">
      <c r="A17" s="74">
        <f t="shared" si="0"/>
        <v>0</v>
      </c>
      <c r="B17" s="173"/>
      <c r="D17" s="175"/>
      <c r="E17" s="175"/>
      <c r="G17" s="175"/>
      <c r="H17" s="175"/>
      <c r="J17" s="175"/>
      <c r="K17" s="175"/>
      <c r="M17" s="175"/>
      <c r="N17" s="175"/>
      <c r="P17" s="175"/>
      <c r="Q17" s="175"/>
    </row>
    <row r="18" spans="1:17" x14ac:dyDescent="0.25">
      <c r="A18" s="74">
        <f t="shared" si="0"/>
        <v>0</v>
      </c>
      <c r="B18" s="173"/>
      <c r="D18" s="175"/>
      <c r="E18" s="175"/>
      <c r="G18" s="175"/>
      <c r="H18" s="175"/>
      <c r="J18" s="175"/>
      <c r="K18" s="175"/>
      <c r="M18" s="175"/>
      <c r="N18" s="175"/>
      <c r="P18" s="175"/>
      <c r="Q18" s="175"/>
    </row>
    <row r="19" spans="1:17" x14ac:dyDescent="0.25">
      <c r="A19" s="74">
        <f t="shared" si="0"/>
        <v>0</v>
      </c>
      <c r="B19" s="173"/>
      <c r="D19" s="175"/>
      <c r="E19" s="175"/>
      <c r="G19" s="175"/>
      <c r="H19" s="175"/>
      <c r="J19" s="175"/>
      <c r="K19" s="175"/>
      <c r="M19" s="175"/>
      <c r="N19" s="175"/>
      <c r="P19" s="175"/>
      <c r="Q19" s="175"/>
    </row>
    <row r="20" spans="1:17" x14ac:dyDescent="0.25">
      <c r="A20" s="74">
        <f t="shared" si="0"/>
        <v>0</v>
      </c>
      <c r="B20" s="173"/>
      <c r="D20" s="175"/>
      <c r="E20" s="175"/>
      <c r="G20" s="175"/>
      <c r="H20" s="175"/>
      <c r="J20" s="175"/>
      <c r="K20" s="175"/>
      <c r="M20" s="175"/>
      <c r="N20" s="175"/>
      <c r="P20" s="175"/>
      <c r="Q20" s="175"/>
    </row>
    <row r="21" spans="1:17" x14ac:dyDescent="0.25">
      <c r="A21" s="74">
        <f t="shared" si="0"/>
        <v>0</v>
      </c>
      <c r="B21" s="173"/>
      <c r="D21" s="175"/>
      <c r="E21" s="175"/>
      <c r="G21" s="175"/>
      <c r="H21" s="175"/>
      <c r="J21" s="175"/>
      <c r="K21" s="175"/>
      <c r="M21" s="175"/>
      <c r="N21" s="175"/>
      <c r="P21" s="175"/>
      <c r="Q21" s="175"/>
    </row>
    <row r="22" spans="1:17" x14ac:dyDescent="0.25">
      <c r="A22" s="74">
        <f t="shared" si="0"/>
        <v>0</v>
      </c>
      <c r="B22" s="173"/>
      <c r="D22" s="175"/>
      <c r="E22" s="175"/>
      <c r="G22" s="175"/>
      <c r="H22" s="175"/>
      <c r="J22" s="175"/>
      <c r="K22" s="175"/>
      <c r="M22" s="175"/>
      <c r="N22" s="175"/>
      <c r="P22" s="175"/>
      <c r="Q22" s="175"/>
    </row>
    <row r="23" spans="1:17" x14ac:dyDescent="0.25">
      <c r="A23" s="74">
        <f t="shared" si="0"/>
        <v>0</v>
      </c>
      <c r="B23" s="173"/>
      <c r="D23" s="175"/>
      <c r="E23" s="175"/>
      <c r="G23" s="175"/>
      <c r="H23" s="175"/>
      <c r="J23" s="175"/>
      <c r="K23" s="175"/>
      <c r="M23" s="175"/>
      <c r="N23" s="175"/>
      <c r="P23" s="175"/>
      <c r="Q23" s="175"/>
    </row>
    <row r="24" spans="1:17" x14ac:dyDescent="0.25">
      <c r="A24" s="74">
        <f t="shared" si="0"/>
        <v>0</v>
      </c>
      <c r="B24" s="173"/>
      <c r="D24" s="175"/>
      <c r="E24" s="175"/>
      <c r="G24" s="175"/>
      <c r="H24" s="175"/>
      <c r="J24" s="175"/>
      <c r="K24" s="175"/>
      <c r="M24" s="175"/>
      <c r="N24" s="175"/>
      <c r="P24" s="175"/>
      <c r="Q24" s="175"/>
    </row>
    <row r="25" spans="1:17" x14ac:dyDescent="0.25">
      <c r="A25" s="74">
        <f t="shared" si="0"/>
        <v>0</v>
      </c>
      <c r="B25" s="173"/>
      <c r="D25" s="175"/>
      <c r="E25" s="175"/>
      <c r="G25" s="175"/>
      <c r="H25" s="175"/>
      <c r="J25" s="175"/>
      <c r="K25" s="175"/>
      <c r="M25" s="175"/>
      <c r="N25" s="175"/>
      <c r="P25" s="175"/>
      <c r="Q25" s="175"/>
    </row>
    <row r="26" spans="1:17" x14ac:dyDescent="0.25">
      <c r="A26" s="74">
        <f t="shared" si="0"/>
        <v>0</v>
      </c>
      <c r="B26" s="173"/>
      <c r="D26" s="175"/>
      <c r="E26" s="175"/>
      <c r="G26" s="175"/>
      <c r="H26" s="175"/>
      <c r="J26" s="175"/>
      <c r="K26" s="175"/>
      <c r="M26" s="175"/>
      <c r="N26" s="175"/>
      <c r="P26" s="175"/>
      <c r="Q26" s="175"/>
    </row>
    <row r="27" spans="1:17" x14ac:dyDescent="0.25">
      <c r="A27" s="74">
        <f t="shared" si="0"/>
        <v>0</v>
      </c>
      <c r="B27" s="173"/>
      <c r="D27" s="175"/>
      <c r="E27" s="175"/>
      <c r="G27" s="175"/>
      <c r="H27" s="175"/>
      <c r="J27" s="175"/>
      <c r="K27" s="175"/>
      <c r="M27" s="175"/>
      <c r="N27" s="175"/>
      <c r="P27" s="175"/>
      <c r="Q27" s="175"/>
    </row>
    <row r="28" spans="1:17" x14ac:dyDescent="0.25">
      <c r="A28" s="74">
        <f t="shared" si="0"/>
        <v>0</v>
      </c>
      <c r="B28" s="173"/>
      <c r="D28" s="175"/>
      <c r="E28" s="175"/>
      <c r="G28" s="175"/>
      <c r="H28" s="175"/>
      <c r="J28" s="175"/>
      <c r="K28" s="175"/>
      <c r="M28" s="175"/>
      <c r="N28" s="175"/>
      <c r="P28" s="175"/>
      <c r="Q28" s="175"/>
    </row>
    <row r="29" spans="1:17" x14ac:dyDescent="0.25">
      <c r="A29" s="74">
        <f t="shared" si="0"/>
        <v>0</v>
      </c>
      <c r="B29" s="173"/>
      <c r="D29" s="175"/>
      <c r="E29" s="175"/>
      <c r="G29" s="175"/>
      <c r="H29" s="175"/>
      <c r="J29" s="175"/>
      <c r="K29" s="175"/>
      <c r="M29" s="175"/>
      <c r="N29" s="175"/>
      <c r="P29" s="175"/>
      <c r="Q29" s="175"/>
    </row>
    <row r="30" spans="1:17" x14ac:dyDescent="0.25">
      <c r="A30" s="74">
        <f t="shared" si="0"/>
        <v>0</v>
      </c>
      <c r="B30" s="173"/>
      <c r="D30" s="175"/>
      <c r="E30" s="175"/>
      <c r="G30" s="175"/>
      <c r="H30" s="175"/>
      <c r="J30" s="175"/>
      <c r="K30" s="175"/>
      <c r="M30" s="175"/>
      <c r="N30" s="175"/>
      <c r="P30" s="175"/>
      <c r="Q30" s="175"/>
    </row>
    <row r="31" spans="1:17" x14ac:dyDescent="0.25">
      <c r="A31" s="74">
        <f t="shared" si="0"/>
        <v>0</v>
      </c>
      <c r="B31" s="173"/>
      <c r="D31" s="175"/>
      <c r="E31" s="175"/>
      <c r="G31" s="175"/>
      <c r="H31" s="175"/>
      <c r="J31" s="175"/>
      <c r="K31" s="175"/>
      <c r="M31" s="175"/>
      <c r="N31" s="175"/>
      <c r="P31" s="175"/>
      <c r="Q31" s="175"/>
    </row>
    <row r="32" spans="1:17" x14ac:dyDescent="0.25">
      <c r="A32" s="74">
        <f t="shared" si="0"/>
        <v>0</v>
      </c>
      <c r="B32" s="173"/>
      <c r="D32" s="175"/>
      <c r="E32" s="175"/>
      <c r="G32" s="175"/>
      <c r="H32" s="175"/>
      <c r="J32" s="175"/>
      <c r="K32" s="175"/>
      <c r="M32" s="175"/>
      <c r="N32" s="175"/>
      <c r="P32" s="175"/>
      <c r="Q32" s="175"/>
    </row>
    <row r="33" spans="1:17" x14ac:dyDescent="0.25">
      <c r="A33" s="74">
        <f t="shared" si="0"/>
        <v>0</v>
      </c>
      <c r="B33" s="173"/>
      <c r="D33" s="175"/>
      <c r="E33" s="175"/>
      <c r="G33" s="175"/>
      <c r="H33" s="175"/>
      <c r="J33" s="175"/>
      <c r="K33" s="175"/>
      <c r="M33" s="175"/>
      <c r="N33" s="175"/>
      <c r="P33" s="175"/>
      <c r="Q33" s="175"/>
    </row>
    <row r="34" spans="1:17" x14ac:dyDescent="0.25">
      <c r="A34" s="74">
        <f t="shared" si="0"/>
        <v>0</v>
      </c>
      <c r="B34" s="173"/>
      <c r="D34" s="175"/>
      <c r="E34" s="175"/>
      <c r="G34" s="175"/>
      <c r="H34" s="175"/>
      <c r="J34" s="175"/>
      <c r="K34" s="175"/>
      <c r="M34" s="175"/>
      <c r="N34" s="175"/>
      <c r="P34" s="175"/>
      <c r="Q34" s="175"/>
    </row>
    <row r="35" spans="1:17" x14ac:dyDescent="0.25">
      <c r="A35" s="74">
        <f t="shared" si="0"/>
        <v>0</v>
      </c>
      <c r="B35" s="173"/>
      <c r="D35" s="175"/>
      <c r="E35" s="175"/>
      <c r="G35" s="175"/>
      <c r="H35" s="175"/>
      <c r="J35" s="175"/>
      <c r="K35" s="175"/>
      <c r="M35" s="175"/>
      <c r="N35" s="175"/>
      <c r="P35" s="175"/>
      <c r="Q35" s="175"/>
    </row>
    <row r="36" spans="1:17" x14ac:dyDescent="0.25">
      <c r="A36" s="74">
        <f t="shared" si="0"/>
        <v>0</v>
      </c>
      <c r="B36" s="173"/>
      <c r="D36" s="175"/>
      <c r="E36" s="175"/>
      <c r="G36" s="175"/>
      <c r="H36" s="175"/>
      <c r="J36" s="175"/>
      <c r="K36" s="175"/>
      <c r="M36" s="175"/>
      <c r="N36" s="175"/>
      <c r="P36" s="175"/>
      <c r="Q36" s="175"/>
    </row>
    <row r="37" spans="1:17" x14ac:dyDescent="0.25">
      <c r="A37" s="74">
        <f t="shared" si="0"/>
        <v>0</v>
      </c>
      <c r="B37" s="173"/>
      <c r="D37" s="175"/>
      <c r="E37" s="175"/>
      <c r="G37" s="175"/>
      <c r="H37" s="175"/>
      <c r="J37" s="175"/>
      <c r="K37" s="175"/>
      <c r="M37" s="175"/>
      <c r="N37" s="175"/>
      <c r="P37" s="175"/>
      <c r="Q37" s="175"/>
    </row>
    <row r="38" spans="1:17" x14ac:dyDescent="0.25">
      <c r="A38" s="74">
        <f t="shared" si="0"/>
        <v>0</v>
      </c>
      <c r="B38" s="173"/>
      <c r="D38" s="175"/>
      <c r="E38" s="175"/>
      <c r="G38" s="175"/>
      <c r="H38" s="175"/>
      <c r="J38" s="175"/>
      <c r="K38" s="175"/>
      <c r="M38" s="175"/>
      <c r="N38" s="175"/>
      <c r="P38" s="175"/>
      <c r="Q38" s="175"/>
    </row>
    <row r="39" spans="1:17" x14ac:dyDescent="0.25">
      <c r="A39" s="74">
        <f t="shared" si="0"/>
        <v>0</v>
      </c>
      <c r="B39" s="173"/>
      <c r="D39" s="175"/>
      <c r="E39" s="175"/>
      <c r="G39" s="175"/>
      <c r="H39" s="175"/>
      <c r="J39" s="175"/>
      <c r="K39" s="175"/>
      <c r="M39" s="175"/>
      <c r="N39" s="175"/>
      <c r="P39" s="175"/>
      <c r="Q39" s="175"/>
    </row>
    <row r="40" spans="1:17" x14ac:dyDescent="0.25">
      <c r="A40" s="74">
        <f t="shared" si="0"/>
        <v>0</v>
      </c>
      <c r="B40" s="173"/>
      <c r="D40" s="175"/>
      <c r="E40" s="175"/>
      <c r="G40" s="175"/>
      <c r="H40" s="175"/>
      <c r="J40" s="175"/>
      <c r="K40" s="175"/>
      <c r="M40" s="175"/>
      <c r="N40" s="175"/>
      <c r="P40" s="175"/>
      <c r="Q40" s="175"/>
    </row>
    <row r="41" spans="1:17" x14ac:dyDescent="0.25">
      <c r="A41" s="74">
        <f t="shared" si="0"/>
        <v>0</v>
      </c>
      <c r="B41" s="173"/>
      <c r="D41" s="175"/>
      <c r="E41" s="175"/>
      <c r="G41" s="175"/>
      <c r="H41" s="175"/>
      <c r="J41" s="175"/>
      <c r="K41" s="175"/>
      <c r="M41" s="175"/>
      <c r="N41" s="175"/>
      <c r="P41" s="175"/>
      <c r="Q41" s="175"/>
    </row>
    <row r="42" spans="1:17" x14ac:dyDescent="0.25">
      <c r="A42" s="74">
        <f t="shared" si="0"/>
        <v>0</v>
      </c>
      <c r="B42" s="173"/>
      <c r="D42" s="175"/>
      <c r="E42" s="175"/>
      <c r="G42" s="175"/>
      <c r="H42" s="175"/>
      <c r="J42" s="175"/>
      <c r="K42" s="175"/>
      <c r="M42" s="175"/>
      <c r="N42" s="175"/>
      <c r="P42" s="175"/>
      <c r="Q42" s="175"/>
    </row>
    <row r="43" spans="1:17" x14ac:dyDescent="0.25">
      <c r="A43" s="74">
        <f t="shared" si="0"/>
        <v>0</v>
      </c>
      <c r="B43" s="173"/>
      <c r="D43" s="175"/>
      <c r="E43" s="175"/>
      <c r="G43" s="175"/>
      <c r="H43" s="175"/>
      <c r="J43" s="175"/>
      <c r="K43" s="175"/>
      <c r="M43" s="175"/>
      <c r="N43" s="175"/>
      <c r="P43" s="175"/>
      <c r="Q43" s="175"/>
    </row>
    <row r="44" spans="1:17" x14ac:dyDescent="0.25">
      <c r="A44" s="74">
        <f t="shared" si="0"/>
        <v>0</v>
      </c>
      <c r="B44" s="173"/>
      <c r="D44" s="175"/>
      <c r="E44" s="175"/>
      <c r="G44" s="175"/>
      <c r="H44" s="175"/>
      <c r="J44" s="175"/>
      <c r="K44" s="175"/>
      <c r="M44" s="175"/>
      <c r="N44" s="175"/>
      <c r="P44" s="175"/>
      <c r="Q44" s="175"/>
    </row>
    <row r="45" spans="1:17" x14ac:dyDescent="0.25">
      <c r="A45" s="74">
        <f t="shared" si="0"/>
        <v>0</v>
      </c>
      <c r="B45" s="173"/>
      <c r="D45" s="175"/>
      <c r="E45" s="175"/>
      <c r="G45" s="175"/>
      <c r="H45" s="175"/>
      <c r="J45" s="175"/>
      <c r="K45" s="175"/>
      <c r="M45" s="175"/>
      <c r="N45" s="175"/>
      <c r="P45" s="175"/>
      <c r="Q45" s="175"/>
    </row>
    <row r="46" spans="1:17" x14ac:dyDescent="0.25">
      <c r="A46" s="74">
        <f t="shared" si="0"/>
        <v>0</v>
      </c>
      <c r="B46" s="173"/>
      <c r="D46" s="175"/>
      <c r="E46" s="175"/>
      <c r="G46" s="175"/>
      <c r="H46" s="175"/>
      <c r="J46" s="175"/>
      <c r="K46" s="175"/>
      <c r="M46" s="175"/>
      <c r="N46" s="175"/>
      <c r="P46" s="175"/>
      <c r="Q46" s="175"/>
    </row>
    <row r="47" spans="1:17" x14ac:dyDescent="0.25">
      <c r="A47" s="74">
        <f t="shared" si="0"/>
        <v>0</v>
      </c>
      <c r="B47" s="173"/>
      <c r="D47" s="175"/>
      <c r="E47" s="175"/>
      <c r="G47" s="175"/>
      <c r="H47" s="175"/>
      <c r="J47" s="175"/>
      <c r="K47" s="175"/>
      <c r="M47" s="175"/>
      <c r="N47" s="175"/>
      <c r="P47" s="175"/>
      <c r="Q47" s="175"/>
    </row>
    <row r="48" spans="1:17" x14ac:dyDescent="0.25">
      <c r="A48" s="74">
        <f t="shared" si="0"/>
        <v>0</v>
      </c>
      <c r="B48" s="173"/>
      <c r="D48" s="175"/>
      <c r="E48" s="175"/>
      <c r="G48" s="175"/>
      <c r="H48" s="175"/>
      <c r="J48" s="175"/>
      <c r="K48" s="175"/>
      <c r="M48" s="175"/>
      <c r="N48" s="175"/>
      <c r="P48" s="175"/>
      <c r="Q48" s="175"/>
    </row>
    <row r="49" spans="1:17" x14ac:dyDescent="0.25">
      <c r="A49" s="74">
        <f t="shared" si="0"/>
        <v>0</v>
      </c>
      <c r="B49" s="173"/>
      <c r="D49" s="175"/>
      <c r="E49" s="175"/>
      <c r="G49" s="175"/>
      <c r="H49" s="175"/>
      <c r="J49" s="175"/>
      <c r="K49" s="175"/>
      <c r="M49" s="175"/>
      <c r="N49" s="175"/>
      <c r="P49" s="175"/>
      <c r="Q49" s="175"/>
    </row>
    <row r="50" spans="1:17" x14ac:dyDescent="0.25">
      <c r="A50" s="74">
        <f t="shared" si="0"/>
        <v>0</v>
      </c>
      <c r="B50" s="173"/>
      <c r="D50" s="175"/>
      <c r="E50" s="175"/>
      <c r="G50" s="175"/>
      <c r="H50" s="175"/>
      <c r="J50" s="175"/>
      <c r="K50" s="175"/>
      <c r="M50" s="175"/>
      <c r="N50" s="175"/>
      <c r="P50" s="175"/>
      <c r="Q50" s="175"/>
    </row>
    <row r="51" spans="1:17" x14ac:dyDescent="0.25">
      <c r="A51" s="74">
        <f t="shared" si="0"/>
        <v>0</v>
      </c>
      <c r="B51" s="173"/>
      <c r="D51" s="175"/>
      <c r="E51" s="175"/>
      <c r="G51" s="175"/>
      <c r="H51" s="175"/>
      <c r="J51" s="175"/>
      <c r="K51" s="175"/>
      <c r="M51" s="175"/>
      <c r="N51" s="175"/>
      <c r="P51" s="175"/>
      <c r="Q51" s="175"/>
    </row>
    <row r="52" spans="1:17" x14ac:dyDescent="0.25">
      <c r="A52" s="74">
        <f t="shared" si="0"/>
        <v>0</v>
      </c>
      <c r="B52" s="173"/>
      <c r="D52" s="175"/>
      <c r="E52" s="175"/>
      <c r="G52" s="175"/>
      <c r="H52" s="175"/>
      <c r="J52" s="175"/>
      <c r="K52" s="175"/>
      <c r="M52" s="175"/>
      <c r="N52" s="175"/>
      <c r="P52" s="175"/>
      <c r="Q52" s="175"/>
    </row>
    <row r="53" spans="1:17" x14ac:dyDescent="0.25">
      <c r="A53" s="74">
        <f t="shared" si="0"/>
        <v>0</v>
      </c>
      <c r="B53" s="173"/>
      <c r="D53" s="175"/>
      <c r="E53" s="175"/>
      <c r="G53" s="175"/>
      <c r="H53" s="175"/>
      <c r="J53" s="175"/>
      <c r="K53" s="175"/>
      <c r="M53" s="175"/>
      <c r="N53" s="175"/>
      <c r="P53" s="175"/>
      <c r="Q53" s="175"/>
    </row>
    <row r="54" spans="1:17" x14ac:dyDescent="0.25">
      <c r="A54" s="74">
        <f t="shared" si="0"/>
        <v>0</v>
      </c>
      <c r="B54" s="173"/>
      <c r="D54" s="175"/>
      <c r="E54" s="175"/>
      <c r="G54" s="175"/>
      <c r="H54" s="175"/>
      <c r="J54" s="175"/>
      <c r="K54" s="175"/>
      <c r="M54" s="175"/>
      <c r="N54" s="175"/>
      <c r="P54" s="175"/>
      <c r="Q54" s="175"/>
    </row>
    <row r="55" spans="1:17" x14ac:dyDescent="0.25">
      <c r="A55" s="74">
        <f t="shared" si="0"/>
        <v>0</v>
      </c>
      <c r="B55" s="173"/>
      <c r="D55" s="175"/>
      <c r="E55" s="175"/>
      <c r="G55" s="175"/>
      <c r="H55" s="175"/>
      <c r="J55" s="175"/>
      <c r="K55" s="175"/>
      <c r="M55" s="175"/>
      <c r="N55" s="175"/>
      <c r="P55" s="175"/>
      <c r="Q55" s="175"/>
    </row>
    <row r="56" spans="1:17" x14ac:dyDescent="0.25">
      <c r="A56" s="74">
        <f t="shared" si="0"/>
        <v>0</v>
      </c>
      <c r="B56" s="173"/>
      <c r="D56" s="175"/>
      <c r="E56" s="175"/>
      <c r="G56" s="175"/>
      <c r="H56" s="175"/>
      <c r="J56" s="175"/>
      <c r="K56" s="175"/>
      <c r="M56" s="175"/>
      <c r="N56" s="175"/>
      <c r="P56" s="175"/>
      <c r="Q56" s="175"/>
    </row>
    <row r="57" spans="1:17" x14ac:dyDescent="0.25">
      <c r="A57" s="74">
        <f t="shared" si="0"/>
        <v>0</v>
      </c>
      <c r="B57" s="173"/>
      <c r="D57" s="175"/>
      <c r="E57" s="175"/>
      <c r="G57" s="175"/>
      <c r="H57" s="175"/>
      <c r="J57" s="175"/>
      <c r="K57" s="175"/>
      <c r="M57" s="175"/>
      <c r="N57" s="175"/>
      <c r="P57" s="175"/>
      <c r="Q57" s="175"/>
    </row>
    <row r="58" spans="1:17" x14ac:dyDescent="0.25">
      <c r="A58" s="74">
        <f t="shared" si="0"/>
        <v>0</v>
      </c>
      <c r="B58" s="173"/>
      <c r="D58" s="175"/>
      <c r="E58" s="175"/>
      <c r="G58" s="175"/>
      <c r="H58" s="175"/>
      <c r="J58" s="175"/>
      <c r="K58" s="175"/>
      <c r="M58" s="175"/>
      <c r="N58" s="175"/>
      <c r="P58" s="175"/>
      <c r="Q58" s="175"/>
    </row>
    <row r="59" spans="1:17" x14ac:dyDescent="0.25">
      <c r="A59" s="74">
        <f t="shared" si="0"/>
        <v>0</v>
      </c>
      <c r="B59" s="173"/>
      <c r="D59" s="175"/>
      <c r="E59" s="175"/>
      <c r="G59" s="175"/>
      <c r="H59" s="175"/>
      <c r="J59" s="175"/>
      <c r="K59" s="175"/>
      <c r="M59" s="175"/>
      <c r="N59" s="175"/>
      <c r="P59" s="175"/>
      <c r="Q59" s="175"/>
    </row>
    <row r="60" spans="1:17" x14ac:dyDescent="0.25">
      <c r="A60" s="74">
        <f t="shared" si="0"/>
        <v>0</v>
      </c>
      <c r="B60" s="173"/>
      <c r="D60" s="175"/>
      <c r="E60" s="175"/>
      <c r="G60" s="175"/>
      <c r="H60" s="175"/>
      <c r="J60" s="175"/>
      <c r="K60" s="175"/>
      <c r="M60" s="175"/>
      <c r="N60" s="175"/>
      <c r="P60" s="175"/>
      <c r="Q60" s="175"/>
    </row>
    <row r="61" spans="1:17" x14ac:dyDescent="0.25">
      <c r="A61" s="74">
        <f t="shared" si="0"/>
        <v>0</v>
      </c>
      <c r="B61" s="173"/>
      <c r="D61" s="175"/>
      <c r="E61" s="175"/>
      <c r="G61" s="175"/>
      <c r="H61" s="175"/>
      <c r="J61" s="175"/>
      <c r="K61" s="175"/>
      <c r="M61" s="175"/>
      <c r="N61" s="175"/>
      <c r="P61" s="175"/>
      <c r="Q61" s="175"/>
    </row>
    <row r="62" spans="1:17" x14ac:dyDescent="0.25">
      <c r="A62" s="74">
        <f t="shared" si="0"/>
        <v>0</v>
      </c>
      <c r="B62" s="173"/>
      <c r="D62" s="175"/>
      <c r="E62" s="175"/>
      <c r="G62" s="175"/>
      <c r="H62" s="175"/>
      <c r="J62" s="175"/>
      <c r="K62" s="175"/>
      <c r="M62" s="175"/>
      <c r="N62" s="175"/>
      <c r="P62" s="175"/>
      <c r="Q62" s="175"/>
    </row>
    <row r="63" spans="1:17" x14ac:dyDescent="0.25">
      <c r="A63" s="74">
        <f t="shared" si="0"/>
        <v>0</v>
      </c>
      <c r="B63" s="173"/>
      <c r="D63" s="175"/>
      <c r="E63" s="175"/>
      <c r="G63" s="175"/>
      <c r="H63" s="175"/>
      <c r="J63" s="175"/>
      <c r="K63" s="175"/>
      <c r="M63" s="175"/>
      <c r="N63" s="175"/>
      <c r="P63" s="175"/>
      <c r="Q63" s="175"/>
    </row>
    <row r="64" spans="1:17" x14ac:dyDescent="0.25">
      <c r="A64" s="74">
        <f t="shared" si="0"/>
        <v>0</v>
      </c>
      <c r="B64" s="173"/>
      <c r="D64" s="175"/>
      <c r="E64" s="175"/>
      <c r="G64" s="175"/>
      <c r="H64" s="175"/>
      <c r="J64" s="175"/>
      <c r="K64" s="175"/>
      <c r="M64" s="175"/>
      <c r="N64" s="175"/>
      <c r="P64" s="175"/>
      <c r="Q64" s="175"/>
    </row>
    <row r="65" spans="1:17" x14ac:dyDescent="0.25">
      <c r="A65" s="74">
        <f t="shared" si="0"/>
        <v>0</v>
      </c>
      <c r="B65" s="173"/>
      <c r="D65" s="175"/>
      <c r="E65" s="175"/>
      <c r="G65" s="175"/>
      <c r="H65" s="175"/>
      <c r="J65" s="175"/>
      <c r="K65" s="175"/>
      <c r="M65" s="175"/>
      <c r="N65" s="175"/>
      <c r="P65" s="175"/>
      <c r="Q65" s="175"/>
    </row>
    <row r="66" spans="1:17" x14ac:dyDescent="0.25">
      <c r="A66" s="74">
        <f t="shared" si="0"/>
        <v>0</v>
      </c>
      <c r="B66" s="173"/>
      <c r="D66" s="175"/>
      <c r="E66" s="175"/>
      <c r="G66" s="175"/>
      <c r="H66" s="175"/>
      <c r="J66" s="175"/>
      <c r="K66" s="175"/>
      <c r="M66" s="175"/>
      <c r="N66" s="175"/>
      <c r="P66" s="175"/>
      <c r="Q66" s="175"/>
    </row>
    <row r="67" spans="1:17" x14ac:dyDescent="0.25">
      <c r="A67" s="74">
        <f t="shared" si="0"/>
        <v>0</v>
      </c>
      <c r="B67" s="173"/>
      <c r="D67" s="175"/>
      <c r="E67" s="175"/>
      <c r="G67" s="175"/>
      <c r="H67" s="175"/>
      <c r="J67" s="175"/>
      <c r="K67" s="175"/>
      <c r="M67" s="175"/>
      <c r="N67" s="175"/>
      <c r="P67" s="175"/>
      <c r="Q67" s="175"/>
    </row>
    <row r="68" spans="1:17" x14ac:dyDescent="0.25">
      <c r="A68" s="74">
        <f t="shared" si="0"/>
        <v>0</v>
      </c>
      <c r="B68" s="173"/>
      <c r="D68" s="175"/>
      <c r="E68" s="175"/>
      <c r="G68" s="175"/>
      <c r="H68" s="175"/>
      <c r="J68" s="175"/>
      <c r="K68" s="175"/>
      <c r="M68" s="175"/>
      <c r="N68" s="175"/>
      <c r="P68" s="175"/>
      <c r="Q68" s="175"/>
    </row>
    <row r="69" spans="1:17" x14ac:dyDescent="0.25">
      <c r="A69" s="74">
        <f t="shared" si="0"/>
        <v>0</v>
      </c>
      <c r="B69" s="173"/>
      <c r="D69" s="175"/>
      <c r="E69" s="175"/>
      <c r="G69" s="175"/>
      <c r="H69" s="175"/>
      <c r="J69" s="175"/>
      <c r="K69" s="175"/>
      <c r="M69" s="175"/>
      <c r="N69" s="175"/>
      <c r="P69" s="175"/>
      <c r="Q69" s="175"/>
    </row>
    <row r="70" spans="1:17" x14ac:dyDescent="0.25">
      <c r="A70" s="74">
        <f t="shared" si="0"/>
        <v>0</v>
      </c>
      <c r="B70" s="173"/>
      <c r="D70" s="175"/>
      <c r="E70" s="175"/>
      <c r="G70" s="175"/>
      <c r="H70" s="175"/>
      <c r="J70" s="175"/>
      <c r="K70" s="175"/>
      <c r="M70" s="175"/>
      <c r="N70" s="175"/>
      <c r="P70" s="175"/>
      <c r="Q70" s="175"/>
    </row>
    <row r="71" spans="1:17" x14ac:dyDescent="0.25">
      <c r="A71" s="74">
        <f t="shared" si="0"/>
        <v>0</v>
      </c>
      <c r="B71" s="173"/>
      <c r="D71" s="175"/>
      <c r="E71" s="175"/>
      <c r="G71" s="175"/>
      <c r="H71" s="175"/>
      <c r="J71" s="175"/>
      <c r="K71" s="175"/>
      <c r="M71" s="175"/>
      <c r="N71" s="175"/>
      <c r="P71" s="175"/>
      <c r="Q71" s="175"/>
    </row>
    <row r="72" spans="1:17" x14ac:dyDescent="0.25">
      <c r="A72" s="74">
        <f t="shared" si="0"/>
        <v>0</v>
      </c>
      <c r="B72" s="173"/>
      <c r="D72" s="175"/>
      <c r="E72" s="175"/>
      <c r="G72" s="175"/>
      <c r="H72" s="175"/>
      <c r="J72" s="175"/>
      <c r="K72" s="175"/>
      <c r="M72" s="175"/>
      <c r="N72" s="175"/>
      <c r="P72" s="175"/>
      <c r="Q72" s="175"/>
    </row>
    <row r="73" spans="1:17" x14ac:dyDescent="0.25">
      <c r="A73" s="74">
        <f t="shared" si="0"/>
        <v>0</v>
      </c>
      <c r="B73" s="173"/>
      <c r="D73" s="175"/>
      <c r="E73" s="175"/>
      <c r="G73" s="175"/>
      <c r="H73" s="175"/>
      <c r="J73" s="175"/>
      <c r="K73" s="175"/>
      <c r="M73" s="175"/>
      <c r="N73" s="175"/>
      <c r="P73" s="175"/>
      <c r="Q73" s="175"/>
    </row>
    <row r="74" spans="1:17" x14ac:dyDescent="0.25">
      <c r="A74" s="74">
        <f t="shared" si="0"/>
        <v>0</v>
      </c>
      <c r="B74" s="173"/>
      <c r="D74" s="175"/>
      <c r="E74" s="175"/>
      <c r="G74" s="175"/>
      <c r="H74" s="175"/>
      <c r="J74" s="175"/>
      <c r="K74" s="175"/>
      <c r="M74" s="175"/>
      <c r="N74" s="175"/>
      <c r="P74" s="175"/>
      <c r="Q74" s="175"/>
    </row>
    <row r="75" spans="1:17" x14ac:dyDescent="0.25">
      <c r="A75" s="74">
        <f t="shared" si="0"/>
        <v>0</v>
      </c>
      <c r="B75" s="173"/>
      <c r="D75" s="175"/>
      <c r="E75" s="175"/>
      <c r="G75" s="175"/>
      <c r="H75" s="175"/>
      <c r="J75" s="175"/>
      <c r="K75" s="175"/>
      <c r="M75" s="175"/>
      <c r="N75" s="175"/>
      <c r="P75" s="175"/>
      <c r="Q75" s="175"/>
    </row>
    <row r="76" spans="1:17" x14ac:dyDescent="0.25">
      <c r="A76" s="74">
        <f t="shared" si="0"/>
        <v>0</v>
      </c>
      <c r="B76" s="173"/>
      <c r="D76" s="175"/>
      <c r="E76" s="175"/>
      <c r="G76" s="175"/>
      <c r="H76" s="175"/>
      <c r="J76" s="175"/>
      <c r="K76" s="175"/>
      <c r="M76" s="175"/>
      <c r="N76" s="175"/>
      <c r="P76" s="175"/>
      <c r="Q76" s="175"/>
    </row>
    <row r="77" spans="1:17" x14ac:dyDescent="0.25">
      <c r="A77" s="74">
        <f t="shared" ref="A77:A111" si="1">IF(B77="",0,ROW(A66))</f>
        <v>0</v>
      </c>
      <c r="B77" s="173"/>
      <c r="D77" s="175"/>
      <c r="E77" s="175"/>
      <c r="G77" s="175"/>
      <c r="H77" s="175"/>
      <c r="J77" s="175"/>
      <c r="K77" s="175"/>
      <c r="M77" s="175"/>
      <c r="N77" s="175"/>
      <c r="P77" s="175"/>
      <c r="Q77" s="175"/>
    </row>
    <row r="78" spans="1:17" x14ac:dyDescent="0.25">
      <c r="A78" s="74">
        <f t="shared" si="1"/>
        <v>0</v>
      </c>
      <c r="B78" s="173"/>
      <c r="D78" s="175"/>
      <c r="E78" s="175"/>
      <c r="G78" s="175"/>
      <c r="H78" s="175"/>
      <c r="J78" s="175"/>
      <c r="K78" s="175"/>
      <c r="M78" s="175"/>
      <c r="N78" s="175"/>
      <c r="P78" s="175"/>
      <c r="Q78" s="175"/>
    </row>
    <row r="79" spans="1:17" x14ac:dyDescent="0.25">
      <c r="A79" s="74">
        <f t="shared" si="1"/>
        <v>0</v>
      </c>
      <c r="B79" s="173"/>
      <c r="D79" s="175"/>
      <c r="E79" s="175"/>
      <c r="G79" s="175"/>
      <c r="H79" s="175"/>
      <c r="J79" s="175"/>
      <c r="K79" s="175"/>
      <c r="M79" s="175"/>
      <c r="N79" s="175"/>
      <c r="P79" s="175"/>
      <c r="Q79" s="175"/>
    </row>
    <row r="80" spans="1:17" x14ac:dyDescent="0.25">
      <c r="A80" s="74">
        <f t="shared" si="1"/>
        <v>0</v>
      </c>
      <c r="B80" s="173"/>
      <c r="D80" s="175"/>
      <c r="E80" s="175"/>
      <c r="G80" s="175"/>
      <c r="H80" s="175"/>
      <c r="J80" s="175"/>
      <c r="K80" s="175"/>
      <c r="M80" s="175"/>
      <c r="N80" s="175"/>
      <c r="P80" s="175"/>
      <c r="Q80" s="175"/>
    </row>
    <row r="81" spans="1:17" x14ac:dyDescent="0.25">
      <c r="A81" s="74">
        <f t="shared" si="1"/>
        <v>0</v>
      </c>
      <c r="B81" s="173"/>
      <c r="D81" s="175"/>
      <c r="E81" s="175"/>
      <c r="G81" s="175"/>
      <c r="H81" s="175"/>
      <c r="J81" s="175"/>
      <c r="K81" s="175"/>
      <c r="M81" s="175"/>
      <c r="N81" s="175"/>
      <c r="P81" s="175"/>
      <c r="Q81" s="175"/>
    </row>
    <row r="82" spans="1:17" x14ac:dyDescent="0.25">
      <c r="A82" s="74">
        <f t="shared" si="1"/>
        <v>0</v>
      </c>
      <c r="B82" s="173"/>
      <c r="D82" s="175"/>
      <c r="E82" s="175"/>
      <c r="G82" s="175"/>
      <c r="H82" s="175"/>
      <c r="J82" s="175"/>
      <c r="K82" s="175"/>
      <c r="M82" s="175"/>
      <c r="N82" s="175"/>
      <c r="P82" s="175"/>
      <c r="Q82" s="175"/>
    </row>
    <row r="83" spans="1:17" x14ac:dyDescent="0.25">
      <c r="A83" s="74">
        <f t="shared" si="1"/>
        <v>0</v>
      </c>
      <c r="B83" s="173"/>
      <c r="D83" s="175"/>
      <c r="E83" s="175"/>
      <c r="G83" s="175"/>
      <c r="H83" s="175"/>
      <c r="J83" s="175"/>
      <c r="K83" s="175"/>
      <c r="M83" s="175"/>
      <c r="N83" s="175"/>
      <c r="P83" s="175"/>
      <c r="Q83" s="175"/>
    </row>
    <row r="84" spans="1:17" x14ac:dyDescent="0.25">
      <c r="A84" s="74">
        <f t="shared" si="1"/>
        <v>0</v>
      </c>
      <c r="B84" s="173"/>
      <c r="D84" s="175"/>
      <c r="E84" s="175"/>
      <c r="G84" s="175"/>
      <c r="H84" s="175"/>
      <c r="J84" s="175"/>
      <c r="K84" s="175"/>
      <c r="M84" s="175"/>
      <c r="N84" s="175"/>
      <c r="P84" s="175"/>
      <c r="Q84" s="175"/>
    </row>
    <row r="85" spans="1:17" x14ac:dyDescent="0.25">
      <c r="A85" s="74">
        <f t="shared" si="1"/>
        <v>0</v>
      </c>
      <c r="B85" s="173"/>
      <c r="D85" s="175"/>
      <c r="E85" s="175"/>
      <c r="G85" s="175"/>
      <c r="H85" s="175"/>
      <c r="J85" s="175"/>
      <c r="K85" s="175"/>
      <c r="M85" s="175"/>
      <c r="N85" s="175"/>
      <c r="P85" s="175"/>
      <c r="Q85" s="175"/>
    </row>
    <row r="86" spans="1:17" x14ac:dyDescent="0.25">
      <c r="A86" s="74">
        <f t="shared" si="1"/>
        <v>0</v>
      </c>
      <c r="B86" s="173"/>
      <c r="D86" s="175"/>
      <c r="E86" s="175"/>
      <c r="G86" s="175"/>
      <c r="H86" s="175"/>
      <c r="J86" s="175"/>
      <c r="K86" s="175"/>
      <c r="M86" s="175"/>
      <c r="N86" s="175"/>
      <c r="P86" s="175"/>
      <c r="Q86" s="175"/>
    </row>
    <row r="87" spans="1:17" x14ac:dyDescent="0.25">
      <c r="A87" s="74">
        <f t="shared" si="1"/>
        <v>0</v>
      </c>
      <c r="B87" s="173"/>
      <c r="D87" s="175"/>
      <c r="E87" s="175"/>
      <c r="G87" s="175"/>
      <c r="H87" s="175"/>
      <c r="J87" s="175"/>
      <c r="K87" s="175"/>
      <c r="M87" s="175"/>
      <c r="N87" s="175"/>
      <c r="P87" s="175"/>
      <c r="Q87" s="175"/>
    </row>
    <row r="88" spans="1:17" x14ac:dyDescent="0.25">
      <c r="A88" s="74">
        <f t="shared" si="1"/>
        <v>0</v>
      </c>
      <c r="B88" s="173"/>
      <c r="D88" s="175"/>
      <c r="E88" s="175"/>
      <c r="G88" s="175"/>
      <c r="H88" s="175"/>
      <c r="J88" s="175"/>
      <c r="K88" s="175"/>
      <c r="M88" s="175"/>
      <c r="N88" s="175"/>
      <c r="P88" s="175"/>
      <c r="Q88" s="175"/>
    </row>
    <row r="89" spans="1:17" x14ac:dyDescent="0.25">
      <c r="A89" s="74">
        <f t="shared" si="1"/>
        <v>0</v>
      </c>
      <c r="B89" s="173"/>
      <c r="D89" s="175"/>
      <c r="E89" s="175"/>
      <c r="G89" s="175"/>
      <c r="H89" s="175"/>
      <c r="J89" s="175"/>
      <c r="K89" s="175"/>
      <c r="M89" s="175"/>
      <c r="N89" s="175"/>
      <c r="P89" s="175"/>
      <c r="Q89" s="175"/>
    </row>
    <row r="90" spans="1:17" x14ac:dyDescent="0.25">
      <c r="A90" s="74">
        <f t="shared" si="1"/>
        <v>0</v>
      </c>
      <c r="B90" s="173"/>
      <c r="D90" s="175"/>
      <c r="E90" s="175"/>
      <c r="G90" s="175"/>
      <c r="H90" s="175"/>
      <c r="J90" s="175"/>
      <c r="K90" s="175"/>
      <c r="M90" s="175"/>
      <c r="N90" s="175"/>
      <c r="P90" s="175"/>
      <c r="Q90" s="175"/>
    </row>
    <row r="91" spans="1:17" x14ac:dyDescent="0.25">
      <c r="A91" s="74">
        <f t="shared" si="1"/>
        <v>0</v>
      </c>
      <c r="B91" s="173"/>
      <c r="D91" s="175"/>
      <c r="E91" s="175"/>
      <c r="G91" s="175"/>
      <c r="H91" s="175"/>
      <c r="J91" s="175"/>
      <c r="K91" s="175"/>
      <c r="M91" s="175"/>
      <c r="N91" s="175"/>
      <c r="P91" s="175"/>
      <c r="Q91" s="175"/>
    </row>
    <row r="92" spans="1:17" x14ac:dyDescent="0.25">
      <c r="A92" s="74">
        <f t="shared" si="1"/>
        <v>0</v>
      </c>
      <c r="B92" s="173"/>
      <c r="D92" s="175"/>
      <c r="E92" s="175"/>
      <c r="G92" s="175"/>
      <c r="H92" s="175"/>
      <c r="J92" s="175"/>
      <c r="K92" s="175"/>
      <c r="M92" s="175"/>
      <c r="N92" s="175"/>
      <c r="P92" s="175"/>
      <c r="Q92" s="175"/>
    </row>
    <row r="93" spans="1:17" x14ac:dyDescent="0.25">
      <c r="A93" s="74">
        <f t="shared" si="1"/>
        <v>0</v>
      </c>
      <c r="B93" s="173"/>
      <c r="D93" s="175"/>
      <c r="E93" s="175"/>
      <c r="G93" s="175"/>
      <c r="H93" s="175"/>
      <c r="J93" s="175"/>
      <c r="K93" s="175"/>
      <c r="M93" s="175"/>
      <c r="N93" s="175"/>
      <c r="P93" s="175"/>
      <c r="Q93" s="175"/>
    </row>
    <row r="94" spans="1:17" x14ac:dyDescent="0.25">
      <c r="A94" s="74">
        <f t="shared" si="1"/>
        <v>0</v>
      </c>
      <c r="B94" s="173"/>
      <c r="D94" s="175"/>
      <c r="E94" s="175"/>
      <c r="G94" s="175"/>
      <c r="H94" s="175"/>
      <c r="J94" s="175"/>
      <c r="K94" s="175"/>
      <c r="M94" s="175"/>
      <c r="N94" s="175"/>
      <c r="P94" s="175"/>
      <c r="Q94" s="175"/>
    </row>
    <row r="95" spans="1:17" x14ac:dyDescent="0.25">
      <c r="A95" s="74">
        <f t="shared" si="1"/>
        <v>0</v>
      </c>
      <c r="B95" s="173"/>
      <c r="D95" s="175"/>
      <c r="E95" s="175"/>
      <c r="G95" s="175"/>
      <c r="H95" s="175"/>
      <c r="J95" s="175"/>
      <c r="K95" s="175"/>
      <c r="M95" s="175"/>
      <c r="N95" s="175"/>
      <c r="P95" s="175"/>
      <c r="Q95" s="175"/>
    </row>
    <row r="96" spans="1:17" x14ac:dyDescent="0.25">
      <c r="A96" s="74">
        <f t="shared" si="1"/>
        <v>0</v>
      </c>
      <c r="B96" s="173"/>
      <c r="D96" s="175"/>
      <c r="E96" s="175"/>
      <c r="G96" s="175"/>
      <c r="H96" s="175"/>
      <c r="J96" s="175"/>
      <c r="K96" s="175"/>
      <c r="M96" s="175"/>
      <c r="N96" s="175"/>
      <c r="P96" s="175"/>
      <c r="Q96" s="175"/>
    </row>
    <row r="97" spans="1:17" x14ac:dyDescent="0.25">
      <c r="A97" s="74">
        <f t="shared" si="1"/>
        <v>0</v>
      </c>
      <c r="B97" s="173"/>
      <c r="D97" s="175"/>
      <c r="E97" s="175"/>
      <c r="G97" s="175"/>
      <c r="H97" s="175"/>
      <c r="J97" s="175"/>
      <c r="K97" s="175"/>
      <c r="M97" s="175"/>
      <c r="N97" s="175"/>
      <c r="P97" s="175"/>
      <c r="Q97" s="175"/>
    </row>
    <row r="98" spans="1:17" x14ac:dyDescent="0.25">
      <c r="A98" s="74">
        <f t="shared" si="1"/>
        <v>0</v>
      </c>
      <c r="B98" s="173"/>
      <c r="D98" s="175"/>
      <c r="E98" s="175"/>
      <c r="G98" s="175"/>
      <c r="H98" s="175"/>
      <c r="J98" s="175"/>
      <c r="K98" s="175"/>
      <c r="M98" s="175"/>
      <c r="N98" s="175"/>
      <c r="P98" s="175"/>
      <c r="Q98" s="175"/>
    </row>
    <row r="99" spans="1:17" x14ac:dyDescent="0.25">
      <c r="A99" s="74">
        <f t="shared" si="1"/>
        <v>0</v>
      </c>
      <c r="B99" s="173"/>
      <c r="D99" s="175"/>
      <c r="E99" s="175"/>
      <c r="G99" s="175"/>
      <c r="H99" s="175"/>
      <c r="J99" s="175"/>
      <c r="K99" s="175"/>
      <c r="M99" s="175"/>
      <c r="N99" s="175"/>
      <c r="P99" s="175"/>
      <c r="Q99" s="175"/>
    </row>
    <row r="100" spans="1:17" x14ac:dyDescent="0.25">
      <c r="A100" s="74">
        <f t="shared" si="1"/>
        <v>0</v>
      </c>
      <c r="B100" s="173"/>
      <c r="D100" s="175"/>
      <c r="E100" s="175"/>
      <c r="G100" s="175"/>
      <c r="H100" s="175"/>
      <c r="J100" s="175"/>
      <c r="K100" s="175"/>
      <c r="M100" s="175"/>
      <c r="N100" s="175"/>
      <c r="P100" s="175"/>
      <c r="Q100" s="175"/>
    </row>
    <row r="101" spans="1:17" x14ac:dyDescent="0.25">
      <c r="A101" s="74">
        <f t="shared" si="1"/>
        <v>0</v>
      </c>
      <c r="B101" s="173"/>
      <c r="D101" s="175"/>
      <c r="E101" s="175"/>
      <c r="G101" s="175"/>
      <c r="H101" s="175"/>
      <c r="J101" s="175"/>
      <c r="K101" s="175"/>
      <c r="M101" s="175"/>
      <c r="N101" s="175"/>
      <c r="P101" s="175"/>
      <c r="Q101" s="175"/>
    </row>
    <row r="102" spans="1:17" x14ac:dyDescent="0.25">
      <c r="A102" s="74">
        <f t="shared" si="1"/>
        <v>0</v>
      </c>
      <c r="B102" s="173"/>
      <c r="D102" s="175"/>
      <c r="E102" s="175"/>
      <c r="G102" s="175"/>
      <c r="H102" s="175"/>
      <c r="J102" s="175"/>
      <c r="K102" s="175"/>
      <c r="M102" s="175"/>
      <c r="N102" s="175"/>
      <c r="P102" s="175"/>
      <c r="Q102" s="175"/>
    </row>
    <row r="103" spans="1:17" x14ac:dyDescent="0.25">
      <c r="A103" s="74">
        <f t="shared" si="1"/>
        <v>0</v>
      </c>
      <c r="B103" s="173"/>
      <c r="D103" s="175"/>
      <c r="E103" s="175"/>
      <c r="G103" s="175"/>
      <c r="H103" s="175"/>
      <c r="J103" s="175"/>
      <c r="K103" s="175"/>
      <c r="M103" s="175"/>
      <c r="N103" s="175"/>
      <c r="P103" s="175"/>
      <c r="Q103" s="175"/>
    </row>
    <row r="104" spans="1:17" x14ac:dyDescent="0.25">
      <c r="A104" s="74">
        <f t="shared" si="1"/>
        <v>0</v>
      </c>
      <c r="B104" s="173"/>
      <c r="D104" s="175"/>
      <c r="E104" s="175"/>
      <c r="G104" s="175"/>
      <c r="H104" s="175"/>
      <c r="J104" s="175"/>
      <c r="K104" s="175"/>
      <c r="M104" s="175"/>
      <c r="N104" s="175"/>
      <c r="P104" s="175"/>
      <c r="Q104" s="175"/>
    </row>
    <row r="105" spans="1:17" x14ac:dyDescent="0.25">
      <c r="A105" s="74">
        <f t="shared" si="1"/>
        <v>0</v>
      </c>
      <c r="B105" s="173"/>
      <c r="D105" s="175"/>
      <c r="E105" s="175"/>
      <c r="G105" s="175"/>
      <c r="H105" s="175"/>
      <c r="J105" s="175"/>
      <c r="K105" s="175"/>
      <c r="M105" s="175"/>
      <c r="N105" s="175"/>
      <c r="P105" s="175"/>
      <c r="Q105" s="175"/>
    </row>
    <row r="106" spans="1:17" x14ac:dyDescent="0.25">
      <c r="A106" s="74">
        <f t="shared" si="1"/>
        <v>0</v>
      </c>
      <c r="B106" s="173"/>
      <c r="D106" s="175"/>
      <c r="E106" s="175"/>
      <c r="G106" s="175"/>
      <c r="H106" s="175"/>
      <c r="J106" s="175"/>
      <c r="K106" s="175"/>
      <c r="M106" s="175"/>
      <c r="N106" s="175"/>
      <c r="P106" s="175"/>
      <c r="Q106" s="175"/>
    </row>
    <row r="107" spans="1:17" x14ac:dyDescent="0.25">
      <c r="A107" s="74">
        <f t="shared" si="1"/>
        <v>0</v>
      </c>
      <c r="B107" s="173"/>
      <c r="D107" s="175"/>
      <c r="E107" s="175"/>
      <c r="G107" s="175"/>
      <c r="H107" s="175"/>
      <c r="J107" s="175"/>
      <c r="K107" s="175"/>
      <c r="M107" s="175"/>
      <c r="N107" s="175"/>
      <c r="P107" s="175"/>
      <c r="Q107" s="175"/>
    </row>
    <row r="108" spans="1:17" x14ac:dyDescent="0.25">
      <c r="A108" s="74">
        <f t="shared" si="1"/>
        <v>0</v>
      </c>
      <c r="B108" s="173"/>
      <c r="D108" s="175"/>
      <c r="E108" s="175"/>
      <c r="G108" s="175"/>
      <c r="H108" s="175"/>
      <c r="J108" s="175"/>
      <c r="K108" s="175"/>
      <c r="M108" s="175"/>
      <c r="N108" s="175"/>
      <c r="P108" s="175"/>
      <c r="Q108" s="175"/>
    </row>
    <row r="109" spans="1:17" x14ac:dyDescent="0.25">
      <c r="A109" s="74">
        <f t="shared" si="1"/>
        <v>0</v>
      </c>
      <c r="B109" s="173"/>
      <c r="D109" s="175"/>
      <c r="E109" s="175"/>
      <c r="G109" s="175"/>
      <c r="H109" s="175"/>
      <c r="J109" s="175"/>
      <c r="K109" s="175"/>
      <c r="M109" s="175"/>
      <c r="N109" s="175"/>
      <c r="P109" s="175"/>
      <c r="Q109" s="175"/>
    </row>
    <row r="110" spans="1:17" x14ac:dyDescent="0.25">
      <c r="A110" s="74">
        <f t="shared" si="1"/>
        <v>0</v>
      </c>
      <c r="B110" s="173"/>
      <c r="D110" s="175"/>
      <c r="E110" s="175"/>
      <c r="G110" s="175"/>
      <c r="H110" s="175"/>
      <c r="J110" s="175"/>
      <c r="K110" s="175"/>
      <c r="M110" s="175"/>
      <c r="N110" s="175"/>
      <c r="P110" s="175"/>
      <c r="Q110" s="175"/>
    </row>
    <row r="111" spans="1:17" x14ac:dyDescent="0.25">
      <c r="A111" s="74">
        <f t="shared" si="1"/>
        <v>0</v>
      </c>
      <c r="B111" s="173"/>
      <c r="D111" s="175"/>
      <c r="E111" s="175"/>
      <c r="G111" s="175"/>
      <c r="H111" s="175"/>
      <c r="J111" s="175"/>
      <c r="K111" s="175"/>
      <c r="M111" s="175"/>
      <c r="N111" s="175"/>
      <c r="P111" s="175"/>
      <c r="Q111" s="175"/>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4" priority="4">
      <formula>IF($B12="",FALSE, TRUE)</formula>
    </cfRule>
  </conditionalFormatting>
  <conditionalFormatting sqref="E12:E111 H12:H111 K12:K111 N12:N111 Q12:Q111">
    <cfRule type="expression" dxfId="23"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01" t="s">
        <v>473</v>
      </c>
      <c r="C1" s="401"/>
      <c r="D1" s="401"/>
    </row>
    <row r="2" spans="1:11" ht="14.25" customHeight="1" x14ac:dyDescent="0.25"/>
    <row r="3" spans="1:11" x14ac:dyDescent="0.25">
      <c r="B3" s="56" t="s">
        <v>479</v>
      </c>
    </row>
    <row r="4" spans="1:11" x14ac:dyDescent="0.25">
      <c r="B4" s="141"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1" t="s">
        <v>252</v>
      </c>
      <c r="C11" s="121" t="s">
        <v>452</v>
      </c>
      <c r="D11" s="121" t="s">
        <v>453</v>
      </c>
      <c r="E11" s="121" t="s">
        <v>454</v>
      </c>
      <c r="F11" s="122" t="s">
        <v>295</v>
      </c>
      <c r="G11" s="122" t="s">
        <v>465</v>
      </c>
      <c r="H11" s="122" t="s">
        <v>460</v>
      </c>
      <c r="I11" s="122" t="s">
        <v>878</v>
      </c>
      <c r="J11" s="122" t="s">
        <v>294</v>
      </c>
    </row>
    <row r="12" spans="1:11" x14ac:dyDescent="0.25">
      <c r="B12" s="219" t="str">
        <f>IF(Capacity!B17=0,"",Capacity!B17)</f>
        <v>Clinic 1</v>
      </c>
      <c r="C12" s="133"/>
      <c r="D12" s="133"/>
      <c r="E12" s="133"/>
      <c r="F12" s="216">
        <f>IF(ROW(A1)&lt;=Capacity!$A$16,Capacity!E17,"")</f>
        <v>42</v>
      </c>
      <c r="G12" s="217">
        <f>IF(ROW(A1)&lt;=Capacity!$A$16,'Capacity calculation (hide)'!BH5,"")</f>
        <v>52</v>
      </c>
      <c r="H12" s="216">
        <f>IF(ROW(A1)&lt;=Capacity!$A$16,Capacity!H17,"")</f>
        <v>8400</v>
      </c>
      <c r="I12" s="218">
        <f ca="1">IF(ROW(A1)&lt;=Capacity!$A$16,'Capacity calculation (hide)'!DK5,"")</f>
        <v>7331.5384615384664</v>
      </c>
      <c r="J12" s="219" t="str">
        <f>IFERROR(IF(G12-F12 &lt;0, "Under","Over"),"")</f>
        <v>Over</v>
      </c>
    </row>
    <row r="13" spans="1:11" x14ac:dyDescent="0.25">
      <c r="B13" s="219" t="str">
        <f>IF(Capacity!B18=0,"",Capacity!B18)</f>
        <v/>
      </c>
      <c r="C13" s="133"/>
      <c r="D13" s="133"/>
      <c r="E13" s="133"/>
      <c r="F13" s="216" t="str">
        <f>IF(ROW(A2)&lt;=Capacity!$A$16,Capacity!E18,"")</f>
        <v/>
      </c>
      <c r="G13" s="217" t="str">
        <f>IF(ROW(A2)&lt;=Capacity!$A$16,'Capacity calculation (hide)'!BH6,"")</f>
        <v/>
      </c>
      <c r="H13" s="216" t="str">
        <f>IF(ROW(A2)&lt;=Capacity!$A$16,Capacity!H18,"")</f>
        <v/>
      </c>
      <c r="I13" s="218" t="str">
        <f>IF(ROW(A2)&lt;=Capacity!$A$16,'Capacity calculation (hide)'!DK6,"")</f>
        <v/>
      </c>
      <c r="J13" s="219" t="str">
        <f t="shared" ref="J13:J76" si="0">IFERROR(IF(G13-F13 &lt;0, "Under","Over"),"")</f>
        <v/>
      </c>
    </row>
    <row r="14" spans="1:11" x14ac:dyDescent="0.25">
      <c r="B14" s="219" t="str">
        <f>IF(Capacity!B19=0,"",Capacity!B19)</f>
        <v/>
      </c>
      <c r="C14" s="133"/>
      <c r="D14" s="133"/>
      <c r="E14" s="133"/>
      <c r="F14" s="216" t="str">
        <f>IF(ROW(A3)&lt;=Capacity!$A$16,Capacity!E19,"")</f>
        <v/>
      </c>
      <c r="G14" s="217" t="str">
        <f>IF(ROW(A3)&lt;=Capacity!$A$16,'Capacity calculation (hide)'!BH7,"")</f>
        <v/>
      </c>
      <c r="H14" s="216" t="str">
        <f>IF(ROW(A3)&lt;=Capacity!$A$16,Capacity!H19,"")</f>
        <v/>
      </c>
      <c r="I14" s="218" t="str">
        <f>IF(ROW(A3)&lt;=Capacity!$A$16,'Capacity calculation (hide)'!DK7,"")</f>
        <v/>
      </c>
      <c r="J14" s="219" t="str">
        <f t="shared" si="0"/>
        <v/>
      </c>
    </row>
    <row r="15" spans="1:11" x14ac:dyDescent="0.25">
      <c r="B15" s="219" t="str">
        <f>IF(Capacity!B20=0,"",Capacity!B20)</f>
        <v/>
      </c>
      <c r="C15" s="133"/>
      <c r="D15" s="133"/>
      <c r="E15" s="133"/>
      <c r="F15" s="216" t="str">
        <f>IF(ROW(A4)&lt;=Capacity!$A$16,Capacity!E20,"")</f>
        <v/>
      </c>
      <c r="G15" s="217" t="str">
        <f>IF(ROW(A4)&lt;=Capacity!$A$16,'Capacity calculation (hide)'!BH8,"")</f>
        <v/>
      </c>
      <c r="H15" s="216" t="str">
        <f>IF(ROW(A4)&lt;=Capacity!$A$16,Capacity!H20,"")</f>
        <v/>
      </c>
      <c r="I15" s="218" t="str">
        <f>IF(ROW(A4)&lt;=Capacity!$A$16,'Capacity calculation (hide)'!DK8,"")</f>
        <v/>
      </c>
      <c r="J15" s="219" t="str">
        <f t="shared" si="0"/>
        <v/>
      </c>
    </row>
    <row r="16" spans="1:11" x14ac:dyDescent="0.25">
      <c r="B16" s="219" t="str">
        <f>IF(Capacity!B21=0,"",Capacity!B21)</f>
        <v/>
      </c>
      <c r="C16" s="133"/>
      <c r="D16" s="133"/>
      <c r="E16" s="133"/>
      <c r="F16" s="216" t="str">
        <f>IF(ROW(A5)&lt;=Capacity!$A$16,Capacity!E21,"")</f>
        <v/>
      </c>
      <c r="G16" s="217" t="str">
        <f>IF(ROW(A5)&lt;=Capacity!$A$16,'Capacity calculation (hide)'!BH9,"")</f>
        <v/>
      </c>
      <c r="H16" s="216" t="str">
        <f>IF(ROW(A5)&lt;=Capacity!$A$16,Capacity!H21,"")</f>
        <v/>
      </c>
      <c r="I16" s="218" t="str">
        <f>IF(ROW(A5)&lt;=Capacity!$A$16,'Capacity calculation (hide)'!DK9,"")</f>
        <v/>
      </c>
      <c r="J16" s="219" t="str">
        <f t="shared" si="0"/>
        <v/>
      </c>
    </row>
    <row r="17" spans="2:10" x14ac:dyDescent="0.25">
      <c r="B17" s="219" t="str">
        <f>IF(Capacity!B22=0,"",Capacity!B22)</f>
        <v/>
      </c>
      <c r="C17" s="133"/>
      <c r="D17" s="133"/>
      <c r="E17" s="133"/>
      <c r="F17" s="216" t="str">
        <f>IF(ROW(A6)&lt;=Capacity!$A$16,Capacity!E22,"")</f>
        <v/>
      </c>
      <c r="G17" s="217" t="str">
        <f>IF(ROW(A6)&lt;=Capacity!$A$16,'Capacity calculation (hide)'!BH10,"")</f>
        <v/>
      </c>
      <c r="H17" s="216" t="str">
        <f>IF(ROW(A6)&lt;=Capacity!$A$16,Capacity!H22,"")</f>
        <v/>
      </c>
      <c r="I17" s="218" t="str">
        <f>IF(ROW(A6)&lt;=Capacity!$A$16,'Capacity calculation (hide)'!DK10,"")</f>
        <v/>
      </c>
      <c r="J17" s="219" t="str">
        <f t="shared" si="0"/>
        <v/>
      </c>
    </row>
    <row r="18" spans="2:10" x14ac:dyDescent="0.25">
      <c r="B18" s="219" t="str">
        <f>IF(Capacity!B23=0,"",Capacity!B23)</f>
        <v/>
      </c>
      <c r="C18" s="133"/>
      <c r="D18" s="133"/>
      <c r="E18" s="133"/>
      <c r="F18" s="216" t="str">
        <f>IF(ROW(A7)&lt;=Capacity!$A$16,Capacity!E23,"")</f>
        <v/>
      </c>
      <c r="G18" s="217" t="str">
        <f>IF(ROW(A7)&lt;=Capacity!$A$16,'Capacity calculation (hide)'!BH11,"")</f>
        <v/>
      </c>
      <c r="H18" s="216" t="str">
        <f>IF(ROW(A7)&lt;=Capacity!$A$16,Capacity!H23,"")</f>
        <v/>
      </c>
      <c r="I18" s="218" t="str">
        <f>IF(ROW(A7)&lt;=Capacity!$A$16,'Capacity calculation (hide)'!DK11,"")</f>
        <v/>
      </c>
      <c r="J18" s="219" t="str">
        <f t="shared" si="0"/>
        <v/>
      </c>
    </row>
    <row r="19" spans="2:10" x14ac:dyDescent="0.25">
      <c r="B19" s="219" t="str">
        <f>IF(Capacity!B24=0,"",Capacity!B24)</f>
        <v/>
      </c>
      <c r="C19" s="133"/>
      <c r="D19" s="133"/>
      <c r="E19" s="133"/>
      <c r="F19" s="216" t="str">
        <f>IF(ROW(A8)&lt;=Capacity!$A$16,Capacity!E24,"")</f>
        <v/>
      </c>
      <c r="G19" s="217" t="str">
        <f>IF(ROW(A8)&lt;=Capacity!$A$16,'Capacity calculation (hide)'!BH12,"")</f>
        <v/>
      </c>
      <c r="H19" s="216" t="str">
        <f>IF(ROW(A8)&lt;=Capacity!$A$16,Capacity!H24,"")</f>
        <v/>
      </c>
      <c r="I19" s="218" t="str">
        <f>IF(ROW(A8)&lt;=Capacity!$A$16,'Capacity calculation (hide)'!DK12,"")</f>
        <v/>
      </c>
      <c r="J19" s="219" t="str">
        <f t="shared" si="0"/>
        <v/>
      </c>
    </row>
    <row r="20" spans="2:10" x14ac:dyDescent="0.25">
      <c r="B20" s="219" t="str">
        <f>IF(Capacity!B25=0,"",Capacity!B25)</f>
        <v/>
      </c>
      <c r="C20" s="133"/>
      <c r="D20" s="133"/>
      <c r="E20" s="133"/>
      <c r="F20" s="216" t="str">
        <f>IF(ROW(A9)&lt;=Capacity!$A$16,Capacity!E25,"")</f>
        <v/>
      </c>
      <c r="G20" s="217" t="str">
        <f>IF(ROW(A9)&lt;=Capacity!$A$16,'Capacity calculation (hide)'!BH13,"")</f>
        <v/>
      </c>
      <c r="H20" s="216" t="str">
        <f>IF(ROW(A9)&lt;=Capacity!$A$16,Capacity!H25,"")</f>
        <v/>
      </c>
      <c r="I20" s="218" t="str">
        <f>IF(ROW(A9)&lt;=Capacity!$A$16,'Capacity calculation (hide)'!DK13,"")</f>
        <v/>
      </c>
      <c r="J20" s="219" t="str">
        <f t="shared" si="0"/>
        <v/>
      </c>
    </row>
    <row r="21" spans="2:10" x14ac:dyDescent="0.25">
      <c r="B21" s="219" t="str">
        <f>IF(Capacity!B26=0,"",Capacity!B26)</f>
        <v/>
      </c>
      <c r="C21" s="133"/>
      <c r="D21" s="133"/>
      <c r="E21" s="133"/>
      <c r="F21" s="216" t="str">
        <f>IF(ROW(A10)&lt;=Capacity!$A$16,Capacity!E26,"")</f>
        <v/>
      </c>
      <c r="G21" s="217" t="str">
        <f>IF(ROW(A10)&lt;=Capacity!$A$16,'Capacity calculation (hide)'!BH14,"")</f>
        <v/>
      </c>
      <c r="H21" s="216" t="str">
        <f>IF(ROW(A10)&lt;=Capacity!$A$16,Capacity!H26,"")</f>
        <v/>
      </c>
      <c r="I21" s="218" t="str">
        <f>IF(ROW(A10)&lt;=Capacity!$A$16,'Capacity calculation (hide)'!DK14,"")</f>
        <v/>
      </c>
      <c r="J21" s="219" t="str">
        <f t="shared" si="0"/>
        <v/>
      </c>
    </row>
    <row r="22" spans="2:10" x14ac:dyDescent="0.25">
      <c r="B22" s="219" t="str">
        <f>IF(Capacity!B27=0,"",Capacity!B27)</f>
        <v/>
      </c>
      <c r="C22" s="133"/>
      <c r="D22" s="133"/>
      <c r="E22" s="133"/>
      <c r="F22" s="216" t="str">
        <f>IF(ROW(A11)&lt;=Capacity!$A$16,Capacity!E27,"")</f>
        <v/>
      </c>
      <c r="G22" s="217" t="str">
        <f>IF(ROW(A11)&lt;=Capacity!$A$16,'Capacity calculation (hide)'!BH15,"")</f>
        <v/>
      </c>
      <c r="H22" s="216" t="str">
        <f>IF(ROW(A11)&lt;=Capacity!$A$16,Capacity!H27,"")</f>
        <v/>
      </c>
      <c r="I22" s="218" t="str">
        <f>IF(ROW(A11)&lt;=Capacity!$A$16,'Capacity calculation (hide)'!DK15,"")</f>
        <v/>
      </c>
      <c r="J22" s="219" t="str">
        <f t="shared" si="0"/>
        <v/>
      </c>
    </row>
    <row r="23" spans="2:10" x14ac:dyDescent="0.25">
      <c r="B23" s="219" t="str">
        <f>IF(Capacity!B28=0,"",Capacity!B28)</f>
        <v/>
      </c>
      <c r="C23" s="133"/>
      <c r="D23" s="133"/>
      <c r="E23" s="133"/>
      <c r="F23" s="216" t="str">
        <f>IF(ROW(A12)&lt;=Capacity!$A$16,Capacity!E28,"")</f>
        <v/>
      </c>
      <c r="G23" s="217" t="str">
        <f>IF(ROW(A12)&lt;=Capacity!$A$16,'Capacity calculation (hide)'!BH16,"")</f>
        <v/>
      </c>
      <c r="H23" s="216" t="str">
        <f>IF(ROW(A12)&lt;=Capacity!$A$16,Capacity!H28,"")</f>
        <v/>
      </c>
      <c r="I23" s="218" t="str">
        <f>IF(ROW(A12)&lt;=Capacity!$A$16,'Capacity calculation (hide)'!DK16,"")</f>
        <v/>
      </c>
      <c r="J23" s="219" t="str">
        <f t="shared" si="0"/>
        <v/>
      </c>
    </row>
    <row r="24" spans="2:10" x14ac:dyDescent="0.25">
      <c r="B24" s="219" t="str">
        <f>IF(Capacity!B29=0,"",Capacity!B29)</f>
        <v/>
      </c>
      <c r="C24" s="133"/>
      <c r="D24" s="133"/>
      <c r="E24" s="133"/>
      <c r="F24" s="216" t="str">
        <f>IF(ROW(A13)&lt;=Capacity!$A$16,Capacity!E29,"")</f>
        <v/>
      </c>
      <c r="G24" s="217" t="str">
        <f>IF(ROW(A13)&lt;=Capacity!$A$16,'Capacity calculation (hide)'!BH17,"")</f>
        <v/>
      </c>
      <c r="H24" s="216" t="str">
        <f>IF(ROW(A13)&lt;=Capacity!$A$16,Capacity!H29,"")</f>
        <v/>
      </c>
      <c r="I24" s="218" t="str">
        <f>IF(ROW(A13)&lt;=Capacity!$A$16,'Capacity calculation (hide)'!DK17,"")</f>
        <v/>
      </c>
      <c r="J24" s="219" t="str">
        <f t="shared" si="0"/>
        <v/>
      </c>
    </row>
    <row r="25" spans="2:10" x14ac:dyDescent="0.25">
      <c r="B25" s="219" t="str">
        <f>IF(Capacity!B30=0,"",Capacity!B30)</f>
        <v/>
      </c>
      <c r="C25" s="133"/>
      <c r="D25" s="133"/>
      <c r="E25" s="133"/>
      <c r="F25" s="216" t="str">
        <f>IF(ROW(A14)&lt;=Capacity!$A$16,Capacity!E30,"")</f>
        <v/>
      </c>
      <c r="G25" s="217" t="str">
        <f>IF(ROW(A14)&lt;=Capacity!$A$16,'Capacity calculation (hide)'!BH18,"")</f>
        <v/>
      </c>
      <c r="H25" s="216" t="str">
        <f>IF(ROW(A14)&lt;=Capacity!$A$16,Capacity!H30,"")</f>
        <v/>
      </c>
      <c r="I25" s="218" t="str">
        <f>IF(ROW(A14)&lt;=Capacity!$A$16,'Capacity calculation (hide)'!DK18,"")</f>
        <v/>
      </c>
      <c r="J25" s="219" t="str">
        <f t="shared" si="0"/>
        <v/>
      </c>
    </row>
    <row r="26" spans="2:10" x14ac:dyDescent="0.25">
      <c r="B26" s="219" t="str">
        <f>IF(Capacity!B31=0,"",Capacity!B31)</f>
        <v/>
      </c>
      <c r="C26" s="133"/>
      <c r="D26" s="133"/>
      <c r="E26" s="133"/>
      <c r="F26" s="216" t="str">
        <f>IF(ROW(A15)&lt;=Capacity!$A$16,Capacity!E31,"")</f>
        <v/>
      </c>
      <c r="G26" s="217" t="str">
        <f>IF(ROW(A15)&lt;=Capacity!$A$16,'Capacity calculation (hide)'!BH19,"")</f>
        <v/>
      </c>
      <c r="H26" s="216" t="str">
        <f>IF(ROW(A15)&lt;=Capacity!$A$16,Capacity!H31,"")</f>
        <v/>
      </c>
      <c r="I26" s="218" t="str">
        <f>IF(ROW(A15)&lt;=Capacity!$A$16,'Capacity calculation (hide)'!DK19,"")</f>
        <v/>
      </c>
      <c r="J26" s="219" t="str">
        <f t="shared" si="0"/>
        <v/>
      </c>
    </row>
    <row r="27" spans="2:10" x14ac:dyDescent="0.25">
      <c r="B27" s="219" t="str">
        <f>IF(Capacity!B32=0,"",Capacity!B32)</f>
        <v/>
      </c>
      <c r="C27" s="133"/>
      <c r="D27" s="133"/>
      <c r="E27" s="133"/>
      <c r="F27" s="216" t="str">
        <f>IF(ROW(A16)&lt;=Capacity!$A$16,Capacity!E32,"")</f>
        <v/>
      </c>
      <c r="G27" s="217" t="str">
        <f>IF(ROW(A16)&lt;=Capacity!$A$16,'Capacity calculation (hide)'!BH20,"")</f>
        <v/>
      </c>
      <c r="H27" s="216" t="str">
        <f>IF(ROW(A16)&lt;=Capacity!$A$16,Capacity!H32,"")</f>
        <v/>
      </c>
      <c r="I27" s="218" t="str">
        <f>IF(ROW(A16)&lt;=Capacity!$A$16,'Capacity calculation (hide)'!DK20,"")</f>
        <v/>
      </c>
      <c r="J27" s="219" t="str">
        <f t="shared" si="0"/>
        <v/>
      </c>
    </row>
    <row r="28" spans="2:10" x14ac:dyDescent="0.25">
      <c r="B28" s="219" t="str">
        <f>IF(Capacity!B33=0,"",Capacity!B33)</f>
        <v/>
      </c>
      <c r="C28" s="133"/>
      <c r="D28" s="133"/>
      <c r="E28" s="133"/>
      <c r="F28" s="216" t="str">
        <f>IF(ROW(A17)&lt;=Capacity!$A$16,Capacity!E33,"")</f>
        <v/>
      </c>
      <c r="G28" s="217" t="str">
        <f>IF(ROW(A17)&lt;=Capacity!$A$16,'Capacity calculation (hide)'!BH21,"")</f>
        <v/>
      </c>
      <c r="H28" s="216" t="str">
        <f>IF(ROW(A17)&lt;=Capacity!$A$16,Capacity!H33,"")</f>
        <v/>
      </c>
      <c r="I28" s="218" t="str">
        <f>IF(ROW(A17)&lt;=Capacity!$A$16,'Capacity calculation (hide)'!DK21,"")</f>
        <v/>
      </c>
      <c r="J28" s="219" t="str">
        <f t="shared" si="0"/>
        <v/>
      </c>
    </row>
    <row r="29" spans="2:10" x14ac:dyDescent="0.25">
      <c r="B29" s="219" t="str">
        <f>IF(Capacity!B34=0,"",Capacity!B34)</f>
        <v/>
      </c>
      <c r="C29" s="133"/>
      <c r="D29" s="133"/>
      <c r="E29" s="133"/>
      <c r="F29" s="216" t="str">
        <f>IF(ROW(A18)&lt;=Capacity!$A$16,Capacity!E34,"")</f>
        <v/>
      </c>
      <c r="G29" s="217" t="str">
        <f>IF(ROW(A18)&lt;=Capacity!$A$16,'Capacity calculation (hide)'!BH22,"")</f>
        <v/>
      </c>
      <c r="H29" s="216" t="str">
        <f>IF(ROW(A18)&lt;=Capacity!$A$16,Capacity!H34,"")</f>
        <v/>
      </c>
      <c r="I29" s="218" t="str">
        <f>IF(ROW(A18)&lt;=Capacity!$A$16,'Capacity calculation (hide)'!DK22,"")</f>
        <v/>
      </c>
      <c r="J29" s="219" t="str">
        <f t="shared" si="0"/>
        <v/>
      </c>
    </row>
    <row r="30" spans="2:10" x14ac:dyDescent="0.25">
      <c r="B30" s="219" t="str">
        <f>IF(Capacity!B35=0,"",Capacity!B35)</f>
        <v/>
      </c>
      <c r="C30" s="133"/>
      <c r="D30" s="133"/>
      <c r="E30" s="133"/>
      <c r="F30" s="216" t="str">
        <f>IF(ROW(A19)&lt;=Capacity!$A$16,Capacity!E35,"")</f>
        <v/>
      </c>
      <c r="G30" s="217" t="str">
        <f>IF(ROW(A19)&lt;=Capacity!$A$16,'Capacity calculation (hide)'!BH23,"")</f>
        <v/>
      </c>
      <c r="H30" s="216" t="str">
        <f>IF(ROW(A19)&lt;=Capacity!$A$16,Capacity!H35,"")</f>
        <v/>
      </c>
      <c r="I30" s="218" t="str">
        <f>IF(ROW(A19)&lt;=Capacity!$A$16,'Capacity calculation (hide)'!DK23,"")</f>
        <v/>
      </c>
      <c r="J30" s="219" t="str">
        <f t="shared" si="0"/>
        <v/>
      </c>
    </row>
    <row r="31" spans="2:10" x14ac:dyDescent="0.25">
      <c r="B31" s="219" t="str">
        <f>IF(Capacity!B36=0,"",Capacity!B36)</f>
        <v/>
      </c>
      <c r="C31" s="133"/>
      <c r="D31" s="133"/>
      <c r="E31" s="133"/>
      <c r="F31" s="216" t="str">
        <f>IF(ROW(A20)&lt;=Capacity!$A$16,Capacity!E36,"")</f>
        <v/>
      </c>
      <c r="G31" s="217" t="str">
        <f>IF(ROW(A20)&lt;=Capacity!$A$16,'Capacity calculation (hide)'!BH24,"")</f>
        <v/>
      </c>
      <c r="H31" s="216" t="str">
        <f>IF(ROW(A20)&lt;=Capacity!$A$16,Capacity!H36,"")</f>
        <v/>
      </c>
      <c r="I31" s="218" t="str">
        <f>IF(ROW(A20)&lt;=Capacity!$A$16,'Capacity calculation (hide)'!DK24,"")</f>
        <v/>
      </c>
      <c r="J31" s="219" t="str">
        <f t="shared" si="0"/>
        <v/>
      </c>
    </row>
    <row r="32" spans="2:10" x14ac:dyDescent="0.25">
      <c r="B32" s="219" t="str">
        <f>IF(Capacity!B37=0,"",Capacity!B37)</f>
        <v/>
      </c>
      <c r="C32" s="133"/>
      <c r="D32" s="133"/>
      <c r="E32" s="133"/>
      <c r="F32" s="216" t="str">
        <f>IF(ROW(A21)&lt;=Capacity!$A$16,Capacity!E37,"")</f>
        <v/>
      </c>
      <c r="G32" s="217" t="str">
        <f>IF(ROW(A21)&lt;=Capacity!$A$16,'Capacity calculation (hide)'!BH25,"")</f>
        <v/>
      </c>
      <c r="H32" s="216" t="str">
        <f>IF(ROW(A21)&lt;=Capacity!$A$16,Capacity!H37,"")</f>
        <v/>
      </c>
      <c r="I32" s="218" t="str">
        <f>IF(ROW(A21)&lt;=Capacity!$A$16,'Capacity calculation (hide)'!DK25,"")</f>
        <v/>
      </c>
      <c r="J32" s="219" t="str">
        <f t="shared" si="0"/>
        <v/>
      </c>
    </row>
    <row r="33" spans="2:10" x14ac:dyDescent="0.25">
      <c r="B33" s="219" t="str">
        <f>IF(Capacity!B38=0,"",Capacity!B38)</f>
        <v/>
      </c>
      <c r="C33" s="133"/>
      <c r="D33" s="133"/>
      <c r="E33" s="133"/>
      <c r="F33" s="216" t="str">
        <f>IF(ROW(A22)&lt;=Capacity!$A$16,Capacity!E38,"")</f>
        <v/>
      </c>
      <c r="G33" s="217" t="str">
        <f>IF(ROW(A22)&lt;=Capacity!$A$16,'Capacity calculation (hide)'!BH26,"")</f>
        <v/>
      </c>
      <c r="H33" s="216" t="str">
        <f>IF(ROW(A22)&lt;=Capacity!$A$16,Capacity!H38,"")</f>
        <v/>
      </c>
      <c r="I33" s="218" t="str">
        <f>IF(ROW(A22)&lt;=Capacity!$A$16,'Capacity calculation (hide)'!DK26,"")</f>
        <v/>
      </c>
      <c r="J33" s="219" t="str">
        <f t="shared" si="0"/>
        <v/>
      </c>
    </row>
    <row r="34" spans="2:10" x14ac:dyDescent="0.25">
      <c r="B34" s="219" t="str">
        <f>IF(Capacity!B39=0,"",Capacity!B39)</f>
        <v/>
      </c>
      <c r="C34" s="133"/>
      <c r="D34" s="133"/>
      <c r="E34" s="133"/>
      <c r="F34" s="216" t="str">
        <f>IF(ROW(A23)&lt;=Capacity!$A$16,Capacity!E39,"")</f>
        <v/>
      </c>
      <c r="G34" s="217" t="str">
        <f>IF(ROW(A23)&lt;=Capacity!$A$16,'Capacity calculation (hide)'!BH27,"")</f>
        <v/>
      </c>
      <c r="H34" s="216" t="str">
        <f>IF(ROW(A23)&lt;=Capacity!$A$16,Capacity!H39,"")</f>
        <v/>
      </c>
      <c r="I34" s="218" t="str">
        <f>IF(ROW(A23)&lt;=Capacity!$A$16,'Capacity calculation (hide)'!DK27,"")</f>
        <v/>
      </c>
      <c r="J34" s="219" t="str">
        <f t="shared" si="0"/>
        <v/>
      </c>
    </row>
    <row r="35" spans="2:10" x14ac:dyDescent="0.25">
      <c r="B35" s="219" t="str">
        <f>IF(Capacity!B40=0,"",Capacity!B40)</f>
        <v/>
      </c>
      <c r="C35" s="133"/>
      <c r="D35" s="133"/>
      <c r="E35" s="133"/>
      <c r="F35" s="216" t="str">
        <f>IF(ROW(A24)&lt;=Capacity!$A$16,Capacity!E40,"")</f>
        <v/>
      </c>
      <c r="G35" s="217" t="str">
        <f>IF(ROW(A24)&lt;=Capacity!$A$16,'Capacity calculation (hide)'!BH28,"")</f>
        <v/>
      </c>
      <c r="H35" s="216" t="str">
        <f>IF(ROW(A24)&lt;=Capacity!$A$16,Capacity!H40,"")</f>
        <v/>
      </c>
      <c r="I35" s="218" t="str">
        <f>IF(ROW(A24)&lt;=Capacity!$A$16,'Capacity calculation (hide)'!DK28,"")</f>
        <v/>
      </c>
      <c r="J35" s="219" t="str">
        <f t="shared" si="0"/>
        <v/>
      </c>
    </row>
    <row r="36" spans="2:10" x14ac:dyDescent="0.25">
      <c r="B36" s="219" t="str">
        <f>IF(Capacity!B41=0,"",Capacity!B41)</f>
        <v/>
      </c>
      <c r="C36" s="133"/>
      <c r="D36" s="133"/>
      <c r="E36" s="133"/>
      <c r="F36" s="216" t="str">
        <f>IF(ROW(A25)&lt;=Capacity!$A$16,Capacity!E41,"")</f>
        <v/>
      </c>
      <c r="G36" s="217" t="str">
        <f>IF(ROW(A25)&lt;=Capacity!$A$16,'Capacity calculation (hide)'!BH29,"")</f>
        <v/>
      </c>
      <c r="H36" s="216" t="str">
        <f>IF(ROW(A25)&lt;=Capacity!$A$16,Capacity!H41,"")</f>
        <v/>
      </c>
      <c r="I36" s="218" t="str">
        <f>IF(ROW(A25)&lt;=Capacity!$A$16,'Capacity calculation (hide)'!DK29,"")</f>
        <v/>
      </c>
      <c r="J36" s="219" t="str">
        <f t="shared" si="0"/>
        <v/>
      </c>
    </row>
    <row r="37" spans="2:10" x14ac:dyDescent="0.25">
      <c r="B37" s="219" t="str">
        <f>IF(Capacity!B42=0,"",Capacity!B42)</f>
        <v/>
      </c>
      <c r="C37" s="133"/>
      <c r="D37" s="133"/>
      <c r="E37" s="133"/>
      <c r="F37" s="216" t="str">
        <f>IF(ROW(A26)&lt;=Capacity!$A$16,Capacity!E42,"")</f>
        <v/>
      </c>
      <c r="G37" s="217" t="str">
        <f>IF(ROW(A26)&lt;=Capacity!$A$16,'Capacity calculation (hide)'!BH30,"")</f>
        <v/>
      </c>
      <c r="H37" s="216" t="str">
        <f>IF(ROW(A26)&lt;=Capacity!$A$16,Capacity!H42,"")</f>
        <v/>
      </c>
      <c r="I37" s="218" t="str">
        <f>IF(ROW(A26)&lt;=Capacity!$A$16,'Capacity calculation (hide)'!DK30,"")</f>
        <v/>
      </c>
      <c r="J37" s="219" t="str">
        <f t="shared" si="0"/>
        <v/>
      </c>
    </row>
    <row r="38" spans="2:10" x14ac:dyDescent="0.25">
      <c r="B38" s="219" t="str">
        <f>IF(Capacity!B43=0,"",Capacity!B43)</f>
        <v/>
      </c>
      <c r="C38" s="133"/>
      <c r="D38" s="133"/>
      <c r="E38" s="133"/>
      <c r="F38" s="216" t="str">
        <f>IF(ROW(A27)&lt;=Capacity!$A$16,Capacity!E43,"")</f>
        <v/>
      </c>
      <c r="G38" s="217" t="str">
        <f>IF(ROW(A27)&lt;=Capacity!$A$16,'Capacity calculation (hide)'!BH31,"")</f>
        <v/>
      </c>
      <c r="H38" s="216" t="str">
        <f>IF(ROW(A27)&lt;=Capacity!$A$16,Capacity!H43,"")</f>
        <v/>
      </c>
      <c r="I38" s="218" t="str">
        <f>IF(ROW(A27)&lt;=Capacity!$A$16,'Capacity calculation (hide)'!DK31,"")</f>
        <v/>
      </c>
      <c r="J38" s="219" t="str">
        <f t="shared" si="0"/>
        <v/>
      </c>
    </row>
    <row r="39" spans="2:10" x14ac:dyDescent="0.25">
      <c r="B39" s="219" t="str">
        <f>IF(Capacity!B44=0,"",Capacity!B44)</f>
        <v/>
      </c>
      <c r="C39" s="133"/>
      <c r="D39" s="133"/>
      <c r="E39" s="133"/>
      <c r="F39" s="216" t="str">
        <f>IF(ROW(A28)&lt;=Capacity!$A$16,Capacity!E44,"")</f>
        <v/>
      </c>
      <c r="G39" s="217" t="str">
        <f>IF(ROW(A28)&lt;=Capacity!$A$16,'Capacity calculation (hide)'!BH32,"")</f>
        <v/>
      </c>
      <c r="H39" s="216" t="str">
        <f>IF(ROW(A28)&lt;=Capacity!$A$16,Capacity!H44,"")</f>
        <v/>
      </c>
      <c r="I39" s="218" t="str">
        <f>IF(ROW(A28)&lt;=Capacity!$A$16,'Capacity calculation (hide)'!DK32,"")</f>
        <v/>
      </c>
      <c r="J39" s="219" t="str">
        <f t="shared" si="0"/>
        <v/>
      </c>
    </row>
    <row r="40" spans="2:10" x14ac:dyDescent="0.25">
      <c r="B40" s="219" t="str">
        <f>IF(Capacity!B45=0,"",Capacity!B45)</f>
        <v/>
      </c>
      <c r="C40" s="133"/>
      <c r="D40" s="133"/>
      <c r="E40" s="133"/>
      <c r="F40" s="216" t="str">
        <f>IF(ROW(A29)&lt;=Capacity!$A$16,Capacity!E45,"")</f>
        <v/>
      </c>
      <c r="G40" s="217" t="str">
        <f>IF(ROW(A29)&lt;=Capacity!$A$16,'Capacity calculation (hide)'!BH33,"")</f>
        <v/>
      </c>
      <c r="H40" s="216" t="str">
        <f>IF(ROW(A29)&lt;=Capacity!$A$16,Capacity!H45,"")</f>
        <v/>
      </c>
      <c r="I40" s="218" t="str">
        <f>IF(ROW(A29)&lt;=Capacity!$A$16,'Capacity calculation (hide)'!DK33,"")</f>
        <v/>
      </c>
      <c r="J40" s="219" t="str">
        <f t="shared" si="0"/>
        <v/>
      </c>
    </row>
    <row r="41" spans="2:10" x14ac:dyDescent="0.25">
      <c r="B41" s="219" t="str">
        <f>IF(Capacity!B46=0,"",Capacity!B46)</f>
        <v/>
      </c>
      <c r="C41" s="133"/>
      <c r="D41" s="133"/>
      <c r="E41" s="133"/>
      <c r="F41" s="216" t="str">
        <f>IF(ROW(A30)&lt;=Capacity!$A$16,Capacity!E46,"")</f>
        <v/>
      </c>
      <c r="G41" s="217" t="str">
        <f>IF(ROW(A30)&lt;=Capacity!$A$16,'Capacity calculation (hide)'!BH34,"")</f>
        <v/>
      </c>
      <c r="H41" s="216" t="str">
        <f>IF(ROW(A30)&lt;=Capacity!$A$16,Capacity!H46,"")</f>
        <v/>
      </c>
      <c r="I41" s="218" t="str">
        <f>IF(ROW(A30)&lt;=Capacity!$A$16,'Capacity calculation (hide)'!DK34,"")</f>
        <v/>
      </c>
      <c r="J41" s="219" t="str">
        <f t="shared" si="0"/>
        <v/>
      </c>
    </row>
    <row r="42" spans="2:10" x14ac:dyDescent="0.25">
      <c r="B42" s="219" t="str">
        <f>IF(Capacity!B47=0,"",Capacity!B47)</f>
        <v/>
      </c>
      <c r="C42" s="133"/>
      <c r="D42" s="133"/>
      <c r="E42" s="133"/>
      <c r="F42" s="216" t="str">
        <f>IF(ROW(A31)&lt;=Capacity!$A$16,Capacity!E47,"")</f>
        <v/>
      </c>
      <c r="G42" s="217" t="str">
        <f>IF(ROW(A31)&lt;=Capacity!$A$16,'Capacity calculation (hide)'!BH35,"")</f>
        <v/>
      </c>
      <c r="H42" s="216" t="str">
        <f>IF(ROW(A31)&lt;=Capacity!$A$16,Capacity!H47,"")</f>
        <v/>
      </c>
      <c r="I42" s="218" t="str">
        <f>IF(ROW(A31)&lt;=Capacity!$A$16,'Capacity calculation (hide)'!DK35,"")</f>
        <v/>
      </c>
      <c r="J42" s="219" t="str">
        <f t="shared" si="0"/>
        <v/>
      </c>
    </row>
    <row r="43" spans="2:10" x14ac:dyDescent="0.25">
      <c r="B43" s="219" t="str">
        <f>IF(Capacity!B48=0,"",Capacity!B48)</f>
        <v/>
      </c>
      <c r="C43" s="133"/>
      <c r="D43" s="133"/>
      <c r="E43" s="133"/>
      <c r="F43" s="216" t="str">
        <f>IF(ROW(A32)&lt;=Capacity!$A$16,Capacity!E48,"")</f>
        <v/>
      </c>
      <c r="G43" s="217" t="str">
        <f>IF(ROW(A32)&lt;=Capacity!$A$16,'Capacity calculation (hide)'!BH36,"")</f>
        <v/>
      </c>
      <c r="H43" s="216" t="str">
        <f>IF(ROW(A32)&lt;=Capacity!$A$16,Capacity!H48,"")</f>
        <v/>
      </c>
      <c r="I43" s="218" t="str">
        <f>IF(ROW(A32)&lt;=Capacity!$A$16,'Capacity calculation (hide)'!DK36,"")</f>
        <v/>
      </c>
      <c r="J43" s="219" t="str">
        <f t="shared" si="0"/>
        <v/>
      </c>
    </row>
    <row r="44" spans="2:10" x14ac:dyDescent="0.25">
      <c r="B44" s="219" t="str">
        <f>IF(Capacity!B49=0,"",Capacity!B49)</f>
        <v/>
      </c>
      <c r="C44" s="133"/>
      <c r="D44" s="133"/>
      <c r="E44" s="133"/>
      <c r="F44" s="216" t="str">
        <f>IF(ROW(A33)&lt;=Capacity!$A$16,Capacity!E49,"")</f>
        <v/>
      </c>
      <c r="G44" s="217" t="str">
        <f>IF(ROW(A33)&lt;=Capacity!$A$16,'Capacity calculation (hide)'!BH37,"")</f>
        <v/>
      </c>
      <c r="H44" s="216" t="str">
        <f>IF(ROW(A33)&lt;=Capacity!$A$16,Capacity!H49,"")</f>
        <v/>
      </c>
      <c r="I44" s="218" t="str">
        <f>IF(ROW(A33)&lt;=Capacity!$A$16,'Capacity calculation (hide)'!DK37,"")</f>
        <v/>
      </c>
      <c r="J44" s="219" t="str">
        <f t="shared" si="0"/>
        <v/>
      </c>
    </row>
    <row r="45" spans="2:10" x14ac:dyDescent="0.25">
      <c r="B45" s="219" t="str">
        <f>IF(Capacity!B50=0,"",Capacity!B50)</f>
        <v/>
      </c>
      <c r="C45" s="133"/>
      <c r="D45" s="133"/>
      <c r="E45" s="133"/>
      <c r="F45" s="216" t="str">
        <f>IF(ROW(A34)&lt;=Capacity!$A$16,Capacity!E50,"")</f>
        <v/>
      </c>
      <c r="G45" s="217" t="str">
        <f>IF(ROW(A34)&lt;=Capacity!$A$16,'Capacity calculation (hide)'!BH38,"")</f>
        <v/>
      </c>
      <c r="H45" s="216" t="str">
        <f>IF(ROW(A34)&lt;=Capacity!$A$16,Capacity!H50,"")</f>
        <v/>
      </c>
      <c r="I45" s="218" t="str">
        <f>IF(ROW(A34)&lt;=Capacity!$A$16,'Capacity calculation (hide)'!DK38,"")</f>
        <v/>
      </c>
      <c r="J45" s="219" t="str">
        <f t="shared" si="0"/>
        <v/>
      </c>
    </row>
    <row r="46" spans="2:10" x14ac:dyDescent="0.25">
      <c r="B46" s="219" t="str">
        <f>IF(Capacity!B51=0,"",Capacity!B51)</f>
        <v/>
      </c>
      <c r="C46" s="133"/>
      <c r="D46" s="133"/>
      <c r="E46" s="133"/>
      <c r="F46" s="216" t="str">
        <f>IF(ROW(A35)&lt;=Capacity!$A$16,Capacity!E51,"")</f>
        <v/>
      </c>
      <c r="G46" s="217" t="str">
        <f>IF(ROW(A35)&lt;=Capacity!$A$16,'Capacity calculation (hide)'!BH39,"")</f>
        <v/>
      </c>
      <c r="H46" s="216" t="str">
        <f>IF(ROW(A35)&lt;=Capacity!$A$16,Capacity!H51,"")</f>
        <v/>
      </c>
      <c r="I46" s="218" t="str">
        <f>IF(ROW(A35)&lt;=Capacity!$A$16,'Capacity calculation (hide)'!DK39,"")</f>
        <v/>
      </c>
      <c r="J46" s="219" t="str">
        <f t="shared" si="0"/>
        <v/>
      </c>
    </row>
    <row r="47" spans="2:10" x14ac:dyDescent="0.25">
      <c r="B47" s="219" t="str">
        <f>IF(Capacity!B52=0,"",Capacity!B52)</f>
        <v/>
      </c>
      <c r="C47" s="133"/>
      <c r="D47" s="133"/>
      <c r="E47" s="133"/>
      <c r="F47" s="216" t="str">
        <f>IF(ROW(A36)&lt;=Capacity!$A$16,Capacity!E52,"")</f>
        <v/>
      </c>
      <c r="G47" s="217" t="str">
        <f>IF(ROW(A36)&lt;=Capacity!$A$16,'Capacity calculation (hide)'!BH40,"")</f>
        <v/>
      </c>
      <c r="H47" s="216" t="str">
        <f>IF(ROW(A36)&lt;=Capacity!$A$16,Capacity!H52,"")</f>
        <v/>
      </c>
      <c r="I47" s="218" t="str">
        <f>IF(ROW(A36)&lt;=Capacity!$A$16,'Capacity calculation (hide)'!DK40,"")</f>
        <v/>
      </c>
      <c r="J47" s="219" t="str">
        <f t="shared" si="0"/>
        <v/>
      </c>
    </row>
    <row r="48" spans="2:10" x14ac:dyDescent="0.25">
      <c r="B48" s="219" t="str">
        <f>IF(Capacity!B53=0,"",Capacity!B53)</f>
        <v/>
      </c>
      <c r="C48" s="133"/>
      <c r="D48" s="133"/>
      <c r="E48" s="133"/>
      <c r="F48" s="216" t="str">
        <f>IF(ROW(A37)&lt;=Capacity!$A$16,Capacity!E53,"")</f>
        <v/>
      </c>
      <c r="G48" s="217" t="str">
        <f>IF(ROW(A37)&lt;=Capacity!$A$16,'Capacity calculation (hide)'!BH41,"")</f>
        <v/>
      </c>
      <c r="H48" s="216" t="str">
        <f>IF(ROW(A37)&lt;=Capacity!$A$16,Capacity!H53,"")</f>
        <v/>
      </c>
      <c r="I48" s="218" t="str">
        <f>IF(ROW(A37)&lt;=Capacity!$A$16,'Capacity calculation (hide)'!DK41,"")</f>
        <v/>
      </c>
      <c r="J48" s="219" t="str">
        <f t="shared" si="0"/>
        <v/>
      </c>
    </row>
    <row r="49" spans="2:10" x14ac:dyDescent="0.25">
      <c r="B49" s="219" t="str">
        <f>IF(Capacity!B54=0,"",Capacity!B54)</f>
        <v/>
      </c>
      <c r="C49" s="133"/>
      <c r="D49" s="133"/>
      <c r="E49" s="133"/>
      <c r="F49" s="216" t="str">
        <f>IF(ROW(A38)&lt;=Capacity!$A$16,Capacity!E54,"")</f>
        <v/>
      </c>
      <c r="G49" s="217" t="str">
        <f>IF(ROW(A38)&lt;=Capacity!$A$16,'Capacity calculation (hide)'!BH42,"")</f>
        <v/>
      </c>
      <c r="H49" s="216" t="str">
        <f>IF(ROW(A38)&lt;=Capacity!$A$16,Capacity!H54,"")</f>
        <v/>
      </c>
      <c r="I49" s="218" t="str">
        <f>IF(ROW(A38)&lt;=Capacity!$A$16,'Capacity calculation (hide)'!DK42,"")</f>
        <v/>
      </c>
      <c r="J49" s="219" t="str">
        <f t="shared" si="0"/>
        <v/>
      </c>
    </row>
    <row r="50" spans="2:10" x14ac:dyDescent="0.25">
      <c r="B50" s="219" t="str">
        <f>IF(Capacity!B55=0,"",Capacity!B55)</f>
        <v/>
      </c>
      <c r="C50" s="133"/>
      <c r="D50" s="133"/>
      <c r="E50" s="133"/>
      <c r="F50" s="216" t="str">
        <f>IF(ROW(A39)&lt;=Capacity!$A$16,Capacity!E55,"")</f>
        <v/>
      </c>
      <c r="G50" s="217" t="str">
        <f>IF(ROW(A39)&lt;=Capacity!$A$16,'Capacity calculation (hide)'!BH43,"")</f>
        <v/>
      </c>
      <c r="H50" s="216" t="str">
        <f>IF(ROW(A39)&lt;=Capacity!$A$16,Capacity!H55,"")</f>
        <v/>
      </c>
      <c r="I50" s="218" t="str">
        <f>IF(ROW(A39)&lt;=Capacity!$A$16,'Capacity calculation (hide)'!DK43,"")</f>
        <v/>
      </c>
      <c r="J50" s="219" t="str">
        <f t="shared" si="0"/>
        <v/>
      </c>
    </row>
    <row r="51" spans="2:10" x14ac:dyDescent="0.25">
      <c r="B51" s="219" t="str">
        <f>IF(Capacity!B56=0,"",Capacity!B56)</f>
        <v/>
      </c>
      <c r="C51" s="133"/>
      <c r="D51" s="133"/>
      <c r="E51" s="133"/>
      <c r="F51" s="216" t="str">
        <f>IF(ROW(A40)&lt;=Capacity!$A$16,Capacity!E56,"")</f>
        <v/>
      </c>
      <c r="G51" s="217" t="str">
        <f>IF(ROW(A40)&lt;=Capacity!$A$16,'Capacity calculation (hide)'!BH44,"")</f>
        <v/>
      </c>
      <c r="H51" s="216" t="str">
        <f>IF(ROW(A40)&lt;=Capacity!$A$16,Capacity!H56,"")</f>
        <v/>
      </c>
      <c r="I51" s="218" t="str">
        <f>IF(ROW(A40)&lt;=Capacity!$A$16,'Capacity calculation (hide)'!DK44,"")</f>
        <v/>
      </c>
      <c r="J51" s="219" t="str">
        <f t="shared" si="0"/>
        <v/>
      </c>
    </row>
    <row r="52" spans="2:10" x14ac:dyDescent="0.25">
      <c r="B52" s="219" t="str">
        <f>IF(Capacity!B57=0,"",Capacity!B57)</f>
        <v/>
      </c>
      <c r="C52" s="133"/>
      <c r="D52" s="133"/>
      <c r="E52" s="133"/>
      <c r="F52" s="216" t="str">
        <f>IF(ROW(A41)&lt;=Capacity!$A$16,Capacity!E57,"")</f>
        <v/>
      </c>
      <c r="G52" s="217" t="str">
        <f>IF(ROW(A41)&lt;=Capacity!$A$16,'Capacity calculation (hide)'!BH45,"")</f>
        <v/>
      </c>
      <c r="H52" s="216" t="str">
        <f>IF(ROW(A41)&lt;=Capacity!$A$16,Capacity!H57,"")</f>
        <v/>
      </c>
      <c r="I52" s="218" t="str">
        <f>IF(ROW(A41)&lt;=Capacity!$A$16,'Capacity calculation (hide)'!DK45,"")</f>
        <v/>
      </c>
      <c r="J52" s="219" t="str">
        <f t="shared" si="0"/>
        <v/>
      </c>
    </row>
    <row r="53" spans="2:10" x14ac:dyDescent="0.25">
      <c r="B53" s="219" t="str">
        <f>IF(Capacity!B58=0,"",Capacity!B58)</f>
        <v/>
      </c>
      <c r="C53" s="133"/>
      <c r="D53" s="133"/>
      <c r="E53" s="133"/>
      <c r="F53" s="216" t="str">
        <f>IF(ROW(A42)&lt;=Capacity!$A$16,Capacity!E58,"")</f>
        <v/>
      </c>
      <c r="G53" s="217" t="str">
        <f>IF(ROW(A42)&lt;=Capacity!$A$16,'Capacity calculation (hide)'!BH46,"")</f>
        <v/>
      </c>
      <c r="H53" s="216" t="str">
        <f>IF(ROW(A42)&lt;=Capacity!$A$16,Capacity!H58,"")</f>
        <v/>
      </c>
      <c r="I53" s="218" t="str">
        <f>IF(ROW(A42)&lt;=Capacity!$A$16,'Capacity calculation (hide)'!DK46,"")</f>
        <v/>
      </c>
      <c r="J53" s="219" t="str">
        <f t="shared" si="0"/>
        <v/>
      </c>
    </row>
    <row r="54" spans="2:10" x14ac:dyDescent="0.25">
      <c r="B54" s="219" t="str">
        <f>IF(Capacity!B59=0,"",Capacity!B59)</f>
        <v/>
      </c>
      <c r="C54" s="133"/>
      <c r="D54" s="133"/>
      <c r="E54" s="133"/>
      <c r="F54" s="216" t="str">
        <f>IF(ROW(A43)&lt;=Capacity!$A$16,Capacity!E59,"")</f>
        <v/>
      </c>
      <c r="G54" s="217" t="str">
        <f>IF(ROW(A43)&lt;=Capacity!$A$16,'Capacity calculation (hide)'!BH47,"")</f>
        <v/>
      </c>
      <c r="H54" s="216" t="str">
        <f>IF(ROW(A43)&lt;=Capacity!$A$16,Capacity!H59,"")</f>
        <v/>
      </c>
      <c r="I54" s="218" t="str">
        <f>IF(ROW(A43)&lt;=Capacity!$A$16,'Capacity calculation (hide)'!DK47,"")</f>
        <v/>
      </c>
      <c r="J54" s="219" t="str">
        <f t="shared" si="0"/>
        <v/>
      </c>
    </row>
    <row r="55" spans="2:10" x14ac:dyDescent="0.25">
      <c r="B55" s="219" t="str">
        <f>IF(Capacity!B60=0,"",Capacity!B60)</f>
        <v/>
      </c>
      <c r="C55" s="133"/>
      <c r="D55" s="133"/>
      <c r="E55" s="133"/>
      <c r="F55" s="216" t="str">
        <f>IF(ROW(A44)&lt;=Capacity!$A$16,Capacity!E60,"")</f>
        <v/>
      </c>
      <c r="G55" s="217" t="str">
        <f>IF(ROW(A44)&lt;=Capacity!$A$16,'Capacity calculation (hide)'!BH48,"")</f>
        <v/>
      </c>
      <c r="H55" s="216" t="str">
        <f>IF(ROW(A44)&lt;=Capacity!$A$16,Capacity!H60,"")</f>
        <v/>
      </c>
      <c r="I55" s="218" t="str">
        <f>IF(ROW(A44)&lt;=Capacity!$A$16,'Capacity calculation (hide)'!DK48,"")</f>
        <v/>
      </c>
      <c r="J55" s="219" t="str">
        <f t="shared" si="0"/>
        <v/>
      </c>
    </row>
    <row r="56" spans="2:10" x14ac:dyDescent="0.25">
      <c r="B56" s="219" t="str">
        <f>IF(Capacity!B61=0,"",Capacity!B61)</f>
        <v/>
      </c>
      <c r="C56" s="133"/>
      <c r="D56" s="133"/>
      <c r="E56" s="133"/>
      <c r="F56" s="216" t="str">
        <f>IF(ROW(A45)&lt;=Capacity!$A$16,Capacity!E61,"")</f>
        <v/>
      </c>
      <c r="G56" s="217" t="str">
        <f>IF(ROW(A45)&lt;=Capacity!$A$16,'Capacity calculation (hide)'!BH49,"")</f>
        <v/>
      </c>
      <c r="H56" s="216" t="str">
        <f>IF(ROW(A45)&lt;=Capacity!$A$16,Capacity!H61,"")</f>
        <v/>
      </c>
      <c r="I56" s="218" t="str">
        <f>IF(ROW(A45)&lt;=Capacity!$A$16,'Capacity calculation (hide)'!DK49,"")</f>
        <v/>
      </c>
      <c r="J56" s="219" t="str">
        <f t="shared" si="0"/>
        <v/>
      </c>
    </row>
    <row r="57" spans="2:10" x14ac:dyDescent="0.25">
      <c r="B57" s="219" t="str">
        <f>IF(Capacity!B62=0,"",Capacity!B62)</f>
        <v/>
      </c>
      <c r="C57" s="133"/>
      <c r="D57" s="133"/>
      <c r="E57" s="133"/>
      <c r="F57" s="216" t="str">
        <f>IF(ROW(A46)&lt;=Capacity!$A$16,Capacity!E62,"")</f>
        <v/>
      </c>
      <c r="G57" s="217" t="str">
        <f>IF(ROW(A46)&lt;=Capacity!$A$16,'Capacity calculation (hide)'!BH50,"")</f>
        <v/>
      </c>
      <c r="H57" s="216" t="str">
        <f>IF(ROW(A46)&lt;=Capacity!$A$16,Capacity!H62,"")</f>
        <v/>
      </c>
      <c r="I57" s="218" t="str">
        <f>IF(ROW(A46)&lt;=Capacity!$A$16,'Capacity calculation (hide)'!DK50,"")</f>
        <v/>
      </c>
      <c r="J57" s="219" t="str">
        <f t="shared" si="0"/>
        <v/>
      </c>
    </row>
    <row r="58" spans="2:10" x14ac:dyDescent="0.25">
      <c r="B58" s="219" t="str">
        <f>IF(Capacity!B63=0,"",Capacity!B63)</f>
        <v/>
      </c>
      <c r="C58" s="133"/>
      <c r="D58" s="133"/>
      <c r="E58" s="133"/>
      <c r="F58" s="216" t="str">
        <f>IF(ROW(A47)&lt;=Capacity!$A$16,Capacity!E63,"")</f>
        <v/>
      </c>
      <c r="G58" s="217" t="str">
        <f>IF(ROW(A47)&lt;=Capacity!$A$16,'Capacity calculation (hide)'!BH51,"")</f>
        <v/>
      </c>
      <c r="H58" s="216" t="str">
        <f>IF(ROW(A47)&lt;=Capacity!$A$16,Capacity!H63,"")</f>
        <v/>
      </c>
      <c r="I58" s="218" t="str">
        <f>IF(ROW(A47)&lt;=Capacity!$A$16,'Capacity calculation (hide)'!DK51,"")</f>
        <v/>
      </c>
      <c r="J58" s="219" t="str">
        <f t="shared" si="0"/>
        <v/>
      </c>
    </row>
    <row r="59" spans="2:10" x14ac:dyDescent="0.25">
      <c r="B59" s="219" t="str">
        <f>IF(Capacity!B64=0,"",Capacity!B64)</f>
        <v/>
      </c>
      <c r="C59" s="133"/>
      <c r="D59" s="133"/>
      <c r="E59" s="133"/>
      <c r="F59" s="216" t="str">
        <f>IF(ROW(A48)&lt;=Capacity!$A$16,Capacity!E64,"")</f>
        <v/>
      </c>
      <c r="G59" s="217" t="str">
        <f>IF(ROW(A48)&lt;=Capacity!$A$16,'Capacity calculation (hide)'!BH52,"")</f>
        <v/>
      </c>
      <c r="H59" s="216" t="str">
        <f>IF(ROW(A48)&lt;=Capacity!$A$16,Capacity!H64,"")</f>
        <v/>
      </c>
      <c r="I59" s="218" t="str">
        <f>IF(ROW(A48)&lt;=Capacity!$A$16,'Capacity calculation (hide)'!DK52,"")</f>
        <v/>
      </c>
      <c r="J59" s="219" t="str">
        <f t="shared" si="0"/>
        <v/>
      </c>
    </row>
    <row r="60" spans="2:10" x14ac:dyDescent="0.25">
      <c r="B60" s="219" t="str">
        <f>IF(Capacity!B65=0,"",Capacity!B65)</f>
        <v/>
      </c>
      <c r="C60" s="133"/>
      <c r="D60" s="133"/>
      <c r="E60" s="133"/>
      <c r="F60" s="216" t="str">
        <f>IF(ROW(A49)&lt;=Capacity!$A$16,Capacity!E65,"")</f>
        <v/>
      </c>
      <c r="G60" s="217" t="str">
        <f>IF(ROW(A49)&lt;=Capacity!$A$16,'Capacity calculation (hide)'!BH53,"")</f>
        <v/>
      </c>
      <c r="H60" s="216" t="str">
        <f>IF(ROW(A49)&lt;=Capacity!$A$16,Capacity!H65,"")</f>
        <v/>
      </c>
      <c r="I60" s="218" t="str">
        <f>IF(ROW(A49)&lt;=Capacity!$A$16,'Capacity calculation (hide)'!DK53,"")</f>
        <v/>
      </c>
      <c r="J60" s="219" t="str">
        <f t="shared" si="0"/>
        <v/>
      </c>
    </row>
    <row r="61" spans="2:10" x14ac:dyDescent="0.25">
      <c r="B61" s="219" t="str">
        <f>IF(Capacity!B66=0,"",Capacity!B66)</f>
        <v/>
      </c>
      <c r="C61" s="133"/>
      <c r="D61" s="133"/>
      <c r="E61" s="133"/>
      <c r="F61" s="216" t="str">
        <f>IF(ROW(A50)&lt;=Capacity!$A$16,Capacity!E66,"")</f>
        <v/>
      </c>
      <c r="G61" s="217" t="str">
        <f>IF(ROW(A50)&lt;=Capacity!$A$16,'Capacity calculation (hide)'!BH54,"")</f>
        <v/>
      </c>
      <c r="H61" s="216" t="str">
        <f>IF(ROW(A50)&lt;=Capacity!$A$16,Capacity!H66,"")</f>
        <v/>
      </c>
      <c r="I61" s="218" t="str">
        <f>IF(ROW(A50)&lt;=Capacity!$A$16,'Capacity calculation (hide)'!DK54,"")</f>
        <v/>
      </c>
      <c r="J61" s="219" t="str">
        <f t="shared" si="0"/>
        <v/>
      </c>
    </row>
    <row r="62" spans="2:10" x14ac:dyDescent="0.25">
      <c r="B62" s="219" t="str">
        <f>IF(Capacity!B67=0,"",Capacity!B67)</f>
        <v/>
      </c>
      <c r="C62" s="133"/>
      <c r="D62" s="133"/>
      <c r="E62" s="133"/>
      <c r="F62" s="216" t="str">
        <f>IF(ROW(A51)&lt;=Capacity!$A$16,Capacity!E67,"")</f>
        <v/>
      </c>
      <c r="G62" s="217" t="str">
        <f>IF(ROW(A51)&lt;=Capacity!$A$16,'Capacity calculation (hide)'!BH55,"")</f>
        <v/>
      </c>
      <c r="H62" s="216" t="str">
        <f>IF(ROW(A51)&lt;=Capacity!$A$16,Capacity!H67,"")</f>
        <v/>
      </c>
      <c r="I62" s="218" t="str">
        <f>IF(ROW(A51)&lt;=Capacity!$A$16,'Capacity calculation (hide)'!DK55,"")</f>
        <v/>
      </c>
      <c r="J62" s="219" t="str">
        <f t="shared" si="0"/>
        <v/>
      </c>
    </row>
    <row r="63" spans="2:10" x14ac:dyDescent="0.25">
      <c r="B63" s="219" t="str">
        <f>IF(Capacity!B68=0,"",Capacity!B68)</f>
        <v/>
      </c>
      <c r="C63" s="133"/>
      <c r="D63" s="133"/>
      <c r="E63" s="133"/>
      <c r="F63" s="216" t="str">
        <f>IF(ROW(A52)&lt;=Capacity!$A$16,Capacity!E68,"")</f>
        <v/>
      </c>
      <c r="G63" s="217" t="str">
        <f>IF(ROW(A52)&lt;=Capacity!$A$16,'Capacity calculation (hide)'!BH56,"")</f>
        <v/>
      </c>
      <c r="H63" s="216" t="str">
        <f>IF(ROW(A52)&lt;=Capacity!$A$16,Capacity!H68,"")</f>
        <v/>
      </c>
      <c r="I63" s="218" t="str">
        <f>IF(ROW(A52)&lt;=Capacity!$A$16,'Capacity calculation (hide)'!DK56,"")</f>
        <v/>
      </c>
      <c r="J63" s="219" t="str">
        <f t="shared" si="0"/>
        <v/>
      </c>
    </row>
    <row r="64" spans="2:10" x14ac:dyDescent="0.25">
      <c r="B64" s="219" t="str">
        <f>IF(Capacity!B69=0,"",Capacity!B69)</f>
        <v/>
      </c>
      <c r="C64" s="133"/>
      <c r="D64" s="133"/>
      <c r="E64" s="133"/>
      <c r="F64" s="216" t="str">
        <f>IF(ROW(A53)&lt;=Capacity!$A$16,Capacity!E69,"")</f>
        <v/>
      </c>
      <c r="G64" s="217" t="str">
        <f>IF(ROW(A53)&lt;=Capacity!$A$16,'Capacity calculation (hide)'!BH57,"")</f>
        <v/>
      </c>
      <c r="H64" s="216" t="str">
        <f>IF(ROW(A53)&lt;=Capacity!$A$16,Capacity!H69,"")</f>
        <v/>
      </c>
      <c r="I64" s="218" t="str">
        <f>IF(ROW(A53)&lt;=Capacity!$A$16,'Capacity calculation (hide)'!DK57,"")</f>
        <v/>
      </c>
      <c r="J64" s="219" t="str">
        <f t="shared" si="0"/>
        <v/>
      </c>
    </row>
    <row r="65" spans="2:10" x14ac:dyDescent="0.25">
      <c r="B65" s="219" t="str">
        <f>IF(Capacity!B70=0,"",Capacity!B70)</f>
        <v/>
      </c>
      <c r="C65" s="133"/>
      <c r="D65" s="133"/>
      <c r="E65" s="133"/>
      <c r="F65" s="216" t="str">
        <f>IF(ROW(A54)&lt;=Capacity!$A$16,Capacity!E70,"")</f>
        <v/>
      </c>
      <c r="G65" s="217" t="str">
        <f>IF(ROW(A54)&lt;=Capacity!$A$16,'Capacity calculation (hide)'!BH58,"")</f>
        <v/>
      </c>
      <c r="H65" s="216" t="str">
        <f>IF(ROW(A54)&lt;=Capacity!$A$16,Capacity!H70,"")</f>
        <v/>
      </c>
      <c r="I65" s="218" t="str">
        <f>IF(ROW(A54)&lt;=Capacity!$A$16,'Capacity calculation (hide)'!DK58,"")</f>
        <v/>
      </c>
      <c r="J65" s="219" t="str">
        <f t="shared" si="0"/>
        <v/>
      </c>
    </row>
    <row r="66" spans="2:10" x14ac:dyDescent="0.25">
      <c r="B66" s="219" t="str">
        <f>IF(Capacity!B71=0,"",Capacity!B71)</f>
        <v/>
      </c>
      <c r="C66" s="133"/>
      <c r="D66" s="133"/>
      <c r="E66" s="133"/>
      <c r="F66" s="216" t="str">
        <f>IF(ROW(A55)&lt;=Capacity!$A$16,Capacity!E71,"")</f>
        <v/>
      </c>
      <c r="G66" s="217" t="str">
        <f>IF(ROW(A55)&lt;=Capacity!$A$16,'Capacity calculation (hide)'!BH59,"")</f>
        <v/>
      </c>
      <c r="H66" s="216" t="str">
        <f>IF(ROW(A55)&lt;=Capacity!$A$16,Capacity!H71,"")</f>
        <v/>
      </c>
      <c r="I66" s="218" t="str">
        <f>IF(ROW(A55)&lt;=Capacity!$A$16,'Capacity calculation (hide)'!DK59,"")</f>
        <v/>
      </c>
      <c r="J66" s="219" t="str">
        <f t="shared" si="0"/>
        <v/>
      </c>
    </row>
    <row r="67" spans="2:10" x14ac:dyDescent="0.25">
      <c r="B67" s="219" t="str">
        <f>IF(Capacity!B72=0,"",Capacity!B72)</f>
        <v/>
      </c>
      <c r="C67" s="133"/>
      <c r="D67" s="133"/>
      <c r="E67" s="133"/>
      <c r="F67" s="216" t="str">
        <f>IF(ROW(A56)&lt;=Capacity!$A$16,Capacity!E72,"")</f>
        <v/>
      </c>
      <c r="G67" s="217" t="str">
        <f>IF(ROW(A56)&lt;=Capacity!$A$16,'Capacity calculation (hide)'!BH60,"")</f>
        <v/>
      </c>
      <c r="H67" s="216" t="str">
        <f>IF(ROW(A56)&lt;=Capacity!$A$16,Capacity!H72,"")</f>
        <v/>
      </c>
      <c r="I67" s="218" t="str">
        <f>IF(ROW(A56)&lt;=Capacity!$A$16,'Capacity calculation (hide)'!DK60,"")</f>
        <v/>
      </c>
      <c r="J67" s="219" t="str">
        <f t="shared" si="0"/>
        <v/>
      </c>
    </row>
    <row r="68" spans="2:10" x14ac:dyDescent="0.25">
      <c r="B68" s="219" t="str">
        <f>IF(Capacity!B73=0,"",Capacity!B73)</f>
        <v/>
      </c>
      <c r="C68" s="133"/>
      <c r="D68" s="133"/>
      <c r="E68" s="133"/>
      <c r="F68" s="216" t="str">
        <f>IF(ROW(A57)&lt;=Capacity!$A$16,Capacity!E73,"")</f>
        <v/>
      </c>
      <c r="G68" s="217" t="str">
        <f>IF(ROW(A57)&lt;=Capacity!$A$16,'Capacity calculation (hide)'!BH61,"")</f>
        <v/>
      </c>
      <c r="H68" s="216" t="str">
        <f>IF(ROW(A57)&lt;=Capacity!$A$16,Capacity!H73,"")</f>
        <v/>
      </c>
      <c r="I68" s="218" t="str">
        <f>IF(ROW(A57)&lt;=Capacity!$A$16,'Capacity calculation (hide)'!DK61,"")</f>
        <v/>
      </c>
      <c r="J68" s="219" t="str">
        <f t="shared" si="0"/>
        <v/>
      </c>
    </row>
    <row r="69" spans="2:10" x14ac:dyDescent="0.25">
      <c r="B69" s="219" t="str">
        <f>IF(Capacity!B74=0,"",Capacity!B74)</f>
        <v/>
      </c>
      <c r="C69" s="133"/>
      <c r="D69" s="133"/>
      <c r="E69" s="133"/>
      <c r="F69" s="216" t="str">
        <f>IF(ROW(A58)&lt;=Capacity!$A$16,Capacity!E74,"")</f>
        <v/>
      </c>
      <c r="G69" s="217" t="str">
        <f>IF(ROW(A58)&lt;=Capacity!$A$16,'Capacity calculation (hide)'!BH62,"")</f>
        <v/>
      </c>
      <c r="H69" s="216" t="str">
        <f>IF(ROW(A58)&lt;=Capacity!$A$16,Capacity!H74,"")</f>
        <v/>
      </c>
      <c r="I69" s="218" t="str">
        <f>IF(ROW(A58)&lt;=Capacity!$A$16,'Capacity calculation (hide)'!DK62,"")</f>
        <v/>
      </c>
      <c r="J69" s="219" t="str">
        <f t="shared" si="0"/>
        <v/>
      </c>
    </row>
    <row r="70" spans="2:10" x14ac:dyDescent="0.25">
      <c r="B70" s="219" t="str">
        <f>IF(Capacity!B75=0,"",Capacity!B75)</f>
        <v/>
      </c>
      <c r="C70" s="133"/>
      <c r="D70" s="133"/>
      <c r="E70" s="133"/>
      <c r="F70" s="216" t="str">
        <f>IF(ROW(A59)&lt;=Capacity!$A$16,Capacity!E75,"")</f>
        <v/>
      </c>
      <c r="G70" s="217" t="str">
        <f>IF(ROW(A59)&lt;=Capacity!$A$16,'Capacity calculation (hide)'!BH63,"")</f>
        <v/>
      </c>
      <c r="H70" s="216" t="str">
        <f>IF(ROW(A59)&lt;=Capacity!$A$16,Capacity!H75,"")</f>
        <v/>
      </c>
      <c r="I70" s="218" t="str">
        <f>IF(ROW(A59)&lt;=Capacity!$A$16,'Capacity calculation (hide)'!DK63,"")</f>
        <v/>
      </c>
      <c r="J70" s="219" t="str">
        <f t="shared" si="0"/>
        <v/>
      </c>
    </row>
    <row r="71" spans="2:10" x14ac:dyDescent="0.25">
      <c r="B71" s="219" t="str">
        <f>IF(Capacity!B76=0,"",Capacity!B76)</f>
        <v/>
      </c>
      <c r="C71" s="133"/>
      <c r="D71" s="133"/>
      <c r="E71" s="133"/>
      <c r="F71" s="216" t="str">
        <f>IF(ROW(A60)&lt;=Capacity!$A$16,Capacity!E76,"")</f>
        <v/>
      </c>
      <c r="G71" s="217" t="str">
        <f>IF(ROW(A60)&lt;=Capacity!$A$16,'Capacity calculation (hide)'!BH64,"")</f>
        <v/>
      </c>
      <c r="H71" s="216" t="str">
        <f>IF(ROW(A60)&lt;=Capacity!$A$16,Capacity!H76,"")</f>
        <v/>
      </c>
      <c r="I71" s="218" t="str">
        <f>IF(ROW(A60)&lt;=Capacity!$A$16,'Capacity calculation (hide)'!DK64,"")</f>
        <v/>
      </c>
      <c r="J71" s="219" t="str">
        <f t="shared" si="0"/>
        <v/>
      </c>
    </row>
    <row r="72" spans="2:10" x14ac:dyDescent="0.25">
      <c r="B72" s="219" t="str">
        <f>IF(Capacity!B77=0,"",Capacity!B77)</f>
        <v/>
      </c>
      <c r="C72" s="133"/>
      <c r="D72" s="133"/>
      <c r="E72" s="133"/>
      <c r="F72" s="216" t="str">
        <f>IF(ROW(A61)&lt;=Capacity!$A$16,Capacity!E77,"")</f>
        <v/>
      </c>
      <c r="G72" s="217" t="str">
        <f>IF(ROW(A61)&lt;=Capacity!$A$16,'Capacity calculation (hide)'!BH65,"")</f>
        <v/>
      </c>
      <c r="H72" s="216" t="str">
        <f>IF(ROW(A61)&lt;=Capacity!$A$16,Capacity!H77,"")</f>
        <v/>
      </c>
      <c r="I72" s="218" t="str">
        <f>IF(ROW(A61)&lt;=Capacity!$A$16,'Capacity calculation (hide)'!DK65,"")</f>
        <v/>
      </c>
      <c r="J72" s="219" t="str">
        <f t="shared" si="0"/>
        <v/>
      </c>
    </row>
    <row r="73" spans="2:10" x14ac:dyDescent="0.25">
      <c r="B73" s="219" t="str">
        <f>IF(Capacity!B78=0,"",Capacity!B78)</f>
        <v/>
      </c>
      <c r="C73" s="133"/>
      <c r="D73" s="133"/>
      <c r="E73" s="133"/>
      <c r="F73" s="216" t="str">
        <f>IF(ROW(A62)&lt;=Capacity!$A$16,Capacity!E78,"")</f>
        <v/>
      </c>
      <c r="G73" s="217" t="str">
        <f>IF(ROW(A62)&lt;=Capacity!$A$16,'Capacity calculation (hide)'!BH66,"")</f>
        <v/>
      </c>
      <c r="H73" s="216" t="str">
        <f>IF(ROW(A62)&lt;=Capacity!$A$16,Capacity!H78,"")</f>
        <v/>
      </c>
      <c r="I73" s="218" t="str">
        <f>IF(ROW(A62)&lt;=Capacity!$A$16,'Capacity calculation (hide)'!DK66,"")</f>
        <v/>
      </c>
      <c r="J73" s="219" t="str">
        <f t="shared" si="0"/>
        <v/>
      </c>
    </row>
    <row r="74" spans="2:10" x14ac:dyDescent="0.25">
      <c r="B74" s="219" t="str">
        <f>IF(Capacity!B79=0,"",Capacity!B79)</f>
        <v/>
      </c>
      <c r="C74" s="133"/>
      <c r="D74" s="133"/>
      <c r="E74" s="133"/>
      <c r="F74" s="216" t="str">
        <f>IF(ROW(A63)&lt;=Capacity!$A$16,Capacity!E79,"")</f>
        <v/>
      </c>
      <c r="G74" s="217" t="str">
        <f>IF(ROW(A63)&lt;=Capacity!$A$16,'Capacity calculation (hide)'!BH67,"")</f>
        <v/>
      </c>
      <c r="H74" s="216" t="str">
        <f>IF(ROW(A63)&lt;=Capacity!$A$16,Capacity!H79,"")</f>
        <v/>
      </c>
      <c r="I74" s="218" t="str">
        <f>IF(ROW(A63)&lt;=Capacity!$A$16,'Capacity calculation (hide)'!DK67,"")</f>
        <v/>
      </c>
      <c r="J74" s="219" t="str">
        <f t="shared" si="0"/>
        <v/>
      </c>
    </row>
    <row r="75" spans="2:10" x14ac:dyDescent="0.25">
      <c r="B75" s="219" t="str">
        <f>IF(Capacity!B80=0,"",Capacity!B80)</f>
        <v/>
      </c>
      <c r="C75" s="133"/>
      <c r="D75" s="133"/>
      <c r="E75" s="133"/>
      <c r="F75" s="216" t="str">
        <f>IF(ROW(A64)&lt;=Capacity!$A$16,Capacity!E80,"")</f>
        <v/>
      </c>
      <c r="G75" s="217" t="str">
        <f>IF(ROW(A64)&lt;=Capacity!$A$16,'Capacity calculation (hide)'!BH68,"")</f>
        <v/>
      </c>
      <c r="H75" s="216" t="str">
        <f>IF(ROW(A64)&lt;=Capacity!$A$16,Capacity!H80,"")</f>
        <v/>
      </c>
      <c r="I75" s="218" t="str">
        <f>IF(ROW(A64)&lt;=Capacity!$A$16,'Capacity calculation (hide)'!DK68,"")</f>
        <v/>
      </c>
      <c r="J75" s="219" t="str">
        <f t="shared" si="0"/>
        <v/>
      </c>
    </row>
    <row r="76" spans="2:10" x14ac:dyDescent="0.25">
      <c r="B76" s="219" t="str">
        <f>IF(Capacity!B81=0,"",Capacity!B81)</f>
        <v/>
      </c>
      <c r="C76" s="133"/>
      <c r="D76" s="133"/>
      <c r="E76" s="133"/>
      <c r="F76" s="216" t="str">
        <f>IF(ROW(A65)&lt;=Capacity!$A$16,Capacity!E81,"")</f>
        <v/>
      </c>
      <c r="G76" s="217" t="str">
        <f>IF(ROW(A65)&lt;=Capacity!$A$16,'Capacity calculation (hide)'!BH69,"")</f>
        <v/>
      </c>
      <c r="H76" s="216" t="str">
        <f>IF(ROW(A65)&lt;=Capacity!$A$16,Capacity!H81,"")</f>
        <v/>
      </c>
      <c r="I76" s="218" t="str">
        <f>IF(ROW(A65)&lt;=Capacity!$A$16,'Capacity calculation (hide)'!DK69,"")</f>
        <v/>
      </c>
      <c r="J76" s="219" t="str">
        <f t="shared" si="0"/>
        <v/>
      </c>
    </row>
    <row r="77" spans="2:10" x14ac:dyDescent="0.25">
      <c r="B77" s="219" t="str">
        <f>IF(Capacity!B82=0,"",Capacity!B82)</f>
        <v/>
      </c>
      <c r="C77" s="133"/>
      <c r="D77" s="133"/>
      <c r="E77" s="133"/>
      <c r="F77" s="216" t="str">
        <f>IF(ROW(A66)&lt;=Capacity!$A$16,Capacity!E82,"")</f>
        <v/>
      </c>
      <c r="G77" s="217" t="str">
        <f>IF(ROW(A66)&lt;=Capacity!$A$16,'Capacity calculation (hide)'!BH70,"")</f>
        <v/>
      </c>
      <c r="H77" s="216" t="str">
        <f>IF(ROW(A66)&lt;=Capacity!$A$16,Capacity!H82,"")</f>
        <v/>
      </c>
      <c r="I77" s="218" t="str">
        <f>IF(ROW(A66)&lt;=Capacity!$A$16,'Capacity calculation (hide)'!DK70,"")</f>
        <v/>
      </c>
      <c r="J77" s="219" t="str">
        <f t="shared" ref="J77:J111" si="1">IFERROR(IF(G77-F77 &lt;0, "Under","Over"),"")</f>
        <v/>
      </c>
    </row>
    <row r="78" spans="2:10" x14ac:dyDescent="0.25">
      <c r="B78" s="219" t="str">
        <f>IF(Capacity!B83=0,"",Capacity!B83)</f>
        <v/>
      </c>
      <c r="C78" s="133"/>
      <c r="D78" s="133"/>
      <c r="E78" s="133"/>
      <c r="F78" s="216" t="str">
        <f>IF(ROW(A67)&lt;=Capacity!$A$16,Capacity!E83,"")</f>
        <v/>
      </c>
      <c r="G78" s="217" t="str">
        <f>IF(ROW(A67)&lt;=Capacity!$A$16,'Capacity calculation (hide)'!BH71,"")</f>
        <v/>
      </c>
      <c r="H78" s="216" t="str">
        <f>IF(ROW(A67)&lt;=Capacity!$A$16,Capacity!H83,"")</f>
        <v/>
      </c>
      <c r="I78" s="218" t="str">
        <f>IF(ROW(A67)&lt;=Capacity!$A$16,'Capacity calculation (hide)'!DK71,"")</f>
        <v/>
      </c>
      <c r="J78" s="219" t="str">
        <f t="shared" si="1"/>
        <v/>
      </c>
    </row>
    <row r="79" spans="2:10" x14ac:dyDescent="0.25">
      <c r="B79" s="219" t="str">
        <f>IF(Capacity!B84=0,"",Capacity!B84)</f>
        <v/>
      </c>
      <c r="C79" s="133"/>
      <c r="D79" s="133"/>
      <c r="E79" s="133"/>
      <c r="F79" s="216" t="str">
        <f>IF(ROW(A68)&lt;=Capacity!$A$16,Capacity!E84,"")</f>
        <v/>
      </c>
      <c r="G79" s="217" t="str">
        <f>IF(ROW(A68)&lt;=Capacity!$A$16,'Capacity calculation (hide)'!BH72,"")</f>
        <v/>
      </c>
      <c r="H79" s="216" t="str">
        <f>IF(ROW(A68)&lt;=Capacity!$A$16,Capacity!H84,"")</f>
        <v/>
      </c>
      <c r="I79" s="218" t="str">
        <f>IF(ROW(A68)&lt;=Capacity!$A$16,'Capacity calculation (hide)'!DK72,"")</f>
        <v/>
      </c>
      <c r="J79" s="219" t="str">
        <f t="shared" si="1"/>
        <v/>
      </c>
    </row>
    <row r="80" spans="2:10" x14ac:dyDescent="0.25">
      <c r="B80" s="219" t="str">
        <f>IF(Capacity!B85=0,"",Capacity!B85)</f>
        <v/>
      </c>
      <c r="C80" s="133"/>
      <c r="D80" s="133"/>
      <c r="E80" s="133"/>
      <c r="F80" s="216" t="str">
        <f>IF(ROW(A69)&lt;=Capacity!$A$16,Capacity!E85,"")</f>
        <v/>
      </c>
      <c r="G80" s="217" t="str">
        <f>IF(ROW(A69)&lt;=Capacity!$A$16,'Capacity calculation (hide)'!BH73,"")</f>
        <v/>
      </c>
      <c r="H80" s="216" t="str">
        <f>IF(ROW(A69)&lt;=Capacity!$A$16,Capacity!H85,"")</f>
        <v/>
      </c>
      <c r="I80" s="218" t="str">
        <f>IF(ROW(A69)&lt;=Capacity!$A$16,'Capacity calculation (hide)'!DK73,"")</f>
        <v/>
      </c>
      <c r="J80" s="219" t="str">
        <f t="shared" si="1"/>
        <v/>
      </c>
    </row>
    <row r="81" spans="2:10" x14ac:dyDescent="0.25">
      <c r="B81" s="219" t="str">
        <f>IF(Capacity!B86=0,"",Capacity!B86)</f>
        <v/>
      </c>
      <c r="C81" s="133"/>
      <c r="D81" s="133"/>
      <c r="E81" s="133"/>
      <c r="F81" s="216" t="str">
        <f>IF(ROW(A70)&lt;=Capacity!$A$16,Capacity!E86,"")</f>
        <v/>
      </c>
      <c r="G81" s="217" t="str">
        <f>IF(ROW(A70)&lt;=Capacity!$A$16,'Capacity calculation (hide)'!BH74,"")</f>
        <v/>
      </c>
      <c r="H81" s="216" t="str">
        <f>IF(ROW(A70)&lt;=Capacity!$A$16,Capacity!H86,"")</f>
        <v/>
      </c>
      <c r="I81" s="218" t="str">
        <f>IF(ROW(A70)&lt;=Capacity!$A$16,'Capacity calculation (hide)'!DK74,"")</f>
        <v/>
      </c>
      <c r="J81" s="219" t="str">
        <f t="shared" si="1"/>
        <v/>
      </c>
    </row>
    <row r="82" spans="2:10" x14ac:dyDescent="0.25">
      <c r="B82" s="219" t="str">
        <f>IF(Capacity!B87=0,"",Capacity!B87)</f>
        <v/>
      </c>
      <c r="C82" s="133"/>
      <c r="D82" s="133"/>
      <c r="E82" s="133"/>
      <c r="F82" s="216" t="str">
        <f>IF(ROW(A71)&lt;=Capacity!$A$16,Capacity!E87,"")</f>
        <v/>
      </c>
      <c r="G82" s="217" t="str">
        <f>IF(ROW(A71)&lt;=Capacity!$A$16,'Capacity calculation (hide)'!BH75,"")</f>
        <v/>
      </c>
      <c r="H82" s="216" t="str">
        <f>IF(ROW(A71)&lt;=Capacity!$A$16,Capacity!H87,"")</f>
        <v/>
      </c>
      <c r="I82" s="218" t="str">
        <f>IF(ROW(A71)&lt;=Capacity!$A$16,'Capacity calculation (hide)'!DK75,"")</f>
        <v/>
      </c>
      <c r="J82" s="219" t="str">
        <f t="shared" si="1"/>
        <v/>
      </c>
    </row>
    <row r="83" spans="2:10" x14ac:dyDescent="0.25">
      <c r="B83" s="219" t="str">
        <f>IF(Capacity!B88=0,"",Capacity!B88)</f>
        <v/>
      </c>
      <c r="C83" s="133"/>
      <c r="D83" s="133"/>
      <c r="E83" s="133"/>
      <c r="F83" s="216" t="str">
        <f>IF(ROW(A72)&lt;=Capacity!$A$16,Capacity!E88,"")</f>
        <v/>
      </c>
      <c r="G83" s="217" t="str">
        <f>IF(ROW(A72)&lt;=Capacity!$A$16,'Capacity calculation (hide)'!BH76,"")</f>
        <v/>
      </c>
      <c r="H83" s="216" t="str">
        <f>IF(ROW(A72)&lt;=Capacity!$A$16,Capacity!H88,"")</f>
        <v/>
      </c>
      <c r="I83" s="218" t="str">
        <f>IF(ROW(A72)&lt;=Capacity!$A$16,'Capacity calculation (hide)'!DK76,"")</f>
        <v/>
      </c>
      <c r="J83" s="219" t="str">
        <f t="shared" si="1"/>
        <v/>
      </c>
    </row>
    <row r="84" spans="2:10" x14ac:dyDescent="0.25">
      <c r="B84" s="219" t="str">
        <f>IF(Capacity!B89=0,"",Capacity!B89)</f>
        <v/>
      </c>
      <c r="C84" s="133"/>
      <c r="D84" s="133"/>
      <c r="E84" s="133"/>
      <c r="F84" s="216" t="str">
        <f>IF(ROW(A73)&lt;=Capacity!$A$16,Capacity!E89,"")</f>
        <v/>
      </c>
      <c r="G84" s="217" t="str">
        <f>IF(ROW(A73)&lt;=Capacity!$A$16,'Capacity calculation (hide)'!BH77,"")</f>
        <v/>
      </c>
      <c r="H84" s="216" t="str">
        <f>IF(ROW(A73)&lt;=Capacity!$A$16,Capacity!H89,"")</f>
        <v/>
      </c>
      <c r="I84" s="218" t="str">
        <f>IF(ROW(A73)&lt;=Capacity!$A$16,'Capacity calculation (hide)'!DK77,"")</f>
        <v/>
      </c>
      <c r="J84" s="219" t="str">
        <f t="shared" si="1"/>
        <v/>
      </c>
    </row>
    <row r="85" spans="2:10" x14ac:dyDescent="0.25">
      <c r="B85" s="219" t="str">
        <f>IF(Capacity!B90=0,"",Capacity!B90)</f>
        <v/>
      </c>
      <c r="C85" s="133"/>
      <c r="D85" s="133"/>
      <c r="E85" s="133"/>
      <c r="F85" s="216" t="str">
        <f>IF(ROW(A74)&lt;=Capacity!$A$16,Capacity!E90,"")</f>
        <v/>
      </c>
      <c r="G85" s="217" t="str">
        <f>IF(ROW(A74)&lt;=Capacity!$A$16,'Capacity calculation (hide)'!BH78,"")</f>
        <v/>
      </c>
      <c r="H85" s="216" t="str">
        <f>IF(ROW(A74)&lt;=Capacity!$A$16,Capacity!H90,"")</f>
        <v/>
      </c>
      <c r="I85" s="218" t="str">
        <f>IF(ROW(A74)&lt;=Capacity!$A$16,'Capacity calculation (hide)'!DK78,"")</f>
        <v/>
      </c>
      <c r="J85" s="219" t="str">
        <f t="shared" si="1"/>
        <v/>
      </c>
    </row>
    <row r="86" spans="2:10" x14ac:dyDescent="0.25">
      <c r="B86" s="219" t="str">
        <f>IF(Capacity!B91=0,"",Capacity!B91)</f>
        <v/>
      </c>
      <c r="C86" s="133"/>
      <c r="D86" s="133"/>
      <c r="E86" s="133"/>
      <c r="F86" s="216" t="str">
        <f>IF(ROW(A75)&lt;=Capacity!$A$16,Capacity!E91,"")</f>
        <v/>
      </c>
      <c r="G86" s="217" t="str">
        <f>IF(ROW(A75)&lt;=Capacity!$A$16,'Capacity calculation (hide)'!BH79,"")</f>
        <v/>
      </c>
      <c r="H86" s="216" t="str">
        <f>IF(ROW(A75)&lt;=Capacity!$A$16,Capacity!H91,"")</f>
        <v/>
      </c>
      <c r="I86" s="218" t="str">
        <f>IF(ROW(A75)&lt;=Capacity!$A$16,'Capacity calculation (hide)'!DK79,"")</f>
        <v/>
      </c>
      <c r="J86" s="219" t="str">
        <f t="shared" si="1"/>
        <v/>
      </c>
    </row>
    <row r="87" spans="2:10" x14ac:dyDescent="0.25">
      <c r="B87" s="219" t="str">
        <f>IF(Capacity!B92=0,"",Capacity!B92)</f>
        <v/>
      </c>
      <c r="C87" s="133"/>
      <c r="D87" s="133"/>
      <c r="E87" s="133"/>
      <c r="F87" s="216" t="str">
        <f>IF(ROW(A76)&lt;=Capacity!$A$16,Capacity!E92,"")</f>
        <v/>
      </c>
      <c r="G87" s="217" t="str">
        <f>IF(ROW(A76)&lt;=Capacity!$A$16,'Capacity calculation (hide)'!BH80,"")</f>
        <v/>
      </c>
      <c r="H87" s="216" t="str">
        <f>IF(ROW(A76)&lt;=Capacity!$A$16,Capacity!H92,"")</f>
        <v/>
      </c>
      <c r="I87" s="218" t="str">
        <f>IF(ROW(A76)&lt;=Capacity!$A$16,'Capacity calculation (hide)'!DK80,"")</f>
        <v/>
      </c>
      <c r="J87" s="219" t="str">
        <f t="shared" si="1"/>
        <v/>
      </c>
    </row>
    <row r="88" spans="2:10" x14ac:dyDescent="0.25">
      <c r="B88" s="219" t="str">
        <f>IF(Capacity!B93=0,"",Capacity!B93)</f>
        <v/>
      </c>
      <c r="C88" s="133"/>
      <c r="D88" s="133"/>
      <c r="E88" s="133"/>
      <c r="F88" s="216" t="str">
        <f>IF(ROW(A77)&lt;=Capacity!$A$16,Capacity!E93,"")</f>
        <v/>
      </c>
      <c r="G88" s="217" t="str">
        <f>IF(ROW(A77)&lt;=Capacity!$A$16,'Capacity calculation (hide)'!BH81,"")</f>
        <v/>
      </c>
      <c r="H88" s="216" t="str">
        <f>IF(ROW(A77)&lt;=Capacity!$A$16,Capacity!H93,"")</f>
        <v/>
      </c>
      <c r="I88" s="218" t="str">
        <f>IF(ROW(A77)&lt;=Capacity!$A$16,'Capacity calculation (hide)'!DK81,"")</f>
        <v/>
      </c>
      <c r="J88" s="219" t="str">
        <f t="shared" si="1"/>
        <v/>
      </c>
    </row>
    <row r="89" spans="2:10" x14ac:dyDescent="0.25">
      <c r="B89" s="219" t="str">
        <f>IF(Capacity!B94=0,"",Capacity!B94)</f>
        <v/>
      </c>
      <c r="C89" s="133"/>
      <c r="D89" s="133"/>
      <c r="E89" s="133"/>
      <c r="F89" s="216" t="str">
        <f>IF(ROW(A78)&lt;=Capacity!$A$16,Capacity!E94,"")</f>
        <v/>
      </c>
      <c r="G89" s="217" t="str">
        <f>IF(ROW(A78)&lt;=Capacity!$A$16,'Capacity calculation (hide)'!BH82,"")</f>
        <v/>
      </c>
      <c r="H89" s="216" t="str">
        <f>IF(ROW(A78)&lt;=Capacity!$A$16,Capacity!H94,"")</f>
        <v/>
      </c>
      <c r="I89" s="218" t="str">
        <f>IF(ROW(A78)&lt;=Capacity!$A$16,'Capacity calculation (hide)'!DK82,"")</f>
        <v/>
      </c>
      <c r="J89" s="219" t="str">
        <f t="shared" si="1"/>
        <v/>
      </c>
    </row>
    <row r="90" spans="2:10" x14ac:dyDescent="0.25">
      <c r="B90" s="219" t="str">
        <f>IF(Capacity!B95=0,"",Capacity!B95)</f>
        <v/>
      </c>
      <c r="C90" s="133"/>
      <c r="D90" s="133"/>
      <c r="E90" s="133"/>
      <c r="F90" s="216" t="str">
        <f>IF(ROW(A79)&lt;=Capacity!$A$16,Capacity!E95,"")</f>
        <v/>
      </c>
      <c r="G90" s="217" t="str">
        <f>IF(ROW(A79)&lt;=Capacity!$A$16,'Capacity calculation (hide)'!BH83,"")</f>
        <v/>
      </c>
      <c r="H90" s="216" t="str">
        <f>IF(ROW(A79)&lt;=Capacity!$A$16,Capacity!H95,"")</f>
        <v/>
      </c>
      <c r="I90" s="218" t="str">
        <f>IF(ROW(A79)&lt;=Capacity!$A$16,'Capacity calculation (hide)'!DK83,"")</f>
        <v/>
      </c>
      <c r="J90" s="219" t="str">
        <f t="shared" si="1"/>
        <v/>
      </c>
    </row>
    <row r="91" spans="2:10" x14ac:dyDescent="0.25">
      <c r="B91" s="219" t="str">
        <f>IF(Capacity!B96=0,"",Capacity!B96)</f>
        <v/>
      </c>
      <c r="C91" s="133"/>
      <c r="D91" s="133"/>
      <c r="E91" s="133"/>
      <c r="F91" s="216" t="str">
        <f>IF(ROW(A80)&lt;=Capacity!$A$16,Capacity!E96,"")</f>
        <v/>
      </c>
      <c r="G91" s="217" t="str">
        <f>IF(ROW(A80)&lt;=Capacity!$A$16,'Capacity calculation (hide)'!BH84,"")</f>
        <v/>
      </c>
      <c r="H91" s="216" t="str">
        <f>IF(ROW(A80)&lt;=Capacity!$A$16,Capacity!H96,"")</f>
        <v/>
      </c>
      <c r="I91" s="218" t="str">
        <f>IF(ROW(A80)&lt;=Capacity!$A$16,'Capacity calculation (hide)'!DK84,"")</f>
        <v/>
      </c>
      <c r="J91" s="219" t="str">
        <f t="shared" si="1"/>
        <v/>
      </c>
    </row>
    <row r="92" spans="2:10" x14ac:dyDescent="0.25">
      <c r="B92" s="219" t="str">
        <f>IF(Capacity!B97=0,"",Capacity!B97)</f>
        <v/>
      </c>
      <c r="C92" s="133"/>
      <c r="D92" s="133"/>
      <c r="E92" s="133"/>
      <c r="F92" s="216" t="str">
        <f>IF(ROW(A81)&lt;=Capacity!$A$16,Capacity!E97,"")</f>
        <v/>
      </c>
      <c r="G92" s="217" t="str">
        <f>IF(ROW(A81)&lt;=Capacity!$A$16,'Capacity calculation (hide)'!BH85,"")</f>
        <v/>
      </c>
      <c r="H92" s="216" t="str">
        <f>IF(ROW(A81)&lt;=Capacity!$A$16,Capacity!H97,"")</f>
        <v/>
      </c>
      <c r="I92" s="218" t="str">
        <f>IF(ROW(A81)&lt;=Capacity!$A$16,'Capacity calculation (hide)'!DK85,"")</f>
        <v/>
      </c>
      <c r="J92" s="219" t="str">
        <f t="shared" si="1"/>
        <v/>
      </c>
    </row>
    <row r="93" spans="2:10" x14ac:dyDescent="0.25">
      <c r="B93" s="219" t="str">
        <f>IF(Capacity!B98=0,"",Capacity!B98)</f>
        <v/>
      </c>
      <c r="C93" s="133"/>
      <c r="D93" s="133"/>
      <c r="E93" s="133"/>
      <c r="F93" s="216" t="str">
        <f>IF(ROW(A82)&lt;=Capacity!$A$16,Capacity!E98,"")</f>
        <v/>
      </c>
      <c r="G93" s="217" t="str">
        <f>IF(ROW(A82)&lt;=Capacity!$A$16,'Capacity calculation (hide)'!BH86,"")</f>
        <v/>
      </c>
      <c r="H93" s="216" t="str">
        <f>IF(ROW(A82)&lt;=Capacity!$A$16,Capacity!H98,"")</f>
        <v/>
      </c>
      <c r="I93" s="218" t="str">
        <f>IF(ROW(A82)&lt;=Capacity!$A$16,'Capacity calculation (hide)'!DK86,"")</f>
        <v/>
      </c>
      <c r="J93" s="219" t="str">
        <f t="shared" si="1"/>
        <v/>
      </c>
    </row>
    <row r="94" spans="2:10" x14ac:dyDescent="0.25">
      <c r="B94" s="219" t="str">
        <f>IF(Capacity!B99=0,"",Capacity!B99)</f>
        <v/>
      </c>
      <c r="C94" s="133"/>
      <c r="D94" s="133"/>
      <c r="E94" s="133"/>
      <c r="F94" s="216" t="str">
        <f>IF(ROW(A83)&lt;=Capacity!$A$16,Capacity!E99,"")</f>
        <v/>
      </c>
      <c r="G94" s="217" t="str">
        <f>IF(ROW(A83)&lt;=Capacity!$A$16,'Capacity calculation (hide)'!BH87,"")</f>
        <v/>
      </c>
      <c r="H94" s="216" t="str">
        <f>IF(ROW(A83)&lt;=Capacity!$A$16,Capacity!H99,"")</f>
        <v/>
      </c>
      <c r="I94" s="218" t="str">
        <f>IF(ROW(A83)&lt;=Capacity!$A$16,'Capacity calculation (hide)'!DK87,"")</f>
        <v/>
      </c>
      <c r="J94" s="219" t="str">
        <f t="shared" si="1"/>
        <v/>
      </c>
    </row>
    <row r="95" spans="2:10" x14ac:dyDescent="0.25">
      <c r="B95" s="219" t="str">
        <f>IF(Capacity!B100=0,"",Capacity!B100)</f>
        <v/>
      </c>
      <c r="C95" s="133"/>
      <c r="D95" s="133"/>
      <c r="E95" s="133"/>
      <c r="F95" s="216" t="str">
        <f>IF(ROW(A84)&lt;=Capacity!$A$16,Capacity!E100,"")</f>
        <v/>
      </c>
      <c r="G95" s="217" t="str">
        <f>IF(ROW(A84)&lt;=Capacity!$A$16,'Capacity calculation (hide)'!BH88,"")</f>
        <v/>
      </c>
      <c r="H95" s="216" t="str">
        <f>IF(ROW(A84)&lt;=Capacity!$A$16,Capacity!H100,"")</f>
        <v/>
      </c>
      <c r="I95" s="218" t="str">
        <f>IF(ROW(A84)&lt;=Capacity!$A$16,'Capacity calculation (hide)'!DK88,"")</f>
        <v/>
      </c>
      <c r="J95" s="219" t="str">
        <f t="shared" si="1"/>
        <v/>
      </c>
    </row>
    <row r="96" spans="2:10" x14ac:dyDescent="0.25">
      <c r="B96" s="219" t="str">
        <f>IF(Capacity!B101=0,"",Capacity!B101)</f>
        <v/>
      </c>
      <c r="C96" s="133"/>
      <c r="D96" s="133"/>
      <c r="E96" s="133"/>
      <c r="F96" s="216" t="str">
        <f>IF(ROW(A85)&lt;=Capacity!$A$16,Capacity!E101,"")</f>
        <v/>
      </c>
      <c r="G96" s="217" t="str">
        <f>IF(ROW(A85)&lt;=Capacity!$A$16,'Capacity calculation (hide)'!BH89,"")</f>
        <v/>
      </c>
      <c r="H96" s="216" t="str">
        <f>IF(ROW(A85)&lt;=Capacity!$A$16,Capacity!H101,"")</f>
        <v/>
      </c>
      <c r="I96" s="218" t="str">
        <f>IF(ROW(A85)&lt;=Capacity!$A$16,'Capacity calculation (hide)'!DK89,"")</f>
        <v/>
      </c>
      <c r="J96" s="219" t="str">
        <f t="shared" si="1"/>
        <v/>
      </c>
    </row>
    <row r="97" spans="2:10" x14ac:dyDescent="0.25">
      <c r="B97" s="219" t="str">
        <f>IF(Capacity!B102=0,"",Capacity!B102)</f>
        <v/>
      </c>
      <c r="C97" s="133"/>
      <c r="D97" s="133"/>
      <c r="E97" s="133"/>
      <c r="F97" s="216" t="str">
        <f>IF(ROW(A86)&lt;=Capacity!$A$16,Capacity!E102,"")</f>
        <v/>
      </c>
      <c r="G97" s="217" t="str">
        <f>IF(ROW(A86)&lt;=Capacity!$A$16,'Capacity calculation (hide)'!BH90,"")</f>
        <v/>
      </c>
      <c r="H97" s="216" t="str">
        <f>IF(ROW(A86)&lt;=Capacity!$A$16,Capacity!H102,"")</f>
        <v/>
      </c>
      <c r="I97" s="218" t="str">
        <f>IF(ROW(A86)&lt;=Capacity!$A$16,'Capacity calculation (hide)'!DK90,"")</f>
        <v/>
      </c>
      <c r="J97" s="219" t="str">
        <f t="shared" si="1"/>
        <v/>
      </c>
    </row>
    <row r="98" spans="2:10" x14ac:dyDescent="0.25">
      <c r="B98" s="219" t="str">
        <f>IF(Capacity!B103=0,"",Capacity!B103)</f>
        <v/>
      </c>
      <c r="C98" s="133"/>
      <c r="D98" s="133"/>
      <c r="E98" s="133"/>
      <c r="F98" s="216" t="str">
        <f>IF(ROW(A87)&lt;=Capacity!$A$16,Capacity!E103,"")</f>
        <v/>
      </c>
      <c r="G98" s="217" t="str">
        <f>IF(ROW(A87)&lt;=Capacity!$A$16,'Capacity calculation (hide)'!BH91,"")</f>
        <v/>
      </c>
      <c r="H98" s="216" t="str">
        <f>IF(ROW(A87)&lt;=Capacity!$A$16,Capacity!H103,"")</f>
        <v/>
      </c>
      <c r="I98" s="218" t="str">
        <f>IF(ROW(A87)&lt;=Capacity!$A$16,'Capacity calculation (hide)'!DK91,"")</f>
        <v/>
      </c>
      <c r="J98" s="219" t="str">
        <f t="shared" si="1"/>
        <v/>
      </c>
    </row>
    <row r="99" spans="2:10" x14ac:dyDescent="0.25">
      <c r="B99" s="219" t="str">
        <f>IF(Capacity!B104=0,"",Capacity!B104)</f>
        <v/>
      </c>
      <c r="C99" s="133"/>
      <c r="D99" s="133"/>
      <c r="E99" s="133"/>
      <c r="F99" s="216" t="str">
        <f>IF(ROW(A88)&lt;=Capacity!$A$16,Capacity!E104,"")</f>
        <v/>
      </c>
      <c r="G99" s="217" t="str">
        <f>IF(ROW(A88)&lt;=Capacity!$A$16,'Capacity calculation (hide)'!BH92,"")</f>
        <v/>
      </c>
      <c r="H99" s="216" t="str">
        <f>IF(ROW(A88)&lt;=Capacity!$A$16,Capacity!H104,"")</f>
        <v/>
      </c>
      <c r="I99" s="218" t="str">
        <f>IF(ROW(A88)&lt;=Capacity!$A$16,'Capacity calculation (hide)'!DK92,"")</f>
        <v/>
      </c>
      <c r="J99" s="219" t="str">
        <f t="shared" si="1"/>
        <v/>
      </c>
    </row>
    <row r="100" spans="2:10" x14ac:dyDescent="0.25">
      <c r="B100" s="219" t="str">
        <f>IF(Capacity!B105=0,"",Capacity!B105)</f>
        <v/>
      </c>
      <c r="C100" s="133"/>
      <c r="D100" s="133"/>
      <c r="E100" s="133"/>
      <c r="F100" s="216" t="str">
        <f>IF(ROW(A89)&lt;=Capacity!$A$16,Capacity!E105,"")</f>
        <v/>
      </c>
      <c r="G100" s="217" t="str">
        <f>IF(ROW(A89)&lt;=Capacity!$A$16,'Capacity calculation (hide)'!BH93,"")</f>
        <v/>
      </c>
      <c r="H100" s="216" t="str">
        <f>IF(ROW(A89)&lt;=Capacity!$A$16,Capacity!H105,"")</f>
        <v/>
      </c>
      <c r="I100" s="218" t="str">
        <f>IF(ROW(A89)&lt;=Capacity!$A$16,'Capacity calculation (hide)'!DK93,"")</f>
        <v/>
      </c>
      <c r="J100" s="219" t="str">
        <f t="shared" si="1"/>
        <v/>
      </c>
    </row>
    <row r="101" spans="2:10" x14ac:dyDescent="0.25">
      <c r="B101" s="219" t="str">
        <f>IF(Capacity!B106=0,"",Capacity!B106)</f>
        <v/>
      </c>
      <c r="C101" s="133"/>
      <c r="D101" s="133"/>
      <c r="E101" s="133"/>
      <c r="F101" s="216" t="str">
        <f>IF(ROW(A90)&lt;=Capacity!$A$16,Capacity!E106,"")</f>
        <v/>
      </c>
      <c r="G101" s="217" t="str">
        <f>IF(ROW(A90)&lt;=Capacity!$A$16,'Capacity calculation (hide)'!BH94,"")</f>
        <v/>
      </c>
      <c r="H101" s="216" t="str">
        <f>IF(ROW(A90)&lt;=Capacity!$A$16,Capacity!H106,"")</f>
        <v/>
      </c>
      <c r="I101" s="218" t="str">
        <f>IF(ROW(A90)&lt;=Capacity!$A$16,'Capacity calculation (hide)'!DK94,"")</f>
        <v/>
      </c>
      <c r="J101" s="219" t="str">
        <f t="shared" si="1"/>
        <v/>
      </c>
    </row>
    <row r="102" spans="2:10" x14ac:dyDescent="0.25">
      <c r="B102" s="219" t="str">
        <f>IF(Capacity!B107=0,"",Capacity!B107)</f>
        <v/>
      </c>
      <c r="C102" s="133"/>
      <c r="D102" s="133"/>
      <c r="E102" s="133"/>
      <c r="F102" s="216" t="str">
        <f>IF(ROW(A91)&lt;=Capacity!$A$16,Capacity!E107,"")</f>
        <v/>
      </c>
      <c r="G102" s="217" t="str">
        <f>IF(ROW(A91)&lt;=Capacity!$A$16,'Capacity calculation (hide)'!BH95,"")</f>
        <v/>
      </c>
      <c r="H102" s="216" t="str">
        <f>IF(ROW(A91)&lt;=Capacity!$A$16,Capacity!H107,"")</f>
        <v/>
      </c>
      <c r="I102" s="218" t="str">
        <f>IF(ROW(A91)&lt;=Capacity!$A$16,'Capacity calculation (hide)'!DK95,"")</f>
        <v/>
      </c>
      <c r="J102" s="219" t="str">
        <f t="shared" si="1"/>
        <v/>
      </c>
    </row>
    <row r="103" spans="2:10" x14ac:dyDescent="0.25">
      <c r="B103" s="219" t="str">
        <f>IF(Capacity!B108=0,"",Capacity!B108)</f>
        <v/>
      </c>
      <c r="C103" s="133"/>
      <c r="D103" s="133"/>
      <c r="E103" s="133"/>
      <c r="F103" s="216" t="str">
        <f>IF(ROW(A92)&lt;=Capacity!$A$16,Capacity!E108,"")</f>
        <v/>
      </c>
      <c r="G103" s="217" t="str">
        <f>IF(ROW(A92)&lt;=Capacity!$A$16,'Capacity calculation (hide)'!BH96,"")</f>
        <v/>
      </c>
      <c r="H103" s="216" t="str">
        <f>IF(ROW(A92)&lt;=Capacity!$A$16,Capacity!H108,"")</f>
        <v/>
      </c>
      <c r="I103" s="218" t="str">
        <f>IF(ROW(A92)&lt;=Capacity!$A$16,'Capacity calculation (hide)'!DK96,"")</f>
        <v/>
      </c>
      <c r="J103" s="219" t="str">
        <f t="shared" si="1"/>
        <v/>
      </c>
    </row>
    <row r="104" spans="2:10" x14ac:dyDescent="0.25">
      <c r="B104" s="219" t="str">
        <f>IF(Capacity!B109=0,"",Capacity!B109)</f>
        <v/>
      </c>
      <c r="C104" s="133"/>
      <c r="D104" s="133"/>
      <c r="E104" s="133"/>
      <c r="F104" s="216" t="str">
        <f>IF(ROW(A93)&lt;=Capacity!$A$16,Capacity!E109,"")</f>
        <v/>
      </c>
      <c r="G104" s="217" t="str">
        <f>IF(ROW(A93)&lt;=Capacity!$A$16,'Capacity calculation (hide)'!BH97,"")</f>
        <v/>
      </c>
      <c r="H104" s="216" t="str">
        <f>IF(ROW(A93)&lt;=Capacity!$A$16,Capacity!H109,"")</f>
        <v/>
      </c>
      <c r="I104" s="218" t="str">
        <f>IF(ROW(A93)&lt;=Capacity!$A$16,'Capacity calculation (hide)'!DK97,"")</f>
        <v/>
      </c>
      <c r="J104" s="219" t="str">
        <f t="shared" si="1"/>
        <v/>
      </c>
    </row>
    <row r="105" spans="2:10" x14ac:dyDescent="0.25">
      <c r="B105" s="219" t="str">
        <f>IF(Capacity!B110=0,"",Capacity!B110)</f>
        <v/>
      </c>
      <c r="C105" s="133"/>
      <c r="D105" s="133"/>
      <c r="E105" s="133"/>
      <c r="F105" s="216" t="str">
        <f>IF(ROW(A94)&lt;=Capacity!$A$16,Capacity!E110,"")</f>
        <v/>
      </c>
      <c r="G105" s="217" t="str">
        <f>IF(ROW(A94)&lt;=Capacity!$A$16,'Capacity calculation (hide)'!BH98,"")</f>
        <v/>
      </c>
      <c r="H105" s="216" t="str">
        <f>IF(ROW(A94)&lt;=Capacity!$A$16,Capacity!H110,"")</f>
        <v/>
      </c>
      <c r="I105" s="218" t="str">
        <f>IF(ROW(A94)&lt;=Capacity!$A$16,'Capacity calculation (hide)'!DK98,"")</f>
        <v/>
      </c>
      <c r="J105" s="219" t="str">
        <f t="shared" si="1"/>
        <v/>
      </c>
    </row>
    <row r="106" spans="2:10" x14ac:dyDescent="0.25">
      <c r="B106" s="219" t="str">
        <f>IF(Capacity!B111=0,"",Capacity!B111)</f>
        <v/>
      </c>
      <c r="C106" s="133"/>
      <c r="D106" s="133"/>
      <c r="E106" s="133"/>
      <c r="F106" s="216" t="str">
        <f>IF(ROW(A95)&lt;=Capacity!$A$16,Capacity!E111,"")</f>
        <v/>
      </c>
      <c r="G106" s="217" t="str">
        <f>IF(ROW(A95)&lt;=Capacity!$A$16,'Capacity calculation (hide)'!BH99,"")</f>
        <v/>
      </c>
      <c r="H106" s="216" t="str">
        <f>IF(ROW(A95)&lt;=Capacity!$A$16,Capacity!H111,"")</f>
        <v/>
      </c>
      <c r="I106" s="218" t="str">
        <f>IF(ROW(A95)&lt;=Capacity!$A$16,'Capacity calculation (hide)'!DK99,"")</f>
        <v/>
      </c>
      <c r="J106" s="219" t="str">
        <f t="shared" si="1"/>
        <v/>
      </c>
    </row>
    <row r="107" spans="2:10" x14ac:dyDescent="0.25">
      <c r="B107" s="219" t="str">
        <f>IF(Capacity!B112=0,"",Capacity!B112)</f>
        <v/>
      </c>
      <c r="C107" s="133"/>
      <c r="D107" s="133"/>
      <c r="E107" s="133"/>
      <c r="F107" s="216" t="str">
        <f>IF(ROW(A96)&lt;=Capacity!$A$16,Capacity!E112,"")</f>
        <v/>
      </c>
      <c r="G107" s="217" t="str">
        <f>IF(ROW(A96)&lt;=Capacity!$A$16,'Capacity calculation (hide)'!BH100,"")</f>
        <v/>
      </c>
      <c r="H107" s="216" t="str">
        <f>IF(ROW(A96)&lt;=Capacity!$A$16,Capacity!H112,"")</f>
        <v/>
      </c>
      <c r="I107" s="218" t="str">
        <f>IF(ROW(A96)&lt;=Capacity!$A$16,'Capacity calculation (hide)'!DK100,"")</f>
        <v/>
      </c>
      <c r="J107" s="219" t="str">
        <f t="shared" si="1"/>
        <v/>
      </c>
    </row>
    <row r="108" spans="2:10" x14ac:dyDescent="0.25">
      <c r="B108" s="219" t="str">
        <f>IF(Capacity!B113=0,"",Capacity!B113)</f>
        <v/>
      </c>
      <c r="C108" s="133"/>
      <c r="D108" s="133"/>
      <c r="E108" s="133"/>
      <c r="F108" s="216" t="str">
        <f>IF(ROW(A97)&lt;=Capacity!$A$16,Capacity!E113,"")</f>
        <v/>
      </c>
      <c r="G108" s="217" t="str">
        <f>IF(ROW(A97)&lt;=Capacity!$A$16,'Capacity calculation (hide)'!BH101,"")</f>
        <v/>
      </c>
      <c r="H108" s="216" t="str">
        <f>IF(ROW(A97)&lt;=Capacity!$A$16,Capacity!H113,"")</f>
        <v/>
      </c>
      <c r="I108" s="218" t="str">
        <f>IF(ROW(A97)&lt;=Capacity!$A$16,'Capacity calculation (hide)'!DK101,"")</f>
        <v/>
      </c>
      <c r="J108" s="219" t="str">
        <f t="shared" si="1"/>
        <v/>
      </c>
    </row>
    <row r="109" spans="2:10" x14ac:dyDescent="0.25">
      <c r="B109" s="219" t="str">
        <f>IF(Capacity!B114=0,"",Capacity!B114)</f>
        <v/>
      </c>
      <c r="C109" s="133"/>
      <c r="D109" s="133"/>
      <c r="E109" s="133"/>
      <c r="F109" s="216" t="str">
        <f>IF(ROW(A98)&lt;=Capacity!$A$16,Capacity!E114,"")</f>
        <v/>
      </c>
      <c r="G109" s="217" t="str">
        <f>IF(ROW(A98)&lt;=Capacity!$A$16,'Capacity calculation (hide)'!BH102,"")</f>
        <v/>
      </c>
      <c r="H109" s="216" t="str">
        <f>IF(ROW(A98)&lt;=Capacity!$A$16,Capacity!H114,"")</f>
        <v/>
      </c>
      <c r="I109" s="218" t="str">
        <f>IF(ROW(A98)&lt;=Capacity!$A$16,'Capacity calculation (hide)'!DK102,"")</f>
        <v/>
      </c>
      <c r="J109" s="219" t="str">
        <f t="shared" si="1"/>
        <v/>
      </c>
    </row>
    <row r="110" spans="2:10" x14ac:dyDescent="0.25">
      <c r="B110" s="219" t="str">
        <f>IF(Capacity!B115=0,"",Capacity!B115)</f>
        <v/>
      </c>
      <c r="C110" s="133"/>
      <c r="D110" s="133"/>
      <c r="E110" s="133"/>
      <c r="F110" s="216" t="str">
        <f>IF(ROW(A99)&lt;=Capacity!$A$16,Capacity!E115,"")</f>
        <v/>
      </c>
      <c r="G110" s="217" t="str">
        <f>IF(ROW(A99)&lt;=Capacity!$A$16,'Capacity calculation (hide)'!BH103,"")</f>
        <v/>
      </c>
      <c r="H110" s="216" t="str">
        <f>IF(ROW(A99)&lt;=Capacity!$A$16,Capacity!H115,"")</f>
        <v/>
      </c>
      <c r="I110" s="218" t="str">
        <f>IF(ROW(A99)&lt;=Capacity!$A$16,'Capacity calculation (hide)'!DK103,"")</f>
        <v/>
      </c>
      <c r="J110" s="219" t="str">
        <f t="shared" si="1"/>
        <v/>
      </c>
    </row>
    <row r="111" spans="2:10" x14ac:dyDescent="0.25">
      <c r="B111" s="219" t="str">
        <f>IF(Capacity!B116=0,"",Capacity!B116)</f>
        <v/>
      </c>
      <c r="C111" s="133"/>
      <c r="D111" s="133"/>
      <c r="E111" s="133"/>
      <c r="F111" s="216" t="str">
        <f>IF(ROW(A100)&lt;=Capacity!$A$16,Capacity!E116,"")</f>
        <v/>
      </c>
      <c r="G111" s="217" t="str">
        <f>IF(ROW(A100)&lt;=Capacity!$A$16,'Capacity calculation (hide)'!BH104,"")</f>
        <v/>
      </c>
      <c r="H111" s="216" t="str">
        <f>IF(ROW(A100)&lt;=Capacity!$A$16,Capacity!H116,"")</f>
        <v/>
      </c>
      <c r="I111" s="218" t="str">
        <f>IF(ROW(A100)&lt;=Capacity!$A$16,'Capacity calculation (hide)'!DK104,"")</f>
        <v/>
      </c>
      <c r="J111" s="219" t="str">
        <f t="shared" si="1"/>
        <v/>
      </c>
    </row>
    <row r="115" spans="2:10" hidden="1" x14ac:dyDescent="0.25">
      <c r="B115" s="56" t="s">
        <v>461</v>
      </c>
    </row>
    <row r="116" spans="2:10" hidden="1" x14ac:dyDescent="0.25"/>
    <row r="117" spans="2:10" ht="41.4" hidden="1" x14ac:dyDescent="0.25">
      <c r="B117" s="121" t="s">
        <v>252</v>
      </c>
      <c r="C117" s="121" t="s">
        <v>452</v>
      </c>
      <c r="D117" s="121" t="s">
        <v>453</v>
      </c>
      <c r="E117" s="121" t="s">
        <v>454</v>
      </c>
      <c r="F117" s="122" t="s">
        <v>295</v>
      </c>
      <c r="G117" s="122" t="s">
        <v>465</v>
      </c>
      <c r="H117" s="122" t="s">
        <v>460</v>
      </c>
      <c r="I117" s="122" t="s">
        <v>464</v>
      </c>
      <c r="J117" s="122" t="s">
        <v>294</v>
      </c>
    </row>
    <row r="118" spans="2:10" hidden="1" x14ac:dyDescent="0.25">
      <c r="B118" s="219" t="str">
        <f>IF(Capacity!N17=0,"",Capacity!N17)</f>
        <v>Ad hoc clinic 1</v>
      </c>
      <c r="C118" s="133"/>
      <c r="D118" s="133"/>
      <c r="E118" s="133"/>
      <c r="F118" s="216">
        <f>IF(ROW(A1)&lt;=Capacity!$M$16,Capacity!Q17,"")</f>
        <v>0</v>
      </c>
      <c r="G118" s="325">
        <f>IF(ROW(A1)&lt;=Capacity!$M$16,'Capacity calculation (hide)'!BH112,"")</f>
        <v>5</v>
      </c>
      <c r="H118" s="216">
        <f>IF(ROW(A1)&lt;=Capacity!$M$16,Capacity!T17,"")</f>
        <v>0</v>
      </c>
      <c r="I118" s="218">
        <f>IF(ROW(A1)&lt;=Capacity!$M$16,'Capacity calculation (hide)'!DK111,"")</f>
        <v>0</v>
      </c>
      <c r="J118" s="219" t="str">
        <f>IFERROR(IF(G118-F118 &lt;0, "Under","Over"),"")</f>
        <v>Over</v>
      </c>
    </row>
    <row r="119" spans="2:10" hidden="1" x14ac:dyDescent="0.25">
      <c r="B119" s="219" t="str">
        <f>IF(Capacity!N18=0,"",Capacity!N18)</f>
        <v/>
      </c>
      <c r="C119" s="133"/>
      <c r="D119" s="133"/>
      <c r="E119" s="133"/>
      <c r="F119" s="216" t="str">
        <f>IF(ROW(A2)&lt;=Capacity!$M$16,Capacity!Q18,"")</f>
        <v/>
      </c>
      <c r="G119" s="325" t="str">
        <f>IF(ROW(A2)&lt;=Capacity!$M$16,'Capacity calculation (hide)'!BH113,"")</f>
        <v/>
      </c>
      <c r="H119" s="216" t="str">
        <f>IF(ROW(A2)&lt;=Capacity!$M$16,Capacity!T18,"")</f>
        <v/>
      </c>
      <c r="I119" s="218" t="str">
        <f>IF(ROW(A2)&lt;=Capacity!$M$16,'Capacity calculation (hide)'!DK112,"")</f>
        <v/>
      </c>
      <c r="J119" s="219" t="str">
        <f t="shared" ref="J119:J182" si="2">IFERROR(IF(G119-F119 &lt;0, "Under","Over"),"")</f>
        <v/>
      </c>
    </row>
    <row r="120" spans="2:10" hidden="1" x14ac:dyDescent="0.25">
      <c r="B120" s="219" t="str">
        <f>IF(Capacity!N19=0,"",Capacity!N19)</f>
        <v/>
      </c>
      <c r="C120" s="133"/>
      <c r="D120" s="133"/>
      <c r="E120" s="133"/>
      <c r="F120" s="216" t="str">
        <f>IF(ROW(A3)&lt;=Capacity!$M$16,Capacity!Q19,"")</f>
        <v/>
      </c>
      <c r="G120" s="325" t="str">
        <f>IF(ROW(A3)&lt;=Capacity!$M$16,'Capacity calculation (hide)'!BH114,"")</f>
        <v/>
      </c>
      <c r="H120" s="216" t="str">
        <f>IF(ROW(A3)&lt;=Capacity!$M$16,Capacity!T19,"")</f>
        <v/>
      </c>
      <c r="I120" s="218" t="str">
        <f>IF(ROW(A3)&lt;=Capacity!$M$16,'Capacity calculation (hide)'!DK113,"")</f>
        <v/>
      </c>
      <c r="J120" s="219" t="str">
        <f t="shared" si="2"/>
        <v/>
      </c>
    </row>
    <row r="121" spans="2:10" hidden="1" x14ac:dyDescent="0.25">
      <c r="B121" s="219" t="str">
        <f>IF(Capacity!N20=0,"",Capacity!N20)</f>
        <v/>
      </c>
      <c r="C121" s="133"/>
      <c r="D121" s="133"/>
      <c r="E121" s="133"/>
      <c r="F121" s="216" t="str">
        <f>IF(ROW(A4)&lt;=Capacity!$M$16,Capacity!Q20,"")</f>
        <v/>
      </c>
      <c r="G121" s="325" t="str">
        <f>IF(ROW(A4)&lt;=Capacity!$M$16,'Capacity calculation (hide)'!BH115,"")</f>
        <v/>
      </c>
      <c r="H121" s="216" t="str">
        <f>IF(ROW(A4)&lt;=Capacity!$M$16,Capacity!T20,"")</f>
        <v/>
      </c>
      <c r="I121" s="218" t="str">
        <f>IF(ROW(A4)&lt;=Capacity!$M$16,'Capacity calculation (hide)'!DK114,"")</f>
        <v/>
      </c>
      <c r="J121" s="219" t="str">
        <f t="shared" si="2"/>
        <v/>
      </c>
    </row>
    <row r="122" spans="2:10" hidden="1" x14ac:dyDescent="0.25">
      <c r="B122" s="219" t="str">
        <f>IF(Capacity!N21=0,"",Capacity!N21)</f>
        <v/>
      </c>
      <c r="C122" s="133"/>
      <c r="D122" s="133"/>
      <c r="E122" s="133"/>
      <c r="F122" s="216" t="str">
        <f>IF(ROW(A5)&lt;=Capacity!$M$16,Capacity!Q21,"")</f>
        <v/>
      </c>
      <c r="G122" s="325" t="str">
        <f>IF(ROW(A5)&lt;=Capacity!$M$16,'Capacity calculation (hide)'!BH116,"")</f>
        <v/>
      </c>
      <c r="H122" s="216" t="str">
        <f>IF(ROW(A5)&lt;=Capacity!$M$16,Capacity!T21,"")</f>
        <v/>
      </c>
      <c r="I122" s="218" t="str">
        <f>IF(ROW(A5)&lt;=Capacity!$M$16,'Capacity calculation (hide)'!DK115,"")</f>
        <v/>
      </c>
      <c r="J122" s="219" t="str">
        <f t="shared" si="2"/>
        <v/>
      </c>
    </row>
    <row r="123" spans="2:10" hidden="1" x14ac:dyDescent="0.25">
      <c r="B123" s="219" t="str">
        <f>IF(Capacity!N22=0,"",Capacity!N22)</f>
        <v/>
      </c>
      <c r="C123" s="133"/>
      <c r="D123" s="133"/>
      <c r="E123" s="133"/>
      <c r="F123" s="216" t="str">
        <f>IF(ROW(A6)&lt;=Capacity!$M$16,Capacity!Q22,"")</f>
        <v/>
      </c>
      <c r="G123" s="325" t="str">
        <f>IF(ROW(A6)&lt;=Capacity!$M$16,'Capacity calculation (hide)'!BH117,"")</f>
        <v/>
      </c>
      <c r="H123" s="216" t="str">
        <f>IF(ROW(A6)&lt;=Capacity!$M$16,Capacity!T22,"")</f>
        <v/>
      </c>
      <c r="I123" s="218" t="str">
        <f>IF(ROW(A6)&lt;=Capacity!$M$16,'Capacity calculation (hide)'!DK116,"")</f>
        <v/>
      </c>
      <c r="J123" s="219" t="str">
        <f t="shared" si="2"/>
        <v/>
      </c>
    </row>
    <row r="124" spans="2:10" hidden="1" x14ac:dyDescent="0.25">
      <c r="B124" s="219" t="str">
        <f>IF(Capacity!N23=0,"",Capacity!N23)</f>
        <v/>
      </c>
      <c r="C124" s="133"/>
      <c r="D124" s="133"/>
      <c r="E124" s="133"/>
      <c r="F124" s="216" t="str">
        <f>IF(ROW(A7)&lt;=Capacity!$M$16,Capacity!Q23,"")</f>
        <v/>
      </c>
      <c r="G124" s="325" t="str">
        <f>IF(ROW(A7)&lt;=Capacity!$M$16,'Capacity calculation (hide)'!BH118,"")</f>
        <v/>
      </c>
      <c r="H124" s="216" t="str">
        <f>IF(ROW(A7)&lt;=Capacity!$M$16,Capacity!T23,"")</f>
        <v/>
      </c>
      <c r="I124" s="218" t="str">
        <f>IF(ROW(A7)&lt;=Capacity!$M$16,'Capacity calculation (hide)'!DK117,"")</f>
        <v/>
      </c>
      <c r="J124" s="219" t="str">
        <f t="shared" si="2"/>
        <v/>
      </c>
    </row>
    <row r="125" spans="2:10" hidden="1" x14ac:dyDescent="0.25">
      <c r="B125" s="219" t="str">
        <f>IF(Capacity!N24=0,"",Capacity!N24)</f>
        <v/>
      </c>
      <c r="C125" s="133"/>
      <c r="D125" s="133"/>
      <c r="E125" s="133"/>
      <c r="F125" s="216" t="str">
        <f>IF(ROW(A8)&lt;=Capacity!$M$16,Capacity!Q24,"")</f>
        <v/>
      </c>
      <c r="G125" s="325" t="str">
        <f>IF(ROW(A8)&lt;=Capacity!$M$16,'Capacity calculation (hide)'!BH119,"")</f>
        <v/>
      </c>
      <c r="H125" s="216" t="str">
        <f>IF(ROW(A8)&lt;=Capacity!$M$16,Capacity!T24,"")</f>
        <v/>
      </c>
      <c r="I125" s="218" t="str">
        <f>IF(ROW(A8)&lt;=Capacity!$M$16,'Capacity calculation (hide)'!DK118,"")</f>
        <v/>
      </c>
      <c r="J125" s="219" t="str">
        <f t="shared" si="2"/>
        <v/>
      </c>
    </row>
    <row r="126" spans="2:10" hidden="1" x14ac:dyDescent="0.25">
      <c r="B126" s="219" t="str">
        <f>IF(Capacity!N25=0,"",Capacity!N25)</f>
        <v/>
      </c>
      <c r="C126" s="133"/>
      <c r="D126" s="133"/>
      <c r="E126" s="133"/>
      <c r="F126" s="216" t="str">
        <f>IF(ROW(A9)&lt;=Capacity!$M$16,Capacity!Q25,"")</f>
        <v/>
      </c>
      <c r="G126" s="325" t="str">
        <f>IF(ROW(A9)&lt;=Capacity!$M$16,'Capacity calculation (hide)'!BH120,"")</f>
        <v/>
      </c>
      <c r="H126" s="216" t="str">
        <f>IF(ROW(A9)&lt;=Capacity!$M$16,Capacity!T25,"")</f>
        <v/>
      </c>
      <c r="I126" s="218" t="str">
        <f>IF(ROW(A9)&lt;=Capacity!$M$16,'Capacity calculation (hide)'!DK119,"")</f>
        <v/>
      </c>
      <c r="J126" s="219" t="str">
        <f t="shared" si="2"/>
        <v/>
      </c>
    </row>
    <row r="127" spans="2:10" hidden="1" x14ac:dyDescent="0.25">
      <c r="B127" s="219" t="str">
        <f>IF(Capacity!N26=0,"",Capacity!N26)</f>
        <v/>
      </c>
      <c r="C127" s="133"/>
      <c r="D127" s="133"/>
      <c r="E127" s="133"/>
      <c r="F127" s="216" t="str">
        <f>IF(ROW(A10)&lt;=Capacity!$M$16,Capacity!Q26,"")</f>
        <v/>
      </c>
      <c r="G127" s="325" t="str">
        <f>IF(ROW(A10)&lt;=Capacity!$M$16,'Capacity calculation (hide)'!BH121,"")</f>
        <v/>
      </c>
      <c r="H127" s="216" t="str">
        <f>IF(ROW(A10)&lt;=Capacity!$M$16,Capacity!T26,"")</f>
        <v/>
      </c>
      <c r="I127" s="218" t="str">
        <f>IF(ROW(A10)&lt;=Capacity!$M$16,'Capacity calculation (hide)'!DK120,"")</f>
        <v/>
      </c>
      <c r="J127" s="219" t="str">
        <f t="shared" si="2"/>
        <v/>
      </c>
    </row>
    <row r="128" spans="2:10" hidden="1" x14ac:dyDescent="0.25">
      <c r="B128" s="219" t="str">
        <f>IF(Capacity!N27=0,"",Capacity!N27)</f>
        <v/>
      </c>
      <c r="C128" s="133"/>
      <c r="D128" s="133"/>
      <c r="E128" s="133"/>
      <c r="F128" s="216" t="str">
        <f>IF(ROW(A11)&lt;=Capacity!$M$16,Capacity!Q27,"")</f>
        <v/>
      </c>
      <c r="G128" s="325" t="str">
        <f>IF(ROW(A11)&lt;=Capacity!$M$16,'Capacity calculation (hide)'!BH122,"")</f>
        <v/>
      </c>
      <c r="H128" s="216" t="str">
        <f>IF(ROW(A11)&lt;=Capacity!$M$16,Capacity!T27,"")</f>
        <v/>
      </c>
      <c r="I128" s="218" t="str">
        <f>IF(ROW(A11)&lt;=Capacity!$M$16,'Capacity calculation (hide)'!DK121,"")</f>
        <v/>
      </c>
      <c r="J128" s="219" t="str">
        <f t="shared" si="2"/>
        <v/>
      </c>
    </row>
    <row r="129" spans="2:10" hidden="1" x14ac:dyDescent="0.25">
      <c r="B129" s="219" t="str">
        <f>IF(Capacity!N28=0,"",Capacity!N28)</f>
        <v/>
      </c>
      <c r="C129" s="133"/>
      <c r="D129" s="133"/>
      <c r="E129" s="133"/>
      <c r="F129" s="216" t="str">
        <f>IF(ROW(A12)&lt;=Capacity!$M$16,Capacity!Q28,"")</f>
        <v/>
      </c>
      <c r="G129" s="325" t="str">
        <f>IF(ROW(A12)&lt;=Capacity!$M$16,'Capacity calculation (hide)'!BH123,"")</f>
        <v/>
      </c>
      <c r="H129" s="216" t="str">
        <f>IF(ROW(A12)&lt;=Capacity!$M$16,Capacity!T28,"")</f>
        <v/>
      </c>
      <c r="I129" s="218" t="str">
        <f>IF(ROW(A12)&lt;=Capacity!$M$16,'Capacity calculation (hide)'!DK122,"")</f>
        <v/>
      </c>
      <c r="J129" s="219" t="str">
        <f t="shared" si="2"/>
        <v/>
      </c>
    </row>
    <row r="130" spans="2:10" hidden="1" x14ac:dyDescent="0.25">
      <c r="B130" s="219" t="str">
        <f>IF(Capacity!N29=0,"",Capacity!N29)</f>
        <v/>
      </c>
      <c r="C130" s="133"/>
      <c r="D130" s="133"/>
      <c r="E130" s="133"/>
      <c r="F130" s="216" t="str">
        <f>IF(ROW(A13)&lt;=Capacity!$M$16,Capacity!Q29,"")</f>
        <v/>
      </c>
      <c r="G130" s="325" t="str">
        <f>IF(ROW(A13)&lt;=Capacity!$M$16,'Capacity calculation (hide)'!BH124,"")</f>
        <v/>
      </c>
      <c r="H130" s="216" t="str">
        <f>IF(ROW(A13)&lt;=Capacity!$M$16,Capacity!T29,"")</f>
        <v/>
      </c>
      <c r="I130" s="218" t="str">
        <f>IF(ROW(A13)&lt;=Capacity!$M$16,'Capacity calculation (hide)'!DK123,"")</f>
        <v/>
      </c>
      <c r="J130" s="219" t="str">
        <f t="shared" si="2"/>
        <v/>
      </c>
    </row>
    <row r="131" spans="2:10" hidden="1" x14ac:dyDescent="0.25">
      <c r="B131" s="219" t="str">
        <f>IF(Capacity!N30=0,"",Capacity!N30)</f>
        <v/>
      </c>
      <c r="C131" s="133"/>
      <c r="D131" s="133"/>
      <c r="E131" s="133"/>
      <c r="F131" s="216" t="str">
        <f>IF(ROW(A14)&lt;=Capacity!$M$16,Capacity!Q30,"")</f>
        <v/>
      </c>
      <c r="G131" s="325" t="str">
        <f>IF(ROW(A14)&lt;=Capacity!$M$16,'Capacity calculation (hide)'!BH125,"")</f>
        <v/>
      </c>
      <c r="H131" s="216" t="str">
        <f>IF(ROW(A14)&lt;=Capacity!$M$16,Capacity!T30,"")</f>
        <v/>
      </c>
      <c r="I131" s="218" t="str">
        <f>IF(ROW(A14)&lt;=Capacity!$M$16,'Capacity calculation (hide)'!DK124,"")</f>
        <v/>
      </c>
      <c r="J131" s="219" t="str">
        <f t="shared" si="2"/>
        <v/>
      </c>
    </row>
    <row r="132" spans="2:10" hidden="1" x14ac:dyDescent="0.25">
      <c r="B132" s="219" t="str">
        <f>IF(Capacity!N31=0,"",Capacity!N31)</f>
        <v/>
      </c>
      <c r="C132" s="133"/>
      <c r="D132" s="133"/>
      <c r="E132" s="133"/>
      <c r="F132" s="216" t="str">
        <f>IF(ROW(A15)&lt;=Capacity!$M$16,Capacity!Q31,"")</f>
        <v/>
      </c>
      <c r="G132" s="325" t="str">
        <f>IF(ROW(A15)&lt;=Capacity!$M$16,'Capacity calculation (hide)'!BH126,"")</f>
        <v/>
      </c>
      <c r="H132" s="216" t="str">
        <f>IF(ROW(A15)&lt;=Capacity!$M$16,Capacity!T31,"")</f>
        <v/>
      </c>
      <c r="I132" s="218" t="str">
        <f>IF(ROW(A15)&lt;=Capacity!$M$16,'Capacity calculation (hide)'!DK125,"")</f>
        <v/>
      </c>
      <c r="J132" s="219" t="str">
        <f t="shared" si="2"/>
        <v/>
      </c>
    </row>
    <row r="133" spans="2:10" hidden="1" x14ac:dyDescent="0.25">
      <c r="B133" s="219" t="str">
        <f>IF(Capacity!N32=0,"",Capacity!N32)</f>
        <v/>
      </c>
      <c r="C133" s="133"/>
      <c r="D133" s="133"/>
      <c r="E133" s="133"/>
      <c r="F133" s="216" t="str">
        <f>IF(ROW(A16)&lt;=Capacity!$M$16,Capacity!Q32,"")</f>
        <v/>
      </c>
      <c r="G133" s="325" t="str">
        <f>IF(ROW(A16)&lt;=Capacity!$M$16,'Capacity calculation (hide)'!BH127,"")</f>
        <v/>
      </c>
      <c r="H133" s="216" t="str">
        <f>IF(ROW(A16)&lt;=Capacity!$M$16,Capacity!T32,"")</f>
        <v/>
      </c>
      <c r="I133" s="218" t="str">
        <f>IF(ROW(A16)&lt;=Capacity!$M$16,'Capacity calculation (hide)'!DK126,"")</f>
        <v/>
      </c>
      <c r="J133" s="219" t="str">
        <f t="shared" si="2"/>
        <v/>
      </c>
    </row>
    <row r="134" spans="2:10" hidden="1" x14ac:dyDescent="0.25">
      <c r="B134" s="219" t="str">
        <f>IF(Capacity!N33=0,"",Capacity!N33)</f>
        <v/>
      </c>
      <c r="C134" s="133"/>
      <c r="D134" s="133"/>
      <c r="E134" s="133"/>
      <c r="F134" s="216" t="str">
        <f>IF(ROW(A17)&lt;=Capacity!$M$16,Capacity!Q33,"")</f>
        <v/>
      </c>
      <c r="G134" s="325" t="str">
        <f>IF(ROW(A17)&lt;=Capacity!$M$16,'Capacity calculation (hide)'!BH128,"")</f>
        <v/>
      </c>
      <c r="H134" s="216" t="str">
        <f>IF(ROW(A17)&lt;=Capacity!$M$16,Capacity!T33,"")</f>
        <v/>
      </c>
      <c r="I134" s="218" t="str">
        <f>IF(ROW(A17)&lt;=Capacity!$M$16,'Capacity calculation (hide)'!DK127,"")</f>
        <v/>
      </c>
      <c r="J134" s="219" t="str">
        <f t="shared" si="2"/>
        <v/>
      </c>
    </row>
    <row r="135" spans="2:10" hidden="1" x14ac:dyDescent="0.25">
      <c r="B135" s="219" t="str">
        <f>IF(Capacity!N34=0,"",Capacity!N34)</f>
        <v/>
      </c>
      <c r="C135" s="133"/>
      <c r="D135" s="133"/>
      <c r="E135" s="133"/>
      <c r="F135" s="216" t="str">
        <f>IF(ROW(A18)&lt;=Capacity!$M$16,Capacity!Q34,"")</f>
        <v/>
      </c>
      <c r="G135" s="325" t="str">
        <f>IF(ROW(A18)&lt;=Capacity!$M$16,'Capacity calculation (hide)'!BH129,"")</f>
        <v/>
      </c>
      <c r="H135" s="216" t="str">
        <f>IF(ROW(A18)&lt;=Capacity!$M$16,Capacity!T34,"")</f>
        <v/>
      </c>
      <c r="I135" s="218" t="str">
        <f>IF(ROW(A18)&lt;=Capacity!$M$16,'Capacity calculation (hide)'!DK128,"")</f>
        <v/>
      </c>
      <c r="J135" s="219" t="str">
        <f t="shared" si="2"/>
        <v/>
      </c>
    </row>
    <row r="136" spans="2:10" hidden="1" x14ac:dyDescent="0.25">
      <c r="B136" s="219" t="str">
        <f>IF(Capacity!N35=0,"",Capacity!N35)</f>
        <v/>
      </c>
      <c r="C136" s="133"/>
      <c r="D136" s="133"/>
      <c r="E136" s="133"/>
      <c r="F136" s="216" t="str">
        <f>IF(ROW(A19)&lt;=Capacity!$M$16,Capacity!Q35,"")</f>
        <v/>
      </c>
      <c r="G136" s="325" t="str">
        <f>IF(ROW(A19)&lt;=Capacity!$M$16,'Capacity calculation (hide)'!BH130,"")</f>
        <v/>
      </c>
      <c r="H136" s="216" t="str">
        <f>IF(ROW(A19)&lt;=Capacity!$M$16,Capacity!T35,"")</f>
        <v/>
      </c>
      <c r="I136" s="218" t="str">
        <f>IF(ROW(A19)&lt;=Capacity!$M$16,'Capacity calculation (hide)'!DK129,"")</f>
        <v/>
      </c>
      <c r="J136" s="219" t="str">
        <f t="shared" si="2"/>
        <v/>
      </c>
    </row>
    <row r="137" spans="2:10" hidden="1" x14ac:dyDescent="0.25">
      <c r="B137" s="219" t="str">
        <f>IF(Capacity!N36=0,"",Capacity!N36)</f>
        <v/>
      </c>
      <c r="C137" s="133"/>
      <c r="D137" s="133"/>
      <c r="E137" s="133"/>
      <c r="F137" s="216" t="str">
        <f>IF(ROW(A20)&lt;=Capacity!$M$16,Capacity!Q36,"")</f>
        <v/>
      </c>
      <c r="G137" s="325" t="str">
        <f>IF(ROW(A20)&lt;=Capacity!$M$16,'Capacity calculation (hide)'!BH131,"")</f>
        <v/>
      </c>
      <c r="H137" s="216" t="str">
        <f>IF(ROW(A20)&lt;=Capacity!$M$16,Capacity!T36,"")</f>
        <v/>
      </c>
      <c r="I137" s="218" t="str">
        <f>IF(ROW(A20)&lt;=Capacity!$M$16,'Capacity calculation (hide)'!DK130,"")</f>
        <v/>
      </c>
      <c r="J137" s="219" t="str">
        <f t="shared" si="2"/>
        <v/>
      </c>
    </row>
    <row r="138" spans="2:10" hidden="1" x14ac:dyDescent="0.25">
      <c r="B138" s="219" t="str">
        <f>IF(Capacity!N37=0,"",Capacity!N37)</f>
        <v/>
      </c>
      <c r="C138" s="133"/>
      <c r="D138" s="133"/>
      <c r="E138" s="133"/>
      <c r="F138" s="216" t="str">
        <f>IF(ROW(A21)&lt;=Capacity!$M$16,Capacity!Q37,"")</f>
        <v/>
      </c>
      <c r="G138" s="325" t="str">
        <f>IF(ROW(A21)&lt;=Capacity!$M$16,'Capacity calculation (hide)'!BH132,"")</f>
        <v/>
      </c>
      <c r="H138" s="216" t="str">
        <f>IF(ROW(A21)&lt;=Capacity!$M$16,Capacity!T37,"")</f>
        <v/>
      </c>
      <c r="I138" s="218" t="str">
        <f>IF(ROW(A21)&lt;=Capacity!$M$16,'Capacity calculation (hide)'!DK131,"")</f>
        <v/>
      </c>
      <c r="J138" s="219" t="str">
        <f t="shared" si="2"/>
        <v/>
      </c>
    </row>
    <row r="139" spans="2:10" hidden="1" x14ac:dyDescent="0.25">
      <c r="B139" s="219" t="str">
        <f>IF(Capacity!N38=0,"",Capacity!N38)</f>
        <v/>
      </c>
      <c r="C139" s="133"/>
      <c r="D139" s="133"/>
      <c r="E139" s="133"/>
      <c r="F139" s="216" t="str">
        <f>IF(ROW(A22)&lt;=Capacity!$M$16,Capacity!Q38,"")</f>
        <v/>
      </c>
      <c r="G139" s="325" t="str">
        <f>IF(ROW(A22)&lt;=Capacity!$M$16,'Capacity calculation (hide)'!BH133,"")</f>
        <v/>
      </c>
      <c r="H139" s="216" t="str">
        <f>IF(ROW(A22)&lt;=Capacity!$M$16,Capacity!T38,"")</f>
        <v/>
      </c>
      <c r="I139" s="218" t="str">
        <f>IF(ROW(A22)&lt;=Capacity!$M$16,'Capacity calculation (hide)'!DK132,"")</f>
        <v/>
      </c>
      <c r="J139" s="219" t="str">
        <f t="shared" si="2"/>
        <v/>
      </c>
    </row>
    <row r="140" spans="2:10" hidden="1" x14ac:dyDescent="0.25">
      <c r="B140" s="219" t="str">
        <f>IF(Capacity!N39=0,"",Capacity!N39)</f>
        <v/>
      </c>
      <c r="C140" s="133"/>
      <c r="D140" s="133"/>
      <c r="E140" s="133"/>
      <c r="F140" s="216" t="str">
        <f>IF(ROW(A23)&lt;=Capacity!$M$16,Capacity!Q39,"")</f>
        <v/>
      </c>
      <c r="G140" s="325" t="str">
        <f>IF(ROW(A23)&lt;=Capacity!$M$16,'Capacity calculation (hide)'!BH134,"")</f>
        <v/>
      </c>
      <c r="H140" s="216" t="str">
        <f>IF(ROW(A23)&lt;=Capacity!$M$16,Capacity!T39,"")</f>
        <v/>
      </c>
      <c r="I140" s="218" t="str">
        <f>IF(ROW(A23)&lt;=Capacity!$M$16,'Capacity calculation (hide)'!DK133,"")</f>
        <v/>
      </c>
      <c r="J140" s="219" t="str">
        <f t="shared" si="2"/>
        <v/>
      </c>
    </row>
    <row r="141" spans="2:10" hidden="1" x14ac:dyDescent="0.25">
      <c r="B141" s="219" t="str">
        <f>IF(Capacity!N40=0,"",Capacity!N40)</f>
        <v/>
      </c>
      <c r="C141" s="133"/>
      <c r="D141" s="133"/>
      <c r="E141" s="133"/>
      <c r="F141" s="216" t="str">
        <f>IF(ROW(A24)&lt;=Capacity!$M$16,Capacity!Q40,"")</f>
        <v/>
      </c>
      <c r="G141" s="325" t="str">
        <f>IF(ROW(A24)&lt;=Capacity!$M$16,'Capacity calculation (hide)'!BH135,"")</f>
        <v/>
      </c>
      <c r="H141" s="216" t="str">
        <f>IF(ROW(A24)&lt;=Capacity!$M$16,Capacity!T40,"")</f>
        <v/>
      </c>
      <c r="I141" s="218" t="str">
        <f>IF(ROW(A24)&lt;=Capacity!$M$16,'Capacity calculation (hide)'!DK134,"")</f>
        <v/>
      </c>
      <c r="J141" s="219" t="str">
        <f t="shared" si="2"/>
        <v/>
      </c>
    </row>
    <row r="142" spans="2:10" hidden="1" x14ac:dyDescent="0.25">
      <c r="B142" s="219" t="str">
        <f>IF(Capacity!N41=0,"",Capacity!N41)</f>
        <v/>
      </c>
      <c r="C142" s="133"/>
      <c r="D142" s="133"/>
      <c r="E142" s="133"/>
      <c r="F142" s="216" t="str">
        <f>IF(ROW(A25)&lt;=Capacity!$M$16,Capacity!Q41,"")</f>
        <v/>
      </c>
      <c r="G142" s="325" t="str">
        <f>IF(ROW(A25)&lt;=Capacity!$M$16,'Capacity calculation (hide)'!BH136,"")</f>
        <v/>
      </c>
      <c r="H142" s="216" t="str">
        <f>IF(ROW(A25)&lt;=Capacity!$M$16,Capacity!T41,"")</f>
        <v/>
      </c>
      <c r="I142" s="218" t="str">
        <f>IF(ROW(A25)&lt;=Capacity!$M$16,'Capacity calculation (hide)'!DK135,"")</f>
        <v/>
      </c>
      <c r="J142" s="219" t="str">
        <f t="shared" si="2"/>
        <v/>
      </c>
    </row>
    <row r="143" spans="2:10" hidden="1" x14ac:dyDescent="0.25">
      <c r="B143" s="219" t="str">
        <f>IF(Capacity!N42=0,"",Capacity!N42)</f>
        <v/>
      </c>
      <c r="C143" s="133"/>
      <c r="D143" s="133"/>
      <c r="E143" s="133"/>
      <c r="F143" s="216" t="str">
        <f>IF(ROW(A26)&lt;=Capacity!$M$16,Capacity!Q42,"")</f>
        <v/>
      </c>
      <c r="G143" s="325" t="str">
        <f>IF(ROW(A26)&lt;=Capacity!$M$16,'Capacity calculation (hide)'!BH137,"")</f>
        <v/>
      </c>
      <c r="H143" s="216" t="str">
        <f>IF(ROW(A26)&lt;=Capacity!$M$16,Capacity!T42,"")</f>
        <v/>
      </c>
      <c r="I143" s="218" t="str">
        <f>IF(ROW(A26)&lt;=Capacity!$M$16,'Capacity calculation (hide)'!DK136,"")</f>
        <v/>
      </c>
      <c r="J143" s="219" t="str">
        <f t="shared" si="2"/>
        <v/>
      </c>
    </row>
    <row r="144" spans="2:10" hidden="1" x14ac:dyDescent="0.25">
      <c r="B144" s="219" t="str">
        <f>IF(Capacity!N43=0,"",Capacity!N43)</f>
        <v/>
      </c>
      <c r="C144" s="133"/>
      <c r="D144" s="133"/>
      <c r="E144" s="133"/>
      <c r="F144" s="216" t="str">
        <f>IF(ROW(A27)&lt;=Capacity!$M$16,Capacity!Q43,"")</f>
        <v/>
      </c>
      <c r="G144" s="325" t="str">
        <f>IF(ROW(A27)&lt;=Capacity!$M$16,'Capacity calculation (hide)'!BH138,"")</f>
        <v/>
      </c>
      <c r="H144" s="216" t="str">
        <f>IF(ROW(A27)&lt;=Capacity!$M$16,Capacity!T43,"")</f>
        <v/>
      </c>
      <c r="I144" s="218" t="str">
        <f>IF(ROW(A27)&lt;=Capacity!$M$16,'Capacity calculation (hide)'!DK137,"")</f>
        <v/>
      </c>
      <c r="J144" s="219" t="str">
        <f t="shared" si="2"/>
        <v/>
      </c>
    </row>
    <row r="145" spans="2:10" hidden="1" x14ac:dyDescent="0.25">
      <c r="B145" s="219" t="str">
        <f>IF(Capacity!N44=0,"",Capacity!N44)</f>
        <v/>
      </c>
      <c r="C145" s="133"/>
      <c r="D145" s="133"/>
      <c r="E145" s="133"/>
      <c r="F145" s="216" t="str">
        <f>IF(ROW(A28)&lt;=Capacity!$M$16,Capacity!Q44,"")</f>
        <v/>
      </c>
      <c r="G145" s="325" t="str">
        <f>IF(ROW(A28)&lt;=Capacity!$M$16,'Capacity calculation (hide)'!BH139,"")</f>
        <v/>
      </c>
      <c r="H145" s="216" t="str">
        <f>IF(ROW(A28)&lt;=Capacity!$M$16,Capacity!T44,"")</f>
        <v/>
      </c>
      <c r="I145" s="218" t="str">
        <f>IF(ROW(A28)&lt;=Capacity!$M$16,'Capacity calculation (hide)'!DK138,"")</f>
        <v/>
      </c>
      <c r="J145" s="219" t="str">
        <f t="shared" si="2"/>
        <v/>
      </c>
    </row>
    <row r="146" spans="2:10" hidden="1" x14ac:dyDescent="0.25">
      <c r="B146" s="219" t="str">
        <f>IF(Capacity!N45=0,"",Capacity!N45)</f>
        <v/>
      </c>
      <c r="C146" s="133"/>
      <c r="D146" s="133"/>
      <c r="E146" s="133"/>
      <c r="F146" s="216" t="str">
        <f>IF(ROW(A29)&lt;=Capacity!$M$16,Capacity!Q45,"")</f>
        <v/>
      </c>
      <c r="G146" s="325" t="str">
        <f>IF(ROW(A29)&lt;=Capacity!$M$16,'Capacity calculation (hide)'!BH140,"")</f>
        <v/>
      </c>
      <c r="H146" s="216" t="str">
        <f>IF(ROW(A29)&lt;=Capacity!$M$16,Capacity!T45,"")</f>
        <v/>
      </c>
      <c r="I146" s="218" t="str">
        <f>IF(ROW(A29)&lt;=Capacity!$M$16,'Capacity calculation (hide)'!DK139,"")</f>
        <v/>
      </c>
      <c r="J146" s="219" t="str">
        <f t="shared" si="2"/>
        <v/>
      </c>
    </row>
    <row r="147" spans="2:10" hidden="1" x14ac:dyDescent="0.25">
      <c r="B147" s="219" t="str">
        <f>IF(Capacity!N46=0,"",Capacity!N46)</f>
        <v/>
      </c>
      <c r="C147" s="133"/>
      <c r="D147" s="133"/>
      <c r="E147" s="133"/>
      <c r="F147" s="216" t="str">
        <f>IF(ROW(A30)&lt;=Capacity!$M$16,Capacity!Q46,"")</f>
        <v/>
      </c>
      <c r="G147" s="325" t="str">
        <f>IF(ROW(A30)&lt;=Capacity!$M$16,'Capacity calculation (hide)'!BH141,"")</f>
        <v/>
      </c>
      <c r="H147" s="216" t="str">
        <f>IF(ROW(A30)&lt;=Capacity!$M$16,Capacity!T46,"")</f>
        <v/>
      </c>
      <c r="I147" s="218" t="str">
        <f>IF(ROW(A30)&lt;=Capacity!$M$16,'Capacity calculation (hide)'!DK140,"")</f>
        <v/>
      </c>
      <c r="J147" s="219" t="str">
        <f t="shared" si="2"/>
        <v/>
      </c>
    </row>
    <row r="148" spans="2:10" hidden="1" x14ac:dyDescent="0.25">
      <c r="B148" s="219" t="str">
        <f>IF(Capacity!N47=0,"",Capacity!N47)</f>
        <v/>
      </c>
      <c r="C148" s="133"/>
      <c r="D148" s="133"/>
      <c r="E148" s="133"/>
      <c r="F148" s="216" t="str">
        <f>IF(ROW(A31)&lt;=Capacity!$M$16,Capacity!Q47,"")</f>
        <v/>
      </c>
      <c r="G148" s="325" t="str">
        <f>IF(ROW(A31)&lt;=Capacity!$M$16,'Capacity calculation (hide)'!BH142,"")</f>
        <v/>
      </c>
      <c r="H148" s="216" t="str">
        <f>IF(ROW(A31)&lt;=Capacity!$M$16,Capacity!T47,"")</f>
        <v/>
      </c>
      <c r="I148" s="218" t="str">
        <f>IF(ROW(A31)&lt;=Capacity!$M$16,'Capacity calculation (hide)'!DK141,"")</f>
        <v/>
      </c>
      <c r="J148" s="219" t="str">
        <f t="shared" si="2"/>
        <v/>
      </c>
    </row>
    <row r="149" spans="2:10" hidden="1" x14ac:dyDescent="0.25">
      <c r="B149" s="219" t="str">
        <f>IF(Capacity!N48=0,"",Capacity!N48)</f>
        <v/>
      </c>
      <c r="C149" s="133"/>
      <c r="D149" s="133"/>
      <c r="E149" s="133"/>
      <c r="F149" s="216" t="str">
        <f>IF(ROW(A32)&lt;=Capacity!$M$16,Capacity!Q48,"")</f>
        <v/>
      </c>
      <c r="G149" s="325" t="str">
        <f>IF(ROW(A32)&lt;=Capacity!$M$16,'Capacity calculation (hide)'!BH143,"")</f>
        <v/>
      </c>
      <c r="H149" s="216" t="str">
        <f>IF(ROW(A32)&lt;=Capacity!$M$16,Capacity!T48,"")</f>
        <v/>
      </c>
      <c r="I149" s="218" t="str">
        <f>IF(ROW(A32)&lt;=Capacity!$M$16,'Capacity calculation (hide)'!DK142,"")</f>
        <v/>
      </c>
      <c r="J149" s="219" t="str">
        <f t="shared" si="2"/>
        <v/>
      </c>
    </row>
    <row r="150" spans="2:10" hidden="1" x14ac:dyDescent="0.25">
      <c r="B150" s="219" t="str">
        <f>IF(Capacity!N49=0,"",Capacity!N49)</f>
        <v/>
      </c>
      <c r="C150" s="133"/>
      <c r="D150" s="133"/>
      <c r="E150" s="133"/>
      <c r="F150" s="216" t="str">
        <f>IF(ROW(A33)&lt;=Capacity!$M$16,Capacity!Q49,"")</f>
        <v/>
      </c>
      <c r="G150" s="325" t="str">
        <f>IF(ROW(A33)&lt;=Capacity!$M$16,'Capacity calculation (hide)'!BH144,"")</f>
        <v/>
      </c>
      <c r="H150" s="216" t="str">
        <f>IF(ROW(A33)&lt;=Capacity!$M$16,Capacity!T49,"")</f>
        <v/>
      </c>
      <c r="I150" s="218" t="str">
        <f>IF(ROW(A33)&lt;=Capacity!$M$16,'Capacity calculation (hide)'!DK143,"")</f>
        <v/>
      </c>
      <c r="J150" s="219" t="str">
        <f t="shared" si="2"/>
        <v/>
      </c>
    </row>
    <row r="151" spans="2:10" hidden="1" x14ac:dyDescent="0.25">
      <c r="B151" s="219" t="str">
        <f>IF(Capacity!N50=0,"",Capacity!N50)</f>
        <v/>
      </c>
      <c r="C151" s="133"/>
      <c r="D151" s="133"/>
      <c r="E151" s="133"/>
      <c r="F151" s="216" t="str">
        <f>IF(ROW(A34)&lt;=Capacity!$M$16,Capacity!Q50,"")</f>
        <v/>
      </c>
      <c r="G151" s="325" t="str">
        <f>IF(ROW(A34)&lt;=Capacity!$M$16,'Capacity calculation (hide)'!BH145,"")</f>
        <v/>
      </c>
      <c r="H151" s="216" t="str">
        <f>IF(ROW(A34)&lt;=Capacity!$M$16,Capacity!T50,"")</f>
        <v/>
      </c>
      <c r="I151" s="218" t="str">
        <f>IF(ROW(A34)&lt;=Capacity!$M$16,'Capacity calculation (hide)'!DK144,"")</f>
        <v/>
      </c>
      <c r="J151" s="219" t="str">
        <f t="shared" si="2"/>
        <v/>
      </c>
    </row>
    <row r="152" spans="2:10" hidden="1" x14ac:dyDescent="0.25">
      <c r="B152" s="219" t="str">
        <f>IF(Capacity!N51=0,"",Capacity!N51)</f>
        <v/>
      </c>
      <c r="C152" s="133"/>
      <c r="D152" s="133"/>
      <c r="E152" s="133"/>
      <c r="F152" s="216" t="str">
        <f>IF(ROW(A35)&lt;=Capacity!$M$16,Capacity!Q51,"")</f>
        <v/>
      </c>
      <c r="G152" s="325" t="str">
        <f>IF(ROW(A35)&lt;=Capacity!$M$16,'Capacity calculation (hide)'!BH146,"")</f>
        <v/>
      </c>
      <c r="H152" s="216" t="str">
        <f>IF(ROW(A35)&lt;=Capacity!$M$16,Capacity!T51,"")</f>
        <v/>
      </c>
      <c r="I152" s="218" t="str">
        <f>IF(ROW(A35)&lt;=Capacity!$M$16,'Capacity calculation (hide)'!DK145,"")</f>
        <v/>
      </c>
      <c r="J152" s="219" t="str">
        <f t="shared" si="2"/>
        <v/>
      </c>
    </row>
    <row r="153" spans="2:10" hidden="1" x14ac:dyDescent="0.25">
      <c r="B153" s="219" t="str">
        <f>IF(Capacity!N52=0,"",Capacity!N52)</f>
        <v/>
      </c>
      <c r="C153" s="133"/>
      <c r="D153" s="133"/>
      <c r="E153" s="133"/>
      <c r="F153" s="216" t="str">
        <f>IF(ROW(A36)&lt;=Capacity!$M$16,Capacity!Q52,"")</f>
        <v/>
      </c>
      <c r="G153" s="325" t="str">
        <f>IF(ROW(A36)&lt;=Capacity!$M$16,'Capacity calculation (hide)'!BH147,"")</f>
        <v/>
      </c>
      <c r="H153" s="216" t="str">
        <f>IF(ROW(A36)&lt;=Capacity!$M$16,Capacity!T52,"")</f>
        <v/>
      </c>
      <c r="I153" s="218" t="str">
        <f>IF(ROW(A36)&lt;=Capacity!$M$16,'Capacity calculation (hide)'!DK146,"")</f>
        <v/>
      </c>
      <c r="J153" s="219" t="str">
        <f t="shared" si="2"/>
        <v/>
      </c>
    </row>
    <row r="154" spans="2:10" hidden="1" x14ac:dyDescent="0.25">
      <c r="B154" s="219" t="str">
        <f>IF(Capacity!N53=0,"",Capacity!N53)</f>
        <v/>
      </c>
      <c r="C154" s="133"/>
      <c r="D154" s="133"/>
      <c r="E154" s="133"/>
      <c r="F154" s="216" t="str">
        <f>IF(ROW(A37)&lt;=Capacity!$M$16,Capacity!Q53,"")</f>
        <v/>
      </c>
      <c r="G154" s="325" t="str">
        <f>IF(ROW(A37)&lt;=Capacity!$M$16,'Capacity calculation (hide)'!BH148,"")</f>
        <v/>
      </c>
      <c r="H154" s="216" t="str">
        <f>IF(ROW(A37)&lt;=Capacity!$M$16,Capacity!T53,"")</f>
        <v/>
      </c>
      <c r="I154" s="218" t="str">
        <f>IF(ROW(A37)&lt;=Capacity!$M$16,'Capacity calculation (hide)'!DK147,"")</f>
        <v/>
      </c>
      <c r="J154" s="219" t="str">
        <f t="shared" si="2"/>
        <v/>
      </c>
    </row>
    <row r="155" spans="2:10" hidden="1" x14ac:dyDescent="0.25">
      <c r="B155" s="219" t="str">
        <f>IF(Capacity!N54=0,"",Capacity!N54)</f>
        <v/>
      </c>
      <c r="C155" s="133"/>
      <c r="D155" s="133"/>
      <c r="E155" s="133"/>
      <c r="F155" s="216" t="str">
        <f>IF(ROW(A38)&lt;=Capacity!$M$16,Capacity!Q54,"")</f>
        <v/>
      </c>
      <c r="G155" s="325" t="str">
        <f>IF(ROW(A38)&lt;=Capacity!$M$16,'Capacity calculation (hide)'!BH149,"")</f>
        <v/>
      </c>
      <c r="H155" s="216" t="str">
        <f>IF(ROW(A38)&lt;=Capacity!$M$16,Capacity!T54,"")</f>
        <v/>
      </c>
      <c r="I155" s="218" t="str">
        <f>IF(ROW(A38)&lt;=Capacity!$M$16,'Capacity calculation (hide)'!DK148,"")</f>
        <v/>
      </c>
      <c r="J155" s="219" t="str">
        <f t="shared" si="2"/>
        <v/>
      </c>
    </row>
    <row r="156" spans="2:10" hidden="1" x14ac:dyDescent="0.25">
      <c r="B156" s="219" t="str">
        <f>IF(Capacity!N55=0,"",Capacity!N55)</f>
        <v/>
      </c>
      <c r="C156" s="133"/>
      <c r="D156" s="133"/>
      <c r="E156" s="133"/>
      <c r="F156" s="216" t="str">
        <f>IF(ROW(A39)&lt;=Capacity!$M$16,Capacity!Q55,"")</f>
        <v/>
      </c>
      <c r="G156" s="325" t="str">
        <f>IF(ROW(A39)&lt;=Capacity!$M$16,'Capacity calculation (hide)'!BH150,"")</f>
        <v/>
      </c>
      <c r="H156" s="216" t="str">
        <f>IF(ROW(A39)&lt;=Capacity!$M$16,Capacity!T55,"")</f>
        <v/>
      </c>
      <c r="I156" s="218" t="str">
        <f>IF(ROW(A39)&lt;=Capacity!$M$16,'Capacity calculation (hide)'!DK149,"")</f>
        <v/>
      </c>
      <c r="J156" s="219" t="str">
        <f t="shared" si="2"/>
        <v/>
      </c>
    </row>
    <row r="157" spans="2:10" hidden="1" x14ac:dyDescent="0.25">
      <c r="B157" s="219" t="str">
        <f>IF(Capacity!N56=0,"",Capacity!N56)</f>
        <v/>
      </c>
      <c r="C157" s="133"/>
      <c r="D157" s="133"/>
      <c r="E157" s="133"/>
      <c r="F157" s="216" t="str">
        <f>IF(ROW(A40)&lt;=Capacity!$M$16,Capacity!Q56,"")</f>
        <v/>
      </c>
      <c r="G157" s="325" t="str">
        <f>IF(ROW(A40)&lt;=Capacity!$M$16,'Capacity calculation (hide)'!BH151,"")</f>
        <v/>
      </c>
      <c r="H157" s="216" t="str">
        <f>IF(ROW(A40)&lt;=Capacity!$M$16,Capacity!T56,"")</f>
        <v/>
      </c>
      <c r="I157" s="218" t="str">
        <f>IF(ROW(A40)&lt;=Capacity!$M$16,'Capacity calculation (hide)'!DK150,"")</f>
        <v/>
      </c>
      <c r="J157" s="219" t="str">
        <f t="shared" si="2"/>
        <v/>
      </c>
    </row>
    <row r="158" spans="2:10" hidden="1" x14ac:dyDescent="0.25">
      <c r="B158" s="219" t="str">
        <f>IF(Capacity!N57=0,"",Capacity!N57)</f>
        <v/>
      </c>
      <c r="C158" s="133"/>
      <c r="D158" s="133"/>
      <c r="E158" s="133"/>
      <c r="F158" s="216" t="str">
        <f>IF(ROW(A41)&lt;=Capacity!$M$16,Capacity!Q57,"")</f>
        <v/>
      </c>
      <c r="G158" s="325" t="str">
        <f>IF(ROW(A41)&lt;=Capacity!$M$16,'Capacity calculation (hide)'!BH152,"")</f>
        <v/>
      </c>
      <c r="H158" s="216" t="str">
        <f>IF(ROW(A41)&lt;=Capacity!$M$16,Capacity!T57,"")</f>
        <v/>
      </c>
      <c r="I158" s="218" t="str">
        <f>IF(ROW(A41)&lt;=Capacity!$M$16,'Capacity calculation (hide)'!DK151,"")</f>
        <v/>
      </c>
      <c r="J158" s="219" t="str">
        <f t="shared" si="2"/>
        <v/>
      </c>
    </row>
    <row r="159" spans="2:10" hidden="1" x14ac:dyDescent="0.25">
      <c r="B159" s="219" t="str">
        <f>IF(Capacity!N58=0,"",Capacity!N58)</f>
        <v/>
      </c>
      <c r="C159" s="133"/>
      <c r="D159" s="133"/>
      <c r="E159" s="133"/>
      <c r="F159" s="216" t="str">
        <f>IF(ROW(A42)&lt;=Capacity!$M$16,Capacity!Q58,"")</f>
        <v/>
      </c>
      <c r="G159" s="325" t="str">
        <f>IF(ROW(A42)&lt;=Capacity!$M$16,'Capacity calculation (hide)'!BH153,"")</f>
        <v/>
      </c>
      <c r="H159" s="216" t="str">
        <f>IF(ROW(A42)&lt;=Capacity!$M$16,Capacity!T58,"")</f>
        <v/>
      </c>
      <c r="I159" s="218" t="str">
        <f>IF(ROW(A42)&lt;=Capacity!$M$16,'Capacity calculation (hide)'!DK152,"")</f>
        <v/>
      </c>
      <c r="J159" s="219" t="str">
        <f t="shared" si="2"/>
        <v/>
      </c>
    </row>
    <row r="160" spans="2:10" hidden="1" x14ac:dyDescent="0.25">
      <c r="B160" s="219" t="str">
        <f>IF(Capacity!N59=0,"",Capacity!N59)</f>
        <v/>
      </c>
      <c r="C160" s="133"/>
      <c r="D160" s="133"/>
      <c r="E160" s="133"/>
      <c r="F160" s="216" t="str">
        <f>IF(ROW(A43)&lt;=Capacity!$M$16,Capacity!Q59,"")</f>
        <v/>
      </c>
      <c r="G160" s="325" t="str">
        <f>IF(ROW(A43)&lt;=Capacity!$M$16,'Capacity calculation (hide)'!BH154,"")</f>
        <v/>
      </c>
      <c r="H160" s="216" t="str">
        <f>IF(ROW(A43)&lt;=Capacity!$M$16,Capacity!T59,"")</f>
        <v/>
      </c>
      <c r="I160" s="218" t="str">
        <f>IF(ROW(A43)&lt;=Capacity!$M$16,'Capacity calculation (hide)'!DK153,"")</f>
        <v/>
      </c>
      <c r="J160" s="219" t="str">
        <f t="shared" si="2"/>
        <v/>
      </c>
    </row>
    <row r="161" spans="2:10" hidden="1" x14ac:dyDescent="0.25">
      <c r="B161" s="219" t="str">
        <f>IF(Capacity!N60=0,"",Capacity!N60)</f>
        <v/>
      </c>
      <c r="C161" s="133"/>
      <c r="D161" s="133"/>
      <c r="E161" s="133"/>
      <c r="F161" s="216" t="str">
        <f>IF(ROW(A44)&lt;=Capacity!$M$16,Capacity!Q60,"")</f>
        <v/>
      </c>
      <c r="G161" s="325" t="str">
        <f>IF(ROW(A44)&lt;=Capacity!$M$16,'Capacity calculation (hide)'!BH155,"")</f>
        <v/>
      </c>
      <c r="H161" s="216" t="str">
        <f>IF(ROW(A44)&lt;=Capacity!$M$16,Capacity!T60,"")</f>
        <v/>
      </c>
      <c r="I161" s="218" t="str">
        <f>IF(ROW(A44)&lt;=Capacity!$M$16,'Capacity calculation (hide)'!DK154,"")</f>
        <v/>
      </c>
      <c r="J161" s="219" t="str">
        <f t="shared" si="2"/>
        <v/>
      </c>
    </row>
    <row r="162" spans="2:10" hidden="1" x14ac:dyDescent="0.25">
      <c r="B162" s="219" t="str">
        <f>IF(Capacity!N61=0,"",Capacity!N61)</f>
        <v/>
      </c>
      <c r="C162" s="133"/>
      <c r="D162" s="133"/>
      <c r="E162" s="133"/>
      <c r="F162" s="216" t="str">
        <f>IF(ROW(A45)&lt;=Capacity!$M$16,Capacity!Q61,"")</f>
        <v/>
      </c>
      <c r="G162" s="325" t="str">
        <f>IF(ROW(A45)&lt;=Capacity!$M$16,'Capacity calculation (hide)'!BH156,"")</f>
        <v/>
      </c>
      <c r="H162" s="216" t="str">
        <f>IF(ROW(A45)&lt;=Capacity!$M$16,Capacity!T61,"")</f>
        <v/>
      </c>
      <c r="I162" s="218" t="str">
        <f>IF(ROW(A45)&lt;=Capacity!$M$16,'Capacity calculation (hide)'!DK155,"")</f>
        <v/>
      </c>
      <c r="J162" s="219" t="str">
        <f t="shared" si="2"/>
        <v/>
      </c>
    </row>
    <row r="163" spans="2:10" hidden="1" x14ac:dyDescent="0.25">
      <c r="B163" s="219" t="str">
        <f>IF(Capacity!N62=0,"",Capacity!N62)</f>
        <v/>
      </c>
      <c r="C163" s="133"/>
      <c r="D163" s="133"/>
      <c r="E163" s="133"/>
      <c r="F163" s="216" t="str">
        <f>IF(ROW(A46)&lt;=Capacity!$M$16,Capacity!Q62,"")</f>
        <v/>
      </c>
      <c r="G163" s="325" t="str">
        <f>IF(ROW(A46)&lt;=Capacity!$M$16,'Capacity calculation (hide)'!BH157,"")</f>
        <v/>
      </c>
      <c r="H163" s="216" t="str">
        <f>IF(ROW(A46)&lt;=Capacity!$M$16,Capacity!T62,"")</f>
        <v/>
      </c>
      <c r="I163" s="218" t="str">
        <f>IF(ROW(A46)&lt;=Capacity!$M$16,'Capacity calculation (hide)'!DK156,"")</f>
        <v/>
      </c>
      <c r="J163" s="219" t="str">
        <f t="shared" si="2"/>
        <v/>
      </c>
    </row>
    <row r="164" spans="2:10" hidden="1" x14ac:dyDescent="0.25">
      <c r="B164" s="219" t="str">
        <f>IF(Capacity!N63=0,"",Capacity!N63)</f>
        <v/>
      </c>
      <c r="C164" s="133"/>
      <c r="D164" s="133"/>
      <c r="E164" s="133"/>
      <c r="F164" s="216" t="str">
        <f>IF(ROW(A47)&lt;=Capacity!$M$16,Capacity!Q63,"")</f>
        <v/>
      </c>
      <c r="G164" s="325" t="str">
        <f>IF(ROW(A47)&lt;=Capacity!$M$16,'Capacity calculation (hide)'!BH158,"")</f>
        <v/>
      </c>
      <c r="H164" s="216" t="str">
        <f>IF(ROW(A47)&lt;=Capacity!$M$16,Capacity!T63,"")</f>
        <v/>
      </c>
      <c r="I164" s="218" t="str">
        <f>IF(ROW(A47)&lt;=Capacity!$M$16,'Capacity calculation (hide)'!DK157,"")</f>
        <v/>
      </c>
      <c r="J164" s="219" t="str">
        <f t="shared" si="2"/>
        <v/>
      </c>
    </row>
    <row r="165" spans="2:10" hidden="1" x14ac:dyDescent="0.25">
      <c r="B165" s="219" t="str">
        <f>IF(Capacity!N64=0,"",Capacity!N64)</f>
        <v/>
      </c>
      <c r="C165" s="133"/>
      <c r="D165" s="133"/>
      <c r="E165" s="133"/>
      <c r="F165" s="216" t="str">
        <f>IF(ROW(A48)&lt;=Capacity!$M$16,Capacity!Q64,"")</f>
        <v/>
      </c>
      <c r="G165" s="325" t="str">
        <f>IF(ROW(A48)&lt;=Capacity!$M$16,'Capacity calculation (hide)'!BH159,"")</f>
        <v/>
      </c>
      <c r="H165" s="216" t="str">
        <f>IF(ROW(A48)&lt;=Capacity!$M$16,Capacity!T64,"")</f>
        <v/>
      </c>
      <c r="I165" s="218" t="str">
        <f>IF(ROW(A48)&lt;=Capacity!$M$16,'Capacity calculation (hide)'!DK158,"")</f>
        <v/>
      </c>
      <c r="J165" s="219" t="str">
        <f t="shared" si="2"/>
        <v/>
      </c>
    </row>
    <row r="166" spans="2:10" hidden="1" x14ac:dyDescent="0.25">
      <c r="B166" s="219" t="str">
        <f>IF(Capacity!N65=0,"",Capacity!N65)</f>
        <v/>
      </c>
      <c r="C166" s="133"/>
      <c r="D166" s="133"/>
      <c r="E166" s="133"/>
      <c r="F166" s="216" t="str">
        <f>IF(ROW(A49)&lt;=Capacity!$M$16,Capacity!Q65,"")</f>
        <v/>
      </c>
      <c r="G166" s="325" t="str">
        <f>IF(ROW(A49)&lt;=Capacity!$M$16,'Capacity calculation (hide)'!BH160,"")</f>
        <v/>
      </c>
      <c r="H166" s="216" t="str">
        <f>IF(ROW(A49)&lt;=Capacity!$M$16,Capacity!T65,"")</f>
        <v/>
      </c>
      <c r="I166" s="218" t="str">
        <f>IF(ROW(A49)&lt;=Capacity!$M$16,'Capacity calculation (hide)'!DK159,"")</f>
        <v/>
      </c>
      <c r="J166" s="219" t="str">
        <f t="shared" si="2"/>
        <v/>
      </c>
    </row>
    <row r="167" spans="2:10" hidden="1" x14ac:dyDescent="0.25">
      <c r="B167" s="219" t="str">
        <f>IF(Capacity!N66=0,"",Capacity!N66)</f>
        <v/>
      </c>
      <c r="C167" s="133"/>
      <c r="D167" s="133"/>
      <c r="E167" s="133"/>
      <c r="F167" s="216" t="str">
        <f>IF(ROW(A50)&lt;=Capacity!$M$16,Capacity!Q66,"")</f>
        <v/>
      </c>
      <c r="G167" s="325" t="str">
        <f>IF(ROW(A50)&lt;=Capacity!$M$16,'Capacity calculation (hide)'!BH161,"")</f>
        <v/>
      </c>
      <c r="H167" s="216" t="str">
        <f>IF(ROW(A50)&lt;=Capacity!$M$16,Capacity!T66,"")</f>
        <v/>
      </c>
      <c r="I167" s="218" t="str">
        <f>IF(ROW(A50)&lt;=Capacity!$M$16,'Capacity calculation (hide)'!DK160,"")</f>
        <v/>
      </c>
      <c r="J167" s="219" t="str">
        <f t="shared" si="2"/>
        <v/>
      </c>
    </row>
    <row r="168" spans="2:10" hidden="1" x14ac:dyDescent="0.25">
      <c r="B168" s="219" t="str">
        <f>IF(Capacity!N67=0,"",Capacity!N67)</f>
        <v/>
      </c>
      <c r="C168" s="133"/>
      <c r="D168" s="133"/>
      <c r="E168" s="133"/>
      <c r="F168" s="216" t="str">
        <f>IF(ROW(A51)&lt;=Capacity!$M$16,Capacity!Q67,"")</f>
        <v/>
      </c>
      <c r="G168" s="325" t="str">
        <f>IF(ROW(A51)&lt;=Capacity!$M$16,'Capacity calculation (hide)'!BH162,"")</f>
        <v/>
      </c>
      <c r="H168" s="216" t="str">
        <f>IF(ROW(A51)&lt;=Capacity!$M$16,Capacity!T67,"")</f>
        <v/>
      </c>
      <c r="I168" s="218" t="str">
        <f>IF(ROW(A51)&lt;=Capacity!$M$16,'Capacity calculation (hide)'!DK161,"")</f>
        <v/>
      </c>
      <c r="J168" s="219" t="str">
        <f t="shared" si="2"/>
        <v/>
      </c>
    </row>
    <row r="169" spans="2:10" hidden="1" x14ac:dyDescent="0.25">
      <c r="B169" s="219" t="str">
        <f>IF(Capacity!N68=0,"",Capacity!N68)</f>
        <v/>
      </c>
      <c r="C169" s="133"/>
      <c r="D169" s="133"/>
      <c r="E169" s="133"/>
      <c r="F169" s="216" t="str">
        <f>IF(ROW(A52)&lt;=Capacity!$M$16,Capacity!Q68,"")</f>
        <v/>
      </c>
      <c r="G169" s="325" t="str">
        <f>IF(ROW(A52)&lt;=Capacity!$M$16,'Capacity calculation (hide)'!BH163,"")</f>
        <v/>
      </c>
      <c r="H169" s="216" t="str">
        <f>IF(ROW(A52)&lt;=Capacity!$M$16,Capacity!T68,"")</f>
        <v/>
      </c>
      <c r="I169" s="218" t="str">
        <f>IF(ROW(A52)&lt;=Capacity!$M$16,'Capacity calculation (hide)'!DK162,"")</f>
        <v/>
      </c>
      <c r="J169" s="219" t="str">
        <f t="shared" si="2"/>
        <v/>
      </c>
    </row>
    <row r="170" spans="2:10" hidden="1" x14ac:dyDescent="0.25">
      <c r="B170" s="219" t="str">
        <f>IF(Capacity!N69=0,"",Capacity!N69)</f>
        <v/>
      </c>
      <c r="C170" s="133"/>
      <c r="D170" s="133"/>
      <c r="E170" s="133"/>
      <c r="F170" s="216" t="str">
        <f>IF(ROW(A53)&lt;=Capacity!$M$16,Capacity!Q69,"")</f>
        <v/>
      </c>
      <c r="G170" s="325" t="str">
        <f>IF(ROW(A53)&lt;=Capacity!$M$16,'Capacity calculation (hide)'!BH164,"")</f>
        <v/>
      </c>
      <c r="H170" s="216" t="str">
        <f>IF(ROW(A53)&lt;=Capacity!$M$16,Capacity!T69,"")</f>
        <v/>
      </c>
      <c r="I170" s="218" t="str">
        <f>IF(ROW(A53)&lt;=Capacity!$M$16,'Capacity calculation (hide)'!DK163,"")</f>
        <v/>
      </c>
      <c r="J170" s="219" t="str">
        <f t="shared" si="2"/>
        <v/>
      </c>
    </row>
    <row r="171" spans="2:10" hidden="1" x14ac:dyDescent="0.25">
      <c r="B171" s="219" t="str">
        <f>IF(Capacity!N70=0,"",Capacity!N70)</f>
        <v/>
      </c>
      <c r="C171" s="133"/>
      <c r="D171" s="133"/>
      <c r="E171" s="133"/>
      <c r="F171" s="216" t="str">
        <f>IF(ROW(A54)&lt;=Capacity!$M$16,Capacity!Q70,"")</f>
        <v/>
      </c>
      <c r="G171" s="325" t="str">
        <f>IF(ROW(A54)&lt;=Capacity!$M$16,'Capacity calculation (hide)'!BH165,"")</f>
        <v/>
      </c>
      <c r="H171" s="216" t="str">
        <f>IF(ROW(A54)&lt;=Capacity!$M$16,Capacity!T70,"")</f>
        <v/>
      </c>
      <c r="I171" s="218" t="str">
        <f>IF(ROW(A54)&lt;=Capacity!$M$16,'Capacity calculation (hide)'!DK164,"")</f>
        <v/>
      </c>
      <c r="J171" s="219" t="str">
        <f t="shared" si="2"/>
        <v/>
      </c>
    </row>
    <row r="172" spans="2:10" hidden="1" x14ac:dyDescent="0.25">
      <c r="B172" s="219" t="str">
        <f>IF(Capacity!N71=0,"",Capacity!N71)</f>
        <v/>
      </c>
      <c r="C172" s="133"/>
      <c r="D172" s="133"/>
      <c r="E172" s="133"/>
      <c r="F172" s="216" t="str">
        <f>IF(ROW(A55)&lt;=Capacity!$M$16,Capacity!Q71,"")</f>
        <v/>
      </c>
      <c r="G172" s="325" t="str">
        <f>IF(ROW(A55)&lt;=Capacity!$M$16,'Capacity calculation (hide)'!BH166,"")</f>
        <v/>
      </c>
      <c r="H172" s="216" t="str">
        <f>IF(ROW(A55)&lt;=Capacity!$M$16,Capacity!T71,"")</f>
        <v/>
      </c>
      <c r="I172" s="218" t="str">
        <f>IF(ROW(A55)&lt;=Capacity!$M$16,'Capacity calculation (hide)'!DK165,"")</f>
        <v/>
      </c>
      <c r="J172" s="219" t="str">
        <f t="shared" si="2"/>
        <v/>
      </c>
    </row>
    <row r="173" spans="2:10" hidden="1" x14ac:dyDescent="0.25">
      <c r="B173" s="219" t="str">
        <f>IF(Capacity!N72=0,"",Capacity!N72)</f>
        <v/>
      </c>
      <c r="C173" s="133"/>
      <c r="D173" s="133"/>
      <c r="E173" s="133"/>
      <c r="F173" s="216" t="str">
        <f>IF(ROW(A56)&lt;=Capacity!$M$16,Capacity!Q72,"")</f>
        <v/>
      </c>
      <c r="G173" s="325" t="str">
        <f>IF(ROW(A56)&lt;=Capacity!$M$16,'Capacity calculation (hide)'!BH167,"")</f>
        <v/>
      </c>
      <c r="H173" s="216" t="str">
        <f>IF(ROW(A56)&lt;=Capacity!$M$16,Capacity!T72,"")</f>
        <v/>
      </c>
      <c r="I173" s="218" t="str">
        <f>IF(ROW(A56)&lt;=Capacity!$M$16,'Capacity calculation (hide)'!DK166,"")</f>
        <v/>
      </c>
      <c r="J173" s="219" t="str">
        <f t="shared" si="2"/>
        <v/>
      </c>
    </row>
    <row r="174" spans="2:10" hidden="1" x14ac:dyDescent="0.25">
      <c r="B174" s="219" t="str">
        <f>IF(Capacity!N73=0,"",Capacity!N73)</f>
        <v/>
      </c>
      <c r="C174" s="133"/>
      <c r="D174" s="133"/>
      <c r="E174" s="133"/>
      <c r="F174" s="216" t="str">
        <f>IF(ROW(A57)&lt;=Capacity!$M$16,Capacity!Q73,"")</f>
        <v/>
      </c>
      <c r="G174" s="325" t="str">
        <f>IF(ROW(A57)&lt;=Capacity!$M$16,'Capacity calculation (hide)'!BH168,"")</f>
        <v/>
      </c>
      <c r="H174" s="216" t="str">
        <f>IF(ROW(A57)&lt;=Capacity!$M$16,Capacity!T73,"")</f>
        <v/>
      </c>
      <c r="I174" s="218" t="str">
        <f>IF(ROW(A57)&lt;=Capacity!$M$16,'Capacity calculation (hide)'!DK167,"")</f>
        <v/>
      </c>
      <c r="J174" s="219" t="str">
        <f t="shared" si="2"/>
        <v/>
      </c>
    </row>
    <row r="175" spans="2:10" hidden="1" x14ac:dyDescent="0.25">
      <c r="B175" s="219" t="str">
        <f>IF(Capacity!N74=0,"",Capacity!N74)</f>
        <v/>
      </c>
      <c r="C175" s="133"/>
      <c r="D175" s="133"/>
      <c r="E175" s="133"/>
      <c r="F175" s="216" t="str">
        <f>IF(ROW(A58)&lt;=Capacity!$M$16,Capacity!Q74,"")</f>
        <v/>
      </c>
      <c r="G175" s="325" t="str">
        <f>IF(ROW(A58)&lt;=Capacity!$M$16,'Capacity calculation (hide)'!BH169,"")</f>
        <v/>
      </c>
      <c r="H175" s="216" t="str">
        <f>IF(ROW(A58)&lt;=Capacity!$M$16,Capacity!T74,"")</f>
        <v/>
      </c>
      <c r="I175" s="218" t="str">
        <f>IF(ROW(A58)&lt;=Capacity!$M$16,'Capacity calculation (hide)'!DK168,"")</f>
        <v/>
      </c>
      <c r="J175" s="219" t="str">
        <f t="shared" si="2"/>
        <v/>
      </c>
    </row>
    <row r="176" spans="2:10" hidden="1" x14ac:dyDescent="0.25">
      <c r="B176" s="219" t="str">
        <f>IF(Capacity!N75=0,"",Capacity!N75)</f>
        <v/>
      </c>
      <c r="C176" s="133"/>
      <c r="D176" s="133"/>
      <c r="E176" s="133"/>
      <c r="F176" s="216" t="str">
        <f>IF(ROW(A59)&lt;=Capacity!$M$16,Capacity!Q75,"")</f>
        <v/>
      </c>
      <c r="G176" s="325" t="str">
        <f>IF(ROW(A59)&lt;=Capacity!$M$16,'Capacity calculation (hide)'!BH170,"")</f>
        <v/>
      </c>
      <c r="H176" s="216" t="str">
        <f>IF(ROW(A59)&lt;=Capacity!$M$16,Capacity!T75,"")</f>
        <v/>
      </c>
      <c r="I176" s="218" t="str">
        <f>IF(ROW(A59)&lt;=Capacity!$M$16,'Capacity calculation (hide)'!DK169,"")</f>
        <v/>
      </c>
      <c r="J176" s="219" t="str">
        <f t="shared" si="2"/>
        <v/>
      </c>
    </row>
    <row r="177" spans="2:10" hidden="1" x14ac:dyDescent="0.25">
      <c r="B177" s="219" t="str">
        <f>IF(Capacity!N76=0,"",Capacity!N76)</f>
        <v/>
      </c>
      <c r="C177" s="133"/>
      <c r="D177" s="133"/>
      <c r="E177" s="133"/>
      <c r="F177" s="216" t="str">
        <f>IF(ROW(A60)&lt;=Capacity!$M$16,Capacity!Q76,"")</f>
        <v/>
      </c>
      <c r="G177" s="325" t="str">
        <f>IF(ROW(A60)&lt;=Capacity!$M$16,'Capacity calculation (hide)'!BH171,"")</f>
        <v/>
      </c>
      <c r="H177" s="216" t="str">
        <f>IF(ROW(A60)&lt;=Capacity!$M$16,Capacity!T76,"")</f>
        <v/>
      </c>
      <c r="I177" s="218" t="str">
        <f>IF(ROW(A60)&lt;=Capacity!$M$16,'Capacity calculation (hide)'!DK170,"")</f>
        <v/>
      </c>
      <c r="J177" s="219" t="str">
        <f t="shared" si="2"/>
        <v/>
      </c>
    </row>
    <row r="178" spans="2:10" hidden="1" x14ac:dyDescent="0.25">
      <c r="B178" s="219" t="str">
        <f>IF(Capacity!N77=0,"",Capacity!N77)</f>
        <v/>
      </c>
      <c r="C178" s="133"/>
      <c r="D178" s="133"/>
      <c r="E178" s="133"/>
      <c r="F178" s="216" t="str">
        <f>IF(ROW(A61)&lt;=Capacity!$M$16,Capacity!Q77,"")</f>
        <v/>
      </c>
      <c r="G178" s="325" t="str">
        <f>IF(ROW(A61)&lt;=Capacity!$M$16,'Capacity calculation (hide)'!BH172,"")</f>
        <v/>
      </c>
      <c r="H178" s="216" t="str">
        <f>IF(ROW(A61)&lt;=Capacity!$M$16,Capacity!T77,"")</f>
        <v/>
      </c>
      <c r="I178" s="218" t="str">
        <f>IF(ROW(A61)&lt;=Capacity!$M$16,'Capacity calculation (hide)'!DK171,"")</f>
        <v/>
      </c>
      <c r="J178" s="219" t="str">
        <f t="shared" si="2"/>
        <v/>
      </c>
    </row>
    <row r="179" spans="2:10" hidden="1" x14ac:dyDescent="0.25">
      <c r="B179" s="219" t="str">
        <f>IF(Capacity!N78=0,"",Capacity!N78)</f>
        <v/>
      </c>
      <c r="C179" s="133"/>
      <c r="D179" s="133"/>
      <c r="E179" s="133"/>
      <c r="F179" s="216" t="str">
        <f>IF(ROW(A62)&lt;=Capacity!$M$16,Capacity!Q78,"")</f>
        <v/>
      </c>
      <c r="G179" s="325" t="str">
        <f>IF(ROW(A62)&lt;=Capacity!$M$16,'Capacity calculation (hide)'!BH173,"")</f>
        <v/>
      </c>
      <c r="H179" s="216" t="str">
        <f>IF(ROW(A62)&lt;=Capacity!$M$16,Capacity!T78,"")</f>
        <v/>
      </c>
      <c r="I179" s="218" t="str">
        <f>IF(ROW(A62)&lt;=Capacity!$M$16,'Capacity calculation (hide)'!DK172,"")</f>
        <v/>
      </c>
      <c r="J179" s="219" t="str">
        <f t="shared" si="2"/>
        <v/>
      </c>
    </row>
    <row r="180" spans="2:10" hidden="1" x14ac:dyDescent="0.25">
      <c r="B180" s="219" t="str">
        <f>IF(Capacity!N79=0,"",Capacity!N79)</f>
        <v/>
      </c>
      <c r="C180" s="133"/>
      <c r="D180" s="133"/>
      <c r="E180" s="133"/>
      <c r="F180" s="216" t="str">
        <f>IF(ROW(A63)&lt;=Capacity!$M$16,Capacity!Q79,"")</f>
        <v/>
      </c>
      <c r="G180" s="325" t="str">
        <f>IF(ROW(A63)&lt;=Capacity!$M$16,'Capacity calculation (hide)'!BH174,"")</f>
        <v/>
      </c>
      <c r="H180" s="216" t="str">
        <f>IF(ROW(A63)&lt;=Capacity!$M$16,Capacity!T79,"")</f>
        <v/>
      </c>
      <c r="I180" s="218" t="str">
        <f>IF(ROW(A63)&lt;=Capacity!$M$16,'Capacity calculation (hide)'!DK173,"")</f>
        <v/>
      </c>
      <c r="J180" s="219" t="str">
        <f t="shared" si="2"/>
        <v/>
      </c>
    </row>
    <row r="181" spans="2:10" hidden="1" x14ac:dyDescent="0.25">
      <c r="B181" s="219" t="str">
        <f>IF(Capacity!N80=0,"",Capacity!N80)</f>
        <v/>
      </c>
      <c r="C181" s="133"/>
      <c r="D181" s="133"/>
      <c r="E181" s="133"/>
      <c r="F181" s="216" t="str">
        <f>IF(ROW(A64)&lt;=Capacity!$M$16,Capacity!Q80,"")</f>
        <v/>
      </c>
      <c r="G181" s="325" t="str">
        <f>IF(ROW(A64)&lt;=Capacity!$M$16,'Capacity calculation (hide)'!BH175,"")</f>
        <v/>
      </c>
      <c r="H181" s="216" t="str">
        <f>IF(ROW(A64)&lt;=Capacity!$M$16,Capacity!T80,"")</f>
        <v/>
      </c>
      <c r="I181" s="218" t="str">
        <f>IF(ROW(A64)&lt;=Capacity!$M$16,'Capacity calculation (hide)'!DK174,"")</f>
        <v/>
      </c>
      <c r="J181" s="219" t="str">
        <f t="shared" si="2"/>
        <v/>
      </c>
    </row>
    <row r="182" spans="2:10" hidden="1" x14ac:dyDescent="0.25">
      <c r="B182" s="219" t="str">
        <f>IF(Capacity!N81=0,"",Capacity!N81)</f>
        <v/>
      </c>
      <c r="C182" s="133"/>
      <c r="D182" s="133"/>
      <c r="E182" s="133"/>
      <c r="F182" s="216" t="str">
        <f>IF(ROW(A65)&lt;=Capacity!$M$16,Capacity!Q81,"")</f>
        <v/>
      </c>
      <c r="G182" s="325" t="str">
        <f>IF(ROW(A65)&lt;=Capacity!$M$16,'Capacity calculation (hide)'!BH176,"")</f>
        <v/>
      </c>
      <c r="H182" s="216" t="str">
        <f>IF(ROW(A65)&lt;=Capacity!$M$16,Capacity!T81,"")</f>
        <v/>
      </c>
      <c r="I182" s="218" t="str">
        <f>IF(ROW(A65)&lt;=Capacity!$M$16,'Capacity calculation (hide)'!DK175,"")</f>
        <v/>
      </c>
      <c r="J182" s="219" t="str">
        <f t="shared" si="2"/>
        <v/>
      </c>
    </row>
    <row r="183" spans="2:10" hidden="1" x14ac:dyDescent="0.25">
      <c r="B183" s="219" t="str">
        <f>IF(Capacity!N82=0,"",Capacity!N82)</f>
        <v/>
      </c>
      <c r="C183" s="133"/>
      <c r="D183" s="133"/>
      <c r="E183" s="133"/>
      <c r="F183" s="216" t="str">
        <f>IF(ROW(A66)&lt;=Capacity!$M$16,Capacity!Q82,"")</f>
        <v/>
      </c>
      <c r="G183" s="325" t="str">
        <f>IF(ROW(A66)&lt;=Capacity!$M$16,'Capacity calculation (hide)'!BH177,"")</f>
        <v/>
      </c>
      <c r="H183" s="216" t="str">
        <f>IF(ROW(A66)&lt;=Capacity!$M$16,Capacity!T82,"")</f>
        <v/>
      </c>
      <c r="I183" s="218" t="str">
        <f>IF(ROW(A66)&lt;=Capacity!$M$16,'Capacity calculation (hide)'!DK176,"")</f>
        <v/>
      </c>
      <c r="J183" s="219" t="str">
        <f t="shared" ref="J183:J217" si="3">IFERROR(IF(G183-F183 &lt;0, "Under","Over"),"")</f>
        <v/>
      </c>
    </row>
    <row r="184" spans="2:10" hidden="1" x14ac:dyDescent="0.25">
      <c r="B184" s="219" t="str">
        <f>IF(Capacity!N83=0,"",Capacity!N83)</f>
        <v/>
      </c>
      <c r="C184" s="133"/>
      <c r="D184" s="133"/>
      <c r="E184" s="133"/>
      <c r="F184" s="216" t="str">
        <f>IF(ROW(A67)&lt;=Capacity!$M$16,Capacity!Q83,"")</f>
        <v/>
      </c>
      <c r="G184" s="325" t="str">
        <f>IF(ROW(A67)&lt;=Capacity!$M$16,'Capacity calculation (hide)'!BH178,"")</f>
        <v/>
      </c>
      <c r="H184" s="216" t="str">
        <f>IF(ROW(A67)&lt;=Capacity!$M$16,Capacity!T83,"")</f>
        <v/>
      </c>
      <c r="I184" s="218" t="str">
        <f>IF(ROW(A67)&lt;=Capacity!$M$16,'Capacity calculation (hide)'!DK177,"")</f>
        <v/>
      </c>
      <c r="J184" s="219" t="str">
        <f t="shared" si="3"/>
        <v/>
      </c>
    </row>
    <row r="185" spans="2:10" hidden="1" x14ac:dyDescent="0.25">
      <c r="B185" s="219" t="str">
        <f>IF(Capacity!N84=0,"",Capacity!N84)</f>
        <v/>
      </c>
      <c r="C185" s="133"/>
      <c r="D185" s="133"/>
      <c r="E185" s="133"/>
      <c r="F185" s="216" t="str">
        <f>IF(ROW(A68)&lt;=Capacity!$M$16,Capacity!Q84,"")</f>
        <v/>
      </c>
      <c r="G185" s="325" t="str">
        <f>IF(ROW(A68)&lt;=Capacity!$M$16,'Capacity calculation (hide)'!BH179,"")</f>
        <v/>
      </c>
      <c r="H185" s="216" t="str">
        <f>IF(ROW(A68)&lt;=Capacity!$M$16,Capacity!T84,"")</f>
        <v/>
      </c>
      <c r="I185" s="218" t="str">
        <f>IF(ROW(A68)&lt;=Capacity!$M$16,'Capacity calculation (hide)'!DK178,"")</f>
        <v/>
      </c>
      <c r="J185" s="219" t="str">
        <f t="shared" si="3"/>
        <v/>
      </c>
    </row>
    <row r="186" spans="2:10" hidden="1" x14ac:dyDescent="0.25">
      <c r="B186" s="219" t="str">
        <f>IF(Capacity!N85=0,"",Capacity!N85)</f>
        <v/>
      </c>
      <c r="C186" s="133"/>
      <c r="D186" s="133"/>
      <c r="E186" s="133"/>
      <c r="F186" s="216" t="str">
        <f>IF(ROW(A69)&lt;=Capacity!$M$16,Capacity!Q85,"")</f>
        <v/>
      </c>
      <c r="G186" s="325" t="str">
        <f>IF(ROW(A69)&lt;=Capacity!$M$16,'Capacity calculation (hide)'!BH180,"")</f>
        <v/>
      </c>
      <c r="H186" s="216" t="str">
        <f>IF(ROW(A69)&lt;=Capacity!$M$16,Capacity!T85,"")</f>
        <v/>
      </c>
      <c r="I186" s="218" t="str">
        <f>IF(ROW(A69)&lt;=Capacity!$M$16,'Capacity calculation (hide)'!DK179,"")</f>
        <v/>
      </c>
      <c r="J186" s="219" t="str">
        <f t="shared" si="3"/>
        <v/>
      </c>
    </row>
    <row r="187" spans="2:10" hidden="1" x14ac:dyDescent="0.25">
      <c r="B187" s="219" t="str">
        <f>IF(Capacity!N86=0,"",Capacity!N86)</f>
        <v/>
      </c>
      <c r="C187" s="133"/>
      <c r="D187" s="133"/>
      <c r="E187" s="133"/>
      <c r="F187" s="216" t="str">
        <f>IF(ROW(A70)&lt;=Capacity!$M$16,Capacity!Q86,"")</f>
        <v/>
      </c>
      <c r="G187" s="325" t="str">
        <f>IF(ROW(A70)&lt;=Capacity!$M$16,'Capacity calculation (hide)'!BH181,"")</f>
        <v/>
      </c>
      <c r="H187" s="216" t="str">
        <f>IF(ROW(A70)&lt;=Capacity!$M$16,Capacity!T86,"")</f>
        <v/>
      </c>
      <c r="I187" s="218" t="str">
        <f>IF(ROW(A70)&lt;=Capacity!$M$16,'Capacity calculation (hide)'!DK180,"")</f>
        <v/>
      </c>
      <c r="J187" s="219" t="str">
        <f t="shared" si="3"/>
        <v/>
      </c>
    </row>
    <row r="188" spans="2:10" hidden="1" x14ac:dyDescent="0.25">
      <c r="B188" s="219" t="str">
        <f>IF(Capacity!N87=0,"",Capacity!N87)</f>
        <v/>
      </c>
      <c r="C188" s="133"/>
      <c r="D188" s="133"/>
      <c r="E188" s="133"/>
      <c r="F188" s="216" t="str">
        <f>IF(ROW(A71)&lt;=Capacity!$M$16,Capacity!Q87,"")</f>
        <v/>
      </c>
      <c r="G188" s="325" t="str">
        <f>IF(ROW(A71)&lt;=Capacity!$M$16,'Capacity calculation (hide)'!BH182,"")</f>
        <v/>
      </c>
      <c r="H188" s="216" t="str">
        <f>IF(ROW(A71)&lt;=Capacity!$M$16,Capacity!T87,"")</f>
        <v/>
      </c>
      <c r="I188" s="218" t="str">
        <f>IF(ROW(A71)&lt;=Capacity!$M$16,'Capacity calculation (hide)'!DK181,"")</f>
        <v/>
      </c>
      <c r="J188" s="219" t="str">
        <f t="shared" si="3"/>
        <v/>
      </c>
    </row>
    <row r="189" spans="2:10" hidden="1" x14ac:dyDescent="0.25">
      <c r="B189" s="219" t="str">
        <f>IF(Capacity!N88=0,"",Capacity!N88)</f>
        <v/>
      </c>
      <c r="C189" s="133"/>
      <c r="D189" s="133"/>
      <c r="E189" s="133"/>
      <c r="F189" s="216" t="str">
        <f>IF(ROW(A72)&lt;=Capacity!$M$16,Capacity!Q88,"")</f>
        <v/>
      </c>
      <c r="G189" s="325" t="str">
        <f>IF(ROW(A72)&lt;=Capacity!$M$16,'Capacity calculation (hide)'!BH183,"")</f>
        <v/>
      </c>
      <c r="H189" s="216" t="str">
        <f>IF(ROW(A72)&lt;=Capacity!$M$16,Capacity!T88,"")</f>
        <v/>
      </c>
      <c r="I189" s="218" t="str">
        <f>IF(ROW(A72)&lt;=Capacity!$M$16,'Capacity calculation (hide)'!DK182,"")</f>
        <v/>
      </c>
      <c r="J189" s="219" t="str">
        <f t="shared" si="3"/>
        <v/>
      </c>
    </row>
    <row r="190" spans="2:10" hidden="1" x14ac:dyDescent="0.25">
      <c r="B190" s="219" t="str">
        <f>IF(Capacity!N89=0,"",Capacity!N89)</f>
        <v/>
      </c>
      <c r="C190" s="133"/>
      <c r="D190" s="133"/>
      <c r="E190" s="133"/>
      <c r="F190" s="216" t="str">
        <f>IF(ROW(A73)&lt;=Capacity!$M$16,Capacity!Q89,"")</f>
        <v/>
      </c>
      <c r="G190" s="325" t="str">
        <f>IF(ROW(A73)&lt;=Capacity!$M$16,'Capacity calculation (hide)'!BH184,"")</f>
        <v/>
      </c>
      <c r="H190" s="216" t="str">
        <f>IF(ROW(A73)&lt;=Capacity!$M$16,Capacity!T89,"")</f>
        <v/>
      </c>
      <c r="I190" s="218" t="str">
        <f>IF(ROW(A73)&lt;=Capacity!$M$16,'Capacity calculation (hide)'!DK183,"")</f>
        <v/>
      </c>
      <c r="J190" s="219" t="str">
        <f t="shared" si="3"/>
        <v/>
      </c>
    </row>
    <row r="191" spans="2:10" hidden="1" x14ac:dyDescent="0.25">
      <c r="B191" s="219" t="str">
        <f>IF(Capacity!N90=0,"",Capacity!N90)</f>
        <v/>
      </c>
      <c r="C191" s="133"/>
      <c r="D191" s="133"/>
      <c r="E191" s="133"/>
      <c r="F191" s="216" t="str">
        <f>IF(ROW(A74)&lt;=Capacity!$M$16,Capacity!Q90,"")</f>
        <v/>
      </c>
      <c r="G191" s="325" t="str">
        <f>IF(ROW(A74)&lt;=Capacity!$M$16,'Capacity calculation (hide)'!BH185,"")</f>
        <v/>
      </c>
      <c r="H191" s="216" t="str">
        <f>IF(ROW(A74)&lt;=Capacity!$M$16,Capacity!T90,"")</f>
        <v/>
      </c>
      <c r="I191" s="218" t="str">
        <f>IF(ROW(A74)&lt;=Capacity!$M$16,'Capacity calculation (hide)'!DK184,"")</f>
        <v/>
      </c>
      <c r="J191" s="219" t="str">
        <f t="shared" si="3"/>
        <v/>
      </c>
    </row>
    <row r="192" spans="2:10" hidden="1" x14ac:dyDescent="0.25">
      <c r="B192" s="219" t="str">
        <f>IF(Capacity!N91=0,"",Capacity!N91)</f>
        <v/>
      </c>
      <c r="C192" s="133"/>
      <c r="D192" s="133"/>
      <c r="E192" s="133"/>
      <c r="F192" s="216" t="str">
        <f>IF(ROW(A75)&lt;=Capacity!$M$16,Capacity!Q91,"")</f>
        <v/>
      </c>
      <c r="G192" s="325" t="str">
        <f>IF(ROW(A75)&lt;=Capacity!$M$16,'Capacity calculation (hide)'!BH186,"")</f>
        <v/>
      </c>
      <c r="H192" s="216" t="str">
        <f>IF(ROW(A75)&lt;=Capacity!$M$16,Capacity!T91,"")</f>
        <v/>
      </c>
      <c r="I192" s="218" t="str">
        <f>IF(ROW(A75)&lt;=Capacity!$M$16,'Capacity calculation (hide)'!DK185,"")</f>
        <v/>
      </c>
      <c r="J192" s="219" t="str">
        <f t="shared" si="3"/>
        <v/>
      </c>
    </row>
    <row r="193" spans="2:10" hidden="1" x14ac:dyDescent="0.25">
      <c r="B193" s="219" t="str">
        <f>IF(Capacity!N92=0,"",Capacity!N92)</f>
        <v/>
      </c>
      <c r="C193" s="133"/>
      <c r="D193" s="133"/>
      <c r="E193" s="133"/>
      <c r="F193" s="216" t="str">
        <f>IF(ROW(A76)&lt;=Capacity!$M$16,Capacity!Q92,"")</f>
        <v/>
      </c>
      <c r="G193" s="325" t="str">
        <f>IF(ROW(A76)&lt;=Capacity!$M$16,'Capacity calculation (hide)'!BH187,"")</f>
        <v/>
      </c>
      <c r="H193" s="216" t="str">
        <f>IF(ROW(A76)&lt;=Capacity!$M$16,Capacity!T92,"")</f>
        <v/>
      </c>
      <c r="I193" s="218" t="str">
        <f>IF(ROW(A76)&lt;=Capacity!$M$16,'Capacity calculation (hide)'!DK186,"")</f>
        <v/>
      </c>
      <c r="J193" s="219" t="str">
        <f t="shared" si="3"/>
        <v/>
      </c>
    </row>
    <row r="194" spans="2:10" hidden="1" x14ac:dyDescent="0.25">
      <c r="B194" s="219" t="str">
        <f>IF(Capacity!N93=0,"",Capacity!N93)</f>
        <v/>
      </c>
      <c r="C194" s="133"/>
      <c r="D194" s="133"/>
      <c r="E194" s="133"/>
      <c r="F194" s="216" t="str">
        <f>IF(ROW(A77)&lt;=Capacity!$M$16,Capacity!Q93,"")</f>
        <v/>
      </c>
      <c r="G194" s="325" t="str">
        <f>IF(ROW(A77)&lt;=Capacity!$M$16,'Capacity calculation (hide)'!BH188,"")</f>
        <v/>
      </c>
      <c r="H194" s="216" t="str">
        <f>IF(ROW(A77)&lt;=Capacity!$M$16,Capacity!T93,"")</f>
        <v/>
      </c>
      <c r="I194" s="218" t="str">
        <f>IF(ROW(A77)&lt;=Capacity!$M$16,'Capacity calculation (hide)'!DK187,"")</f>
        <v/>
      </c>
      <c r="J194" s="219" t="str">
        <f t="shared" si="3"/>
        <v/>
      </c>
    </row>
    <row r="195" spans="2:10" hidden="1" x14ac:dyDescent="0.25">
      <c r="B195" s="219" t="str">
        <f>IF(Capacity!N94=0,"",Capacity!N94)</f>
        <v/>
      </c>
      <c r="C195" s="133"/>
      <c r="D195" s="133"/>
      <c r="E195" s="133"/>
      <c r="F195" s="216" t="str">
        <f>IF(ROW(A78)&lt;=Capacity!$M$16,Capacity!Q94,"")</f>
        <v/>
      </c>
      <c r="G195" s="325" t="str">
        <f>IF(ROW(A78)&lt;=Capacity!$M$16,'Capacity calculation (hide)'!BH189,"")</f>
        <v/>
      </c>
      <c r="H195" s="216" t="str">
        <f>IF(ROW(A78)&lt;=Capacity!$M$16,Capacity!T94,"")</f>
        <v/>
      </c>
      <c r="I195" s="218" t="str">
        <f>IF(ROW(A78)&lt;=Capacity!$M$16,'Capacity calculation (hide)'!DK188,"")</f>
        <v/>
      </c>
      <c r="J195" s="219" t="str">
        <f t="shared" si="3"/>
        <v/>
      </c>
    </row>
    <row r="196" spans="2:10" hidden="1" x14ac:dyDescent="0.25">
      <c r="B196" s="219" t="str">
        <f>IF(Capacity!N95=0,"",Capacity!N95)</f>
        <v/>
      </c>
      <c r="C196" s="133"/>
      <c r="D196" s="133"/>
      <c r="E196" s="133"/>
      <c r="F196" s="216" t="str">
        <f>IF(ROW(A79)&lt;=Capacity!$M$16,Capacity!Q95,"")</f>
        <v/>
      </c>
      <c r="G196" s="325" t="str">
        <f>IF(ROW(A79)&lt;=Capacity!$M$16,'Capacity calculation (hide)'!BH190,"")</f>
        <v/>
      </c>
      <c r="H196" s="216" t="str">
        <f>IF(ROW(A79)&lt;=Capacity!$M$16,Capacity!T95,"")</f>
        <v/>
      </c>
      <c r="I196" s="218" t="str">
        <f>IF(ROW(A79)&lt;=Capacity!$M$16,'Capacity calculation (hide)'!DK189,"")</f>
        <v/>
      </c>
      <c r="J196" s="219" t="str">
        <f t="shared" si="3"/>
        <v/>
      </c>
    </row>
    <row r="197" spans="2:10" hidden="1" x14ac:dyDescent="0.25">
      <c r="B197" s="219" t="str">
        <f>IF(Capacity!N96=0,"",Capacity!N96)</f>
        <v/>
      </c>
      <c r="C197" s="133"/>
      <c r="D197" s="133"/>
      <c r="E197" s="133"/>
      <c r="F197" s="216" t="str">
        <f>IF(ROW(A80)&lt;=Capacity!$M$16,Capacity!Q96,"")</f>
        <v/>
      </c>
      <c r="G197" s="325" t="str">
        <f>IF(ROW(A80)&lt;=Capacity!$M$16,'Capacity calculation (hide)'!BH191,"")</f>
        <v/>
      </c>
      <c r="H197" s="216" t="str">
        <f>IF(ROW(A80)&lt;=Capacity!$M$16,Capacity!T96,"")</f>
        <v/>
      </c>
      <c r="I197" s="218" t="str">
        <f>IF(ROW(A80)&lt;=Capacity!$M$16,'Capacity calculation (hide)'!DK190,"")</f>
        <v/>
      </c>
      <c r="J197" s="219" t="str">
        <f t="shared" si="3"/>
        <v/>
      </c>
    </row>
    <row r="198" spans="2:10" hidden="1" x14ac:dyDescent="0.25">
      <c r="B198" s="219" t="str">
        <f>IF(Capacity!N97=0,"",Capacity!N97)</f>
        <v/>
      </c>
      <c r="C198" s="133"/>
      <c r="D198" s="133"/>
      <c r="E198" s="133"/>
      <c r="F198" s="216" t="str">
        <f>IF(ROW(A81)&lt;=Capacity!$M$16,Capacity!Q97,"")</f>
        <v/>
      </c>
      <c r="G198" s="325" t="str">
        <f>IF(ROW(A81)&lt;=Capacity!$M$16,'Capacity calculation (hide)'!BH192,"")</f>
        <v/>
      </c>
      <c r="H198" s="216" t="str">
        <f>IF(ROW(A81)&lt;=Capacity!$M$16,Capacity!T97,"")</f>
        <v/>
      </c>
      <c r="I198" s="218" t="str">
        <f>IF(ROW(A81)&lt;=Capacity!$M$16,'Capacity calculation (hide)'!DK191,"")</f>
        <v/>
      </c>
      <c r="J198" s="219" t="str">
        <f t="shared" si="3"/>
        <v/>
      </c>
    </row>
    <row r="199" spans="2:10" hidden="1" x14ac:dyDescent="0.25">
      <c r="B199" s="219" t="str">
        <f>IF(Capacity!N98=0,"",Capacity!N98)</f>
        <v/>
      </c>
      <c r="C199" s="133"/>
      <c r="D199" s="133"/>
      <c r="E199" s="133"/>
      <c r="F199" s="216" t="str">
        <f>IF(ROW(A82)&lt;=Capacity!$M$16,Capacity!Q98,"")</f>
        <v/>
      </c>
      <c r="G199" s="325" t="str">
        <f>IF(ROW(A82)&lt;=Capacity!$M$16,'Capacity calculation (hide)'!BH193,"")</f>
        <v/>
      </c>
      <c r="H199" s="216" t="str">
        <f>IF(ROW(A82)&lt;=Capacity!$M$16,Capacity!T98,"")</f>
        <v/>
      </c>
      <c r="I199" s="218" t="str">
        <f>IF(ROW(A82)&lt;=Capacity!$M$16,'Capacity calculation (hide)'!DK192,"")</f>
        <v/>
      </c>
      <c r="J199" s="219" t="str">
        <f t="shared" si="3"/>
        <v/>
      </c>
    </row>
    <row r="200" spans="2:10" hidden="1" x14ac:dyDescent="0.25">
      <c r="B200" s="219" t="str">
        <f>IF(Capacity!N99=0,"",Capacity!N99)</f>
        <v/>
      </c>
      <c r="C200" s="133"/>
      <c r="D200" s="133"/>
      <c r="E200" s="133"/>
      <c r="F200" s="216" t="str">
        <f>IF(ROW(A83)&lt;=Capacity!$M$16,Capacity!Q99,"")</f>
        <v/>
      </c>
      <c r="G200" s="325" t="str">
        <f>IF(ROW(A83)&lt;=Capacity!$M$16,'Capacity calculation (hide)'!BH194,"")</f>
        <v/>
      </c>
      <c r="H200" s="216" t="str">
        <f>IF(ROW(A83)&lt;=Capacity!$M$16,Capacity!T99,"")</f>
        <v/>
      </c>
      <c r="I200" s="218" t="str">
        <f>IF(ROW(A83)&lt;=Capacity!$M$16,'Capacity calculation (hide)'!DK193,"")</f>
        <v/>
      </c>
      <c r="J200" s="219" t="str">
        <f t="shared" si="3"/>
        <v/>
      </c>
    </row>
    <row r="201" spans="2:10" hidden="1" x14ac:dyDescent="0.25">
      <c r="B201" s="219" t="str">
        <f>IF(Capacity!N100=0,"",Capacity!N100)</f>
        <v/>
      </c>
      <c r="C201" s="133"/>
      <c r="D201" s="133"/>
      <c r="E201" s="133"/>
      <c r="F201" s="216" t="str">
        <f>IF(ROW(A84)&lt;=Capacity!$M$16,Capacity!Q100,"")</f>
        <v/>
      </c>
      <c r="G201" s="325" t="str">
        <f>IF(ROW(A84)&lt;=Capacity!$M$16,'Capacity calculation (hide)'!BH195,"")</f>
        <v/>
      </c>
      <c r="H201" s="216" t="str">
        <f>IF(ROW(A84)&lt;=Capacity!$M$16,Capacity!T100,"")</f>
        <v/>
      </c>
      <c r="I201" s="218" t="str">
        <f>IF(ROW(A84)&lt;=Capacity!$M$16,'Capacity calculation (hide)'!DK194,"")</f>
        <v/>
      </c>
      <c r="J201" s="219" t="str">
        <f t="shared" si="3"/>
        <v/>
      </c>
    </row>
    <row r="202" spans="2:10" hidden="1" x14ac:dyDescent="0.25">
      <c r="B202" s="219" t="str">
        <f>IF(Capacity!N101=0,"",Capacity!N101)</f>
        <v/>
      </c>
      <c r="C202" s="133"/>
      <c r="D202" s="133"/>
      <c r="E202" s="133"/>
      <c r="F202" s="216" t="str">
        <f>IF(ROW(A85)&lt;=Capacity!$M$16,Capacity!Q101,"")</f>
        <v/>
      </c>
      <c r="G202" s="325" t="str">
        <f>IF(ROW(A85)&lt;=Capacity!$M$16,'Capacity calculation (hide)'!BH196,"")</f>
        <v/>
      </c>
      <c r="H202" s="216" t="str">
        <f>IF(ROW(A85)&lt;=Capacity!$M$16,Capacity!T101,"")</f>
        <v/>
      </c>
      <c r="I202" s="218" t="str">
        <f>IF(ROW(A85)&lt;=Capacity!$M$16,'Capacity calculation (hide)'!DK195,"")</f>
        <v/>
      </c>
      <c r="J202" s="219" t="str">
        <f t="shared" si="3"/>
        <v/>
      </c>
    </row>
    <row r="203" spans="2:10" hidden="1" x14ac:dyDescent="0.25">
      <c r="B203" s="219" t="str">
        <f>IF(Capacity!N102=0,"",Capacity!N102)</f>
        <v/>
      </c>
      <c r="C203" s="133"/>
      <c r="D203" s="133"/>
      <c r="E203" s="133"/>
      <c r="F203" s="216" t="str">
        <f>IF(ROW(A86)&lt;=Capacity!$M$16,Capacity!Q102,"")</f>
        <v/>
      </c>
      <c r="G203" s="325" t="str">
        <f>IF(ROW(A86)&lt;=Capacity!$M$16,'Capacity calculation (hide)'!BH197,"")</f>
        <v/>
      </c>
      <c r="H203" s="216" t="str">
        <f>IF(ROW(A86)&lt;=Capacity!$M$16,Capacity!T102,"")</f>
        <v/>
      </c>
      <c r="I203" s="218" t="str">
        <f>IF(ROW(A86)&lt;=Capacity!$M$16,'Capacity calculation (hide)'!DK196,"")</f>
        <v/>
      </c>
      <c r="J203" s="219" t="str">
        <f t="shared" si="3"/>
        <v/>
      </c>
    </row>
    <row r="204" spans="2:10" hidden="1" x14ac:dyDescent="0.25">
      <c r="B204" s="219" t="str">
        <f>IF(Capacity!N103=0,"",Capacity!N103)</f>
        <v/>
      </c>
      <c r="C204" s="133"/>
      <c r="D204" s="133"/>
      <c r="E204" s="133"/>
      <c r="F204" s="216" t="str">
        <f>IF(ROW(A87)&lt;=Capacity!$M$16,Capacity!Q103,"")</f>
        <v/>
      </c>
      <c r="G204" s="325" t="str">
        <f>IF(ROW(A87)&lt;=Capacity!$M$16,'Capacity calculation (hide)'!BH198,"")</f>
        <v/>
      </c>
      <c r="H204" s="216" t="str">
        <f>IF(ROW(A87)&lt;=Capacity!$M$16,Capacity!T103,"")</f>
        <v/>
      </c>
      <c r="I204" s="218" t="str">
        <f>IF(ROW(A87)&lt;=Capacity!$M$16,'Capacity calculation (hide)'!DK197,"")</f>
        <v/>
      </c>
      <c r="J204" s="219" t="str">
        <f t="shared" si="3"/>
        <v/>
      </c>
    </row>
    <row r="205" spans="2:10" hidden="1" x14ac:dyDescent="0.25">
      <c r="B205" s="219" t="str">
        <f>IF(Capacity!N104=0,"",Capacity!N104)</f>
        <v/>
      </c>
      <c r="C205" s="133"/>
      <c r="D205" s="133"/>
      <c r="E205" s="133"/>
      <c r="F205" s="216" t="str">
        <f>IF(ROW(A88)&lt;=Capacity!$M$16,Capacity!Q104,"")</f>
        <v/>
      </c>
      <c r="G205" s="325" t="str">
        <f>IF(ROW(A88)&lt;=Capacity!$M$16,'Capacity calculation (hide)'!BH199,"")</f>
        <v/>
      </c>
      <c r="H205" s="216" t="str">
        <f>IF(ROW(A88)&lt;=Capacity!$M$16,Capacity!T104,"")</f>
        <v/>
      </c>
      <c r="I205" s="218" t="str">
        <f>IF(ROW(A88)&lt;=Capacity!$M$16,'Capacity calculation (hide)'!DK198,"")</f>
        <v/>
      </c>
      <c r="J205" s="219" t="str">
        <f t="shared" si="3"/>
        <v/>
      </c>
    </row>
    <row r="206" spans="2:10" hidden="1" x14ac:dyDescent="0.25">
      <c r="B206" s="219" t="str">
        <f>IF(Capacity!N105=0,"",Capacity!N105)</f>
        <v/>
      </c>
      <c r="C206" s="133"/>
      <c r="D206" s="133"/>
      <c r="E206" s="133"/>
      <c r="F206" s="216" t="str">
        <f>IF(ROW(A89)&lt;=Capacity!$M$16,Capacity!Q105,"")</f>
        <v/>
      </c>
      <c r="G206" s="325" t="str">
        <f>IF(ROW(A89)&lt;=Capacity!$M$16,'Capacity calculation (hide)'!BH200,"")</f>
        <v/>
      </c>
      <c r="H206" s="216" t="str">
        <f>IF(ROW(A89)&lt;=Capacity!$M$16,Capacity!T105,"")</f>
        <v/>
      </c>
      <c r="I206" s="218" t="str">
        <f>IF(ROW(A89)&lt;=Capacity!$M$16,'Capacity calculation (hide)'!DK199,"")</f>
        <v/>
      </c>
      <c r="J206" s="219" t="str">
        <f t="shared" si="3"/>
        <v/>
      </c>
    </row>
    <row r="207" spans="2:10" hidden="1" x14ac:dyDescent="0.25">
      <c r="B207" s="219" t="str">
        <f>IF(Capacity!N106=0,"",Capacity!N106)</f>
        <v/>
      </c>
      <c r="C207" s="133"/>
      <c r="D207" s="133"/>
      <c r="E207" s="133"/>
      <c r="F207" s="216" t="str">
        <f>IF(ROW(A90)&lt;=Capacity!$M$16,Capacity!Q106,"")</f>
        <v/>
      </c>
      <c r="G207" s="325" t="str">
        <f>IF(ROW(A90)&lt;=Capacity!$M$16,'Capacity calculation (hide)'!BH201,"")</f>
        <v/>
      </c>
      <c r="H207" s="216" t="str">
        <f>IF(ROW(A90)&lt;=Capacity!$M$16,Capacity!T106,"")</f>
        <v/>
      </c>
      <c r="I207" s="218" t="str">
        <f>IF(ROW(A90)&lt;=Capacity!$M$16,'Capacity calculation (hide)'!DK200,"")</f>
        <v/>
      </c>
      <c r="J207" s="219" t="str">
        <f t="shared" si="3"/>
        <v/>
      </c>
    </row>
    <row r="208" spans="2:10" hidden="1" x14ac:dyDescent="0.25">
      <c r="B208" s="219" t="str">
        <f>IF(Capacity!N107=0,"",Capacity!N107)</f>
        <v/>
      </c>
      <c r="C208" s="133"/>
      <c r="D208" s="133"/>
      <c r="E208" s="133"/>
      <c r="F208" s="216" t="str">
        <f>IF(ROW(A91)&lt;=Capacity!$M$16,Capacity!Q107,"")</f>
        <v/>
      </c>
      <c r="G208" s="325" t="str">
        <f>IF(ROW(A91)&lt;=Capacity!$M$16,'Capacity calculation (hide)'!BH202,"")</f>
        <v/>
      </c>
      <c r="H208" s="216" t="str">
        <f>IF(ROW(A91)&lt;=Capacity!$M$16,Capacity!T107,"")</f>
        <v/>
      </c>
      <c r="I208" s="218" t="str">
        <f>IF(ROW(A91)&lt;=Capacity!$M$16,'Capacity calculation (hide)'!DK201,"")</f>
        <v/>
      </c>
      <c r="J208" s="219" t="str">
        <f t="shared" si="3"/>
        <v/>
      </c>
    </row>
    <row r="209" spans="2:10" hidden="1" x14ac:dyDescent="0.25">
      <c r="B209" s="219" t="str">
        <f>IF(Capacity!N108=0,"",Capacity!N108)</f>
        <v/>
      </c>
      <c r="C209" s="133"/>
      <c r="D209" s="133"/>
      <c r="E209" s="133"/>
      <c r="F209" s="216" t="str">
        <f>IF(ROW(A92)&lt;=Capacity!$M$16,Capacity!Q108,"")</f>
        <v/>
      </c>
      <c r="G209" s="325" t="str">
        <f>IF(ROW(A92)&lt;=Capacity!$M$16,'Capacity calculation (hide)'!BH203,"")</f>
        <v/>
      </c>
      <c r="H209" s="216" t="str">
        <f>IF(ROW(A92)&lt;=Capacity!$M$16,Capacity!T108,"")</f>
        <v/>
      </c>
      <c r="I209" s="218" t="str">
        <f>IF(ROW(A92)&lt;=Capacity!$M$16,'Capacity calculation (hide)'!DK202,"")</f>
        <v/>
      </c>
      <c r="J209" s="219" t="str">
        <f t="shared" si="3"/>
        <v/>
      </c>
    </row>
    <row r="210" spans="2:10" hidden="1" x14ac:dyDescent="0.25">
      <c r="B210" s="219" t="str">
        <f>IF(Capacity!N109=0,"",Capacity!N109)</f>
        <v/>
      </c>
      <c r="C210" s="133"/>
      <c r="D210" s="133"/>
      <c r="E210" s="133"/>
      <c r="F210" s="216" t="str">
        <f>IF(ROW(A93)&lt;=Capacity!$M$16,Capacity!Q109,"")</f>
        <v/>
      </c>
      <c r="G210" s="325" t="str">
        <f>IF(ROW(A93)&lt;=Capacity!$M$16,'Capacity calculation (hide)'!BH204,"")</f>
        <v/>
      </c>
      <c r="H210" s="216" t="str">
        <f>IF(ROW(A93)&lt;=Capacity!$M$16,Capacity!T109,"")</f>
        <v/>
      </c>
      <c r="I210" s="218" t="str">
        <f>IF(ROW(A93)&lt;=Capacity!$M$16,'Capacity calculation (hide)'!DK203,"")</f>
        <v/>
      </c>
      <c r="J210" s="219" t="str">
        <f t="shared" si="3"/>
        <v/>
      </c>
    </row>
    <row r="211" spans="2:10" hidden="1" x14ac:dyDescent="0.25">
      <c r="B211" s="219" t="str">
        <f>IF(Capacity!N110=0,"",Capacity!N110)</f>
        <v/>
      </c>
      <c r="C211" s="133"/>
      <c r="D211" s="133"/>
      <c r="E211" s="133"/>
      <c r="F211" s="216" t="str">
        <f>IF(ROW(A94)&lt;=Capacity!$M$16,Capacity!Q110,"")</f>
        <v/>
      </c>
      <c r="G211" s="325" t="str">
        <f>IF(ROW(A94)&lt;=Capacity!$M$16,'Capacity calculation (hide)'!BH205,"")</f>
        <v/>
      </c>
      <c r="H211" s="216" t="str">
        <f>IF(ROW(A94)&lt;=Capacity!$M$16,Capacity!T110,"")</f>
        <v/>
      </c>
      <c r="I211" s="218" t="str">
        <f>IF(ROW(A94)&lt;=Capacity!$M$16,'Capacity calculation (hide)'!DK204,"")</f>
        <v/>
      </c>
      <c r="J211" s="219" t="str">
        <f t="shared" si="3"/>
        <v/>
      </c>
    </row>
    <row r="212" spans="2:10" hidden="1" x14ac:dyDescent="0.25">
      <c r="B212" s="219" t="str">
        <f>IF(Capacity!N111=0,"",Capacity!N111)</f>
        <v/>
      </c>
      <c r="C212" s="133"/>
      <c r="D212" s="133"/>
      <c r="E212" s="133"/>
      <c r="F212" s="216" t="str">
        <f>IF(ROW(A95)&lt;=Capacity!$M$16,Capacity!Q111,"")</f>
        <v/>
      </c>
      <c r="G212" s="325" t="str">
        <f>IF(ROW(A95)&lt;=Capacity!$M$16,'Capacity calculation (hide)'!BH206,"")</f>
        <v/>
      </c>
      <c r="H212" s="216" t="str">
        <f>IF(ROW(A95)&lt;=Capacity!$M$16,Capacity!T111,"")</f>
        <v/>
      </c>
      <c r="I212" s="218" t="str">
        <f>IF(ROW(A95)&lt;=Capacity!$M$16,'Capacity calculation (hide)'!DK205,"")</f>
        <v/>
      </c>
      <c r="J212" s="219" t="str">
        <f t="shared" si="3"/>
        <v/>
      </c>
    </row>
    <row r="213" spans="2:10" hidden="1" x14ac:dyDescent="0.25">
      <c r="B213" s="219" t="str">
        <f>IF(Capacity!N112=0,"",Capacity!N112)</f>
        <v/>
      </c>
      <c r="C213" s="133"/>
      <c r="D213" s="133"/>
      <c r="E213" s="133"/>
      <c r="F213" s="216" t="str">
        <f>IF(ROW(A96)&lt;=Capacity!$M$16,Capacity!Q112,"")</f>
        <v/>
      </c>
      <c r="G213" s="325" t="str">
        <f>IF(ROW(A96)&lt;=Capacity!$M$16,'Capacity calculation (hide)'!BH207,"")</f>
        <v/>
      </c>
      <c r="H213" s="216" t="str">
        <f>IF(ROW(A96)&lt;=Capacity!$M$16,Capacity!T112,"")</f>
        <v/>
      </c>
      <c r="I213" s="218" t="str">
        <f>IF(ROW(A96)&lt;=Capacity!$M$16,'Capacity calculation (hide)'!DK206,"")</f>
        <v/>
      </c>
      <c r="J213" s="219" t="str">
        <f t="shared" si="3"/>
        <v/>
      </c>
    </row>
    <row r="214" spans="2:10" hidden="1" x14ac:dyDescent="0.25">
      <c r="B214" s="219" t="str">
        <f>IF(Capacity!N113=0,"",Capacity!N113)</f>
        <v/>
      </c>
      <c r="C214" s="133"/>
      <c r="D214" s="133"/>
      <c r="E214" s="133"/>
      <c r="F214" s="216" t="str">
        <f>IF(ROW(A97)&lt;=Capacity!$M$16,Capacity!Q113,"")</f>
        <v/>
      </c>
      <c r="G214" s="325" t="str">
        <f>IF(ROW(A97)&lt;=Capacity!$M$16,'Capacity calculation (hide)'!BH208,"")</f>
        <v/>
      </c>
      <c r="H214" s="216" t="str">
        <f>IF(ROW(A97)&lt;=Capacity!$M$16,Capacity!T113,"")</f>
        <v/>
      </c>
      <c r="I214" s="218" t="str">
        <f>IF(ROW(A97)&lt;=Capacity!$M$16,'Capacity calculation (hide)'!DK207,"")</f>
        <v/>
      </c>
      <c r="J214" s="219" t="str">
        <f t="shared" si="3"/>
        <v/>
      </c>
    </row>
    <row r="215" spans="2:10" hidden="1" x14ac:dyDescent="0.25">
      <c r="B215" s="219" t="str">
        <f>IF(Capacity!N114=0,"",Capacity!N114)</f>
        <v/>
      </c>
      <c r="C215" s="133"/>
      <c r="D215" s="133"/>
      <c r="E215" s="133"/>
      <c r="F215" s="216" t="str">
        <f>IF(ROW(A98)&lt;=Capacity!$M$16,Capacity!Q114,"")</f>
        <v/>
      </c>
      <c r="G215" s="325" t="str">
        <f>IF(ROW(A98)&lt;=Capacity!$M$16,'Capacity calculation (hide)'!BH209,"")</f>
        <v/>
      </c>
      <c r="H215" s="216" t="str">
        <f>IF(ROW(A98)&lt;=Capacity!$M$16,Capacity!T114,"")</f>
        <v/>
      </c>
      <c r="I215" s="218" t="str">
        <f>IF(ROW(A98)&lt;=Capacity!$M$16,'Capacity calculation (hide)'!DK208,"")</f>
        <v/>
      </c>
      <c r="J215" s="219" t="str">
        <f t="shared" si="3"/>
        <v/>
      </c>
    </row>
    <row r="216" spans="2:10" hidden="1" x14ac:dyDescent="0.25">
      <c r="B216" s="219" t="str">
        <f>IF(Capacity!N115=0,"",Capacity!N115)</f>
        <v/>
      </c>
      <c r="C216" s="133"/>
      <c r="D216" s="133"/>
      <c r="E216" s="133"/>
      <c r="F216" s="216" t="str">
        <f>IF(ROW(A99)&lt;=Capacity!$M$16,Capacity!Q115,"")</f>
        <v/>
      </c>
      <c r="G216" s="325" t="str">
        <f>IF(ROW(A99)&lt;=Capacity!$M$16,'Capacity calculation (hide)'!BH210,"")</f>
        <v/>
      </c>
      <c r="H216" s="216" t="str">
        <f>IF(ROW(A99)&lt;=Capacity!$M$16,Capacity!T115,"")</f>
        <v/>
      </c>
      <c r="I216" s="218" t="str">
        <f>IF(ROW(A99)&lt;=Capacity!$M$16,'Capacity calculation (hide)'!DK209,"")</f>
        <v/>
      </c>
      <c r="J216" s="219" t="str">
        <f t="shared" si="3"/>
        <v/>
      </c>
    </row>
    <row r="217" spans="2:10" hidden="1" x14ac:dyDescent="0.25">
      <c r="B217" s="219" t="str">
        <f>IF(Capacity!N116=0,"",Capacity!N116)</f>
        <v/>
      </c>
      <c r="C217" s="133"/>
      <c r="D217" s="133"/>
      <c r="E217" s="133"/>
      <c r="F217" s="216" t="str">
        <f>IF(ROW(A100)&lt;=Capacity!$M$16,Capacity!Q116,"")</f>
        <v/>
      </c>
      <c r="G217" s="325" t="str">
        <f>IF(ROW(A100)&lt;=Capacity!$M$16,'Capacity calculation (hide)'!BH211,"")</f>
        <v/>
      </c>
      <c r="H217" s="216" t="str">
        <f>IF(ROW(A100)&lt;=Capacity!$M$16,Capacity!T116,"")</f>
        <v/>
      </c>
      <c r="I217" s="218" t="str">
        <f>IF(ROW(A100)&lt;=Capacity!$M$16,'Capacity calculation (hide)'!DK210,"")</f>
        <v/>
      </c>
      <c r="J217" s="219"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0" priority="4">
      <formula>IF($B12="",FALSE,TRUE)</formula>
    </cfRule>
  </conditionalFormatting>
  <conditionalFormatting sqref="B12:B111 F12:I111">
    <cfRule type="expression" dxfId="19" priority="3">
      <formula>IF($B12="",FALSE, TRUE)</formula>
    </cfRule>
  </conditionalFormatting>
  <conditionalFormatting sqref="B118:J217">
    <cfRule type="expression" dxfId="18" priority="2">
      <formula>IF($B118="",FALSE,TRUE)</formula>
    </cfRule>
  </conditionalFormatting>
  <conditionalFormatting sqref="B118:B217 F118:I217">
    <cfRule type="expression" dxfId="17"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H23" sqref="H23"/>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(Points per year):</v>
      </c>
      <c r="C4" s="222">
        <f ca="1">'Capacity calculation (hide)'!DK4</f>
        <v>7331.5384615384664</v>
      </c>
      <c r="D4" s="222">
        <f>'Capacity calculation (hide)'!DK111</f>
        <v>0</v>
      </c>
      <c r="E4" s="136"/>
      <c r="F4" s="136"/>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7" t="s">
        <v>438</v>
      </c>
      <c r="C6" s="117" t="s">
        <v>439</v>
      </c>
      <c r="D6" s="128"/>
      <c r="E6" s="128"/>
      <c r="F6" s="128"/>
      <c r="G6" s="65"/>
      <c r="H6" s="126"/>
      <c r="I6" s="126"/>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3"/>
      <c r="C7" s="123"/>
      <c r="D7" s="128"/>
      <c r="E7" s="128"/>
      <c r="F7" s="128"/>
      <c r="G7" s="65"/>
      <c r="H7" s="126"/>
      <c r="I7" s="12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6"/>
      <c r="I8" s="12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6"/>
      <c r="I9" s="12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4" t="s">
        <v>471</v>
      </c>
      <c r="C10" s="411" t="s">
        <v>57</v>
      </c>
      <c r="D10" s="411"/>
      <c r="E10" s="411"/>
      <c r="F10" s="130"/>
      <c r="H10" s="126"/>
      <c r="I10" s="12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5" t="s">
        <v>472</v>
      </c>
      <c r="C11" s="411" t="s">
        <v>57</v>
      </c>
      <c r="D11" s="411"/>
      <c r="E11" s="411"/>
      <c r="F11" s="130"/>
      <c r="G11" s="127"/>
      <c r="H11" s="126"/>
      <c r="I11" s="12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6"/>
      <c r="I12" s="126"/>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6" t="s">
        <v>481</v>
      </c>
      <c r="D13" s="306" t="s">
        <v>480</v>
      </c>
      <c r="H13" s="126"/>
      <c r="I13" s="126"/>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1163</v>
      </c>
      <c r="C14" s="154" t="s">
        <v>20</v>
      </c>
      <c r="D14" s="154" t="s">
        <v>20</v>
      </c>
      <c r="H14" s="126"/>
      <c r="I14" s="12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6"/>
      <c r="I15" s="12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3" t="s">
        <v>23</v>
      </c>
      <c r="H16" s="126"/>
      <c r="I16" s="126"/>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6"/>
      <c r="I17" s="126"/>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54" t="s">
        <v>1217</v>
      </c>
      <c r="H18" s="126"/>
      <c r="I18" s="12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55" t="s">
        <v>1218</v>
      </c>
      <c r="H19" s="126"/>
      <c r="I19" s="126"/>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9" t="s">
        <v>1219</v>
      </c>
      <c r="H20" s="126"/>
      <c r="I20" s="12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402" t="s">
        <v>1177</v>
      </c>
      <c r="C21" s="405" t="s">
        <v>486</v>
      </c>
      <c r="D21" s="406"/>
      <c r="E21" s="406" t="s">
        <v>483</v>
      </c>
      <c r="F21" s="409"/>
      <c r="H21" s="126"/>
      <c r="I21" s="12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03"/>
      <c r="C22" s="407"/>
      <c r="D22" s="408"/>
      <c r="E22" s="408"/>
      <c r="F22" s="410"/>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c r="BK22" s="126"/>
      <c r="BL22" s="126"/>
    </row>
    <row r="23" spans="2:64" ht="27.6" x14ac:dyDescent="0.25">
      <c r="B23" s="404"/>
      <c r="C23" s="305" t="s">
        <v>484</v>
      </c>
      <c r="D23" s="144" t="s">
        <v>485</v>
      </c>
      <c r="E23" s="144" t="s">
        <v>484</v>
      </c>
      <c r="F23" s="283" t="s">
        <v>485</v>
      </c>
      <c r="H23" s="369"/>
      <c r="I23" s="369"/>
      <c r="J23" s="369"/>
      <c r="K23" s="369"/>
      <c r="L23" s="369"/>
      <c r="M23" s="369"/>
      <c r="N23" s="369"/>
      <c r="O23" s="369"/>
      <c r="P23" s="369"/>
      <c r="Q23" s="369"/>
      <c r="R23" s="369"/>
      <c r="S23" s="369"/>
      <c r="T23" s="369"/>
      <c r="U23" s="369"/>
      <c r="V23" s="369"/>
      <c r="W23" s="369"/>
      <c r="X23" s="369"/>
      <c r="Y23" s="369"/>
      <c r="Z23" s="369"/>
      <c r="AA23" s="369"/>
      <c r="AB23" s="369"/>
      <c r="AC23" s="369"/>
      <c r="AD23" s="369"/>
      <c r="AE23" s="369"/>
      <c r="AF23" s="369"/>
      <c r="AG23" s="369"/>
      <c r="AH23" s="369"/>
      <c r="AI23" s="369"/>
      <c r="AJ23" s="369"/>
      <c r="AK23" s="369"/>
      <c r="AL23" s="369"/>
      <c r="AM23" s="369"/>
      <c r="AN23" s="369"/>
      <c r="AO23" s="369"/>
      <c r="AP23" s="369"/>
      <c r="AQ23" s="369"/>
      <c r="AR23" s="369"/>
      <c r="AS23" s="369"/>
      <c r="AT23" s="369"/>
      <c r="AU23" s="369"/>
      <c r="AV23" s="369"/>
      <c r="AW23" s="369"/>
      <c r="AX23" s="369"/>
      <c r="AY23" s="369"/>
      <c r="AZ23" s="369"/>
      <c r="BA23" s="369"/>
      <c r="BB23" s="369"/>
      <c r="BC23" s="369"/>
      <c r="BD23" s="369"/>
      <c r="BE23" s="369"/>
      <c r="BF23" s="369"/>
      <c r="BG23" s="369"/>
      <c r="BH23" s="126"/>
      <c r="BI23" s="126"/>
      <c r="BJ23" s="126"/>
      <c r="BK23" s="126"/>
      <c r="BL23" s="126"/>
    </row>
    <row r="24" spans="2:64" hidden="1" x14ac:dyDescent="0.25">
      <c r="B24" s="220" t="str">
        <f>IF(Capacity!N17="","",Capacity!N17)</f>
        <v>Ad hoc clinic 1</v>
      </c>
      <c r="C24" s="221">
        <f>IF(B24="","",Capacity!Q17)</f>
        <v>0</v>
      </c>
      <c r="D24" s="312">
        <f>IF(B24="","",Capacity!R17)</f>
        <v>0</v>
      </c>
      <c r="E24" s="221">
        <f>IF(B24="","",IF(COUNTBLANK(H24:BG24)=52,SUM('Capacity calculation (hide)'!H112:BG112),52-COUNTBLANK(H24:BG24)))</f>
        <v>5</v>
      </c>
      <c r="F24" s="313">
        <f>'Capacity calculation (hide)'!BI112</f>
        <v>0</v>
      </c>
      <c r="H24" s="370"/>
      <c r="I24" s="370"/>
      <c r="J24" s="370"/>
      <c r="K24" s="370"/>
      <c r="L24" s="370"/>
      <c r="M24" s="370"/>
      <c r="N24" s="370"/>
      <c r="O24" s="370"/>
      <c r="P24" s="370"/>
      <c r="Q24" s="370"/>
      <c r="R24" s="370"/>
      <c r="S24" s="370"/>
      <c r="T24" s="370">
        <v>10</v>
      </c>
      <c r="U24" s="370">
        <v>10</v>
      </c>
      <c r="V24" s="370">
        <v>10</v>
      </c>
      <c r="W24" s="370"/>
      <c r="X24" s="370">
        <v>10</v>
      </c>
      <c r="Y24" s="370">
        <v>10</v>
      </c>
      <c r="Z24" s="370"/>
      <c r="AA24" s="370"/>
      <c r="AB24" s="370"/>
      <c r="AC24" s="370"/>
      <c r="AD24" s="370"/>
      <c r="AE24" s="370"/>
      <c r="AF24" s="370"/>
      <c r="AG24" s="370"/>
      <c r="AH24" s="370"/>
      <c r="AI24" s="370"/>
      <c r="AJ24" s="370"/>
      <c r="AK24" s="370"/>
      <c r="AL24" s="370"/>
      <c r="AM24" s="370"/>
      <c r="AN24" s="370"/>
      <c r="AO24" s="370"/>
      <c r="AP24" s="370"/>
      <c r="AQ24" s="370"/>
      <c r="AR24" s="370"/>
      <c r="AS24" s="370"/>
      <c r="AT24" s="370"/>
      <c r="AU24" s="370"/>
      <c r="AV24" s="370"/>
      <c r="AW24" s="370"/>
      <c r="AX24" s="370"/>
      <c r="AY24" s="370"/>
      <c r="AZ24" s="370"/>
      <c r="BA24" s="370"/>
      <c r="BB24" s="370"/>
      <c r="BC24" s="370"/>
      <c r="BD24" s="370"/>
      <c r="BE24" s="370"/>
      <c r="BF24" s="370"/>
      <c r="BG24" s="370"/>
      <c r="BH24" s="66"/>
      <c r="BI24" s="66"/>
      <c r="BJ24" s="66"/>
      <c r="BK24" s="66"/>
      <c r="BL24" s="66"/>
    </row>
    <row r="25" spans="2:64" hidden="1" x14ac:dyDescent="0.25">
      <c r="B25" s="220" t="str">
        <f>IF(Capacity!N18="","",Capacity!N18)</f>
        <v/>
      </c>
      <c r="C25" s="221" t="str">
        <f>IF(B25="","",Capacity!Q18)</f>
        <v/>
      </c>
      <c r="D25" s="312" t="str">
        <f>IF(B25="","",Capacity!R18)</f>
        <v/>
      </c>
      <c r="E25" s="221" t="str">
        <f>IF(B25="","",IF(COUNTBLANK(H25:BG25)=52,SUM('Capacity calculation (hide)'!H113:BG113),52-COUNTBLANK(H25:BG25)))</f>
        <v/>
      </c>
      <c r="F25" s="313" t="str">
        <f>'Capacity calculation (hide)'!BI113</f>
        <v/>
      </c>
      <c r="H25" s="371"/>
      <c r="I25" s="370"/>
      <c r="J25" s="370"/>
      <c r="K25" s="370"/>
      <c r="L25" s="370"/>
      <c r="M25" s="370"/>
      <c r="N25" s="370"/>
      <c r="O25" s="370"/>
      <c r="P25" s="370"/>
      <c r="Q25" s="370"/>
      <c r="R25" s="370"/>
      <c r="S25" s="370"/>
      <c r="T25" s="370"/>
      <c r="U25" s="370"/>
      <c r="V25" s="370"/>
      <c r="W25" s="370"/>
      <c r="X25" s="370"/>
      <c r="Y25" s="370"/>
      <c r="Z25" s="370"/>
      <c r="AA25" s="370"/>
      <c r="AB25" s="370"/>
      <c r="AC25" s="370"/>
      <c r="AD25" s="370"/>
      <c r="AE25" s="370"/>
      <c r="AF25" s="370"/>
      <c r="AG25" s="370"/>
      <c r="AH25" s="370"/>
      <c r="AI25" s="370"/>
      <c r="AJ25" s="370"/>
      <c r="AK25" s="370"/>
      <c r="AL25" s="370"/>
      <c r="AM25" s="370"/>
      <c r="AN25" s="370"/>
      <c r="AO25" s="370"/>
      <c r="AP25" s="370"/>
      <c r="AQ25" s="370"/>
      <c r="AR25" s="370"/>
      <c r="AS25" s="370"/>
      <c r="AT25" s="370"/>
      <c r="AU25" s="370"/>
      <c r="AV25" s="370"/>
      <c r="AW25" s="370"/>
      <c r="AX25" s="370"/>
      <c r="AY25" s="370"/>
      <c r="AZ25" s="370"/>
      <c r="BA25" s="370"/>
      <c r="BB25" s="370"/>
      <c r="BC25" s="370"/>
      <c r="BD25" s="370"/>
      <c r="BE25" s="370"/>
      <c r="BF25" s="370"/>
      <c r="BG25" s="372"/>
      <c r="BH25" s="66"/>
      <c r="BI25" s="66"/>
    </row>
    <row r="26" spans="2:64" hidden="1" x14ac:dyDescent="0.25">
      <c r="B26" s="220" t="str">
        <f>IF(Capacity!N19="","",Capacity!N19)</f>
        <v/>
      </c>
      <c r="C26" s="221" t="str">
        <f>IF(B26="","",Capacity!Q19)</f>
        <v/>
      </c>
      <c r="D26" s="312" t="str">
        <f>IF(B26="","",Capacity!R19)</f>
        <v/>
      </c>
      <c r="E26" s="221" t="str">
        <f>IF(B26="","",IF(COUNTBLANK(H26:BG26)=52,SUM('Capacity calculation (hide)'!H114:BG114),52-COUNTBLANK(H26:BG26)))</f>
        <v/>
      </c>
      <c r="F26" s="313" t="str">
        <f>'Capacity calculation (hide)'!BI114</f>
        <v/>
      </c>
      <c r="H26" s="370"/>
      <c r="I26" s="370"/>
      <c r="J26" s="370"/>
      <c r="K26" s="370"/>
      <c r="L26" s="370"/>
      <c r="M26" s="370"/>
      <c r="N26" s="370"/>
      <c r="O26" s="370"/>
      <c r="P26" s="370"/>
      <c r="Q26" s="370"/>
      <c r="R26" s="370"/>
      <c r="S26" s="370"/>
      <c r="T26" s="370"/>
      <c r="U26" s="370"/>
      <c r="V26" s="370"/>
      <c r="W26" s="370"/>
      <c r="X26" s="370"/>
      <c r="Y26" s="370"/>
      <c r="Z26" s="370"/>
      <c r="AA26" s="370"/>
      <c r="AB26" s="370"/>
      <c r="AC26" s="370"/>
      <c r="AD26" s="370"/>
      <c r="AE26" s="370"/>
      <c r="AF26" s="370"/>
      <c r="AG26" s="370"/>
      <c r="AH26" s="370"/>
      <c r="AI26" s="370"/>
      <c r="AJ26" s="370"/>
      <c r="AK26" s="370"/>
      <c r="AL26" s="370"/>
      <c r="AM26" s="370"/>
      <c r="AN26" s="370"/>
      <c r="AO26" s="370"/>
      <c r="AP26" s="370"/>
      <c r="AQ26" s="370"/>
      <c r="AR26" s="370"/>
      <c r="AS26" s="370"/>
      <c r="AT26" s="370"/>
      <c r="AU26" s="370"/>
      <c r="AV26" s="370"/>
      <c r="AW26" s="370"/>
      <c r="AX26" s="370"/>
      <c r="AY26" s="370"/>
      <c r="AZ26" s="370"/>
      <c r="BA26" s="370"/>
      <c r="BB26" s="370"/>
      <c r="BC26" s="370"/>
      <c r="BD26" s="370"/>
      <c r="BE26" s="370"/>
      <c r="BF26" s="370"/>
      <c r="BG26" s="370"/>
      <c r="BH26" s="130"/>
      <c r="BI26" s="66"/>
    </row>
    <row r="27" spans="2:64" hidden="1" x14ac:dyDescent="0.25">
      <c r="B27" s="220" t="str">
        <f>IF(Capacity!N20="","",Capacity!N20)</f>
        <v/>
      </c>
      <c r="C27" s="221" t="str">
        <f>IF(B27="","",Capacity!Q20)</f>
        <v/>
      </c>
      <c r="D27" s="312" t="str">
        <f>IF(B27="","",Capacity!R20)</f>
        <v/>
      </c>
      <c r="E27" s="221" t="str">
        <f>IF(B27="","",IF(COUNTBLANK(H27:BG27)=52,SUM('Capacity calculation (hide)'!H115:BG115),52-COUNTBLANK(H27:BG27)))</f>
        <v/>
      </c>
      <c r="F27" s="313" t="str">
        <f>'Capacity calculation (hide)'!BI115</f>
        <v/>
      </c>
      <c r="H27" s="370"/>
      <c r="I27" s="370"/>
      <c r="J27" s="370"/>
      <c r="K27" s="370"/>
      <c r="L27" s="370"/>
      <c r="M27" s="370"/>
      <c r="N27" s="370"/>
      <c r="O27" s="370"/>
      <c r="P27" s="370"/>
      <c r="Q27" s="370"/>
      <c r="R27" s="370"/>
      <c r="S27" s="370"/>
      <c r="T27" s="370"/>
      <c r="U27" s="370"/>
      <c r="V27" s="370"/>
      <c r="W27" s="370"/>
      <c r="X27" s="370"/>
      <c r="Y27" s="370"/>
      <c r="Z27" s="370"/>
      <c r="AA27" s="370"/>
      <c r="AB27" s="370"/>
      <c r="AC27" s="370"/>
      <c r="AD27" s="368"/>
      <c r="AE27" s="368"/>
      <c r="AF27" s="368"/>
      <c r="AG27" s="368"/>
      <c r="AH27" s="368"/>
      <c r="AI27" s="368"/>
      <c r="AJ27" s="368"/>
      <c r="AK27" s="368"/>
      <c r="AL27" s="368"/>
      <c r="AM27" s="368"/>
      <c r="AN27" s="368"/>
      <c r="AO27" s="368"/>
      <c r="AP27" s="368"/>
      <c r="AQ27" s="368"/>
      <c r="AR27" s="368"/>
      <c r="AS27" s="368"/>
      <c r="AT27" s="368"/>
      <c r="AU27" s="368"/>
      <c r="AV27" s="368"/>
      <c r="AW27" s="368"/>
      <c r="AX27" s="368"/>
      <c r="AY27" s="368"/>
      <c r="AZ27" s="368"/>
      <c r="BA27" s="368"/>
      <c r="BB27" s="368"/>
      <c r="BC27" s="368"/>
      <c r="BD27" s="368"/>
      <c r="BE27" s="368"/>
      <c r="BF27" s="368"/>
      <c r="BG27" s="368"/>
    </row>
    <row r="28" spans="2:64" hidden="1" x14ac:dyDescent="0.25">
      <c r="B28" s="220" t="str">
        <f>IF(Capacity!N21="","",Capacity!N21)</f>
        <v/>
      </c>
      <c r="C28" s="221" t="str">
        <f>IF(B28="","",Capacity!Q21)</f>
        <v/>
      </c>
      <c r="D28" s="312" t="str">
        <f>IF(B28="","",Capacity!R21)</f>
        <v/>
      </c>
      <c r="E28" s="221" t="str">
        <f>IF(B28="","",IF(COUNTBLANK(H28:BG28)=52,SUM('Capacity calculation (hide)'!H116:BG116),52-COUNTBLANK(H28:BG28)))</f>
        <v/>
      </c>
      <c r="F28" s="313" t="str">
        <f>'Capacity calculation (hide)'!BI116</f>
        <v/>
      </c>
      <c r="H28" s="370"/>
      <c r="I28" s="370"/>
      <c r="J28" s="370"/>
      <c r="K28" s="370"/>
      <c r="L28" s="370"/>
      <c r="M28" s="370"/>
      <c r="N28" s="370"/>
      <c r="O28" s="370"/>
      <c r="P28" s="370"/>
      <c r="Q28" s="370"/>
      <c r="R28" s="370"/>
      <c r="S28" s="370"/>
      <c r="T28" s="370"/>
      <c r="U28" s="370"/>
      <c r="V28" s="370"/>
      <c r="W28" s="370"/>
      <c r="X28" s="370"/>
      <c r="Y28" s="370"/>
      <c r="Z28" s="370"/>
      <c r="AA28" s="370"/>
      <c r="AB28" s="370"/>
      <c r="AC28" s="370"/>
      <c r="AD28" s="368"/>
      <c r="AE28" s="368"/>
      <c r="AF28" s="368"/>
      <c r="AG28" s="368"/>
      <c r="AH28" s="368"/>
      <c r="AI28" s="368"/>
      <c r="AJ28" s="368"/>
      <c r="AK28" s="368"/>
      <c r="AL28" s="368"/>
      <c r="AM28" s="368"/>
      <c r="AN28" s="368"/>
      <c r="AO28" s="368"/>
      <c r="AP28" s="368"/>
      <c r="AQ28" s="368"/>
      <c r="AR28" s="368"/>
      <c r="AS28" s="368"/>
      <c r="AT28" s="368"/>
      <c r="AU28" s="368"/>
      <c r="AV28" s="368"/>
      <c r="AW28" s="368"/>
      <c r="AX28" s="368"/>
      <c r="AY28" s="368"/>
      <c r="AZ28" s="368"/>
      <c r="BA28" s="368"/>
      <c r="BB28" s="368"/>
      <c r="BC28" s="368"/>
      <c r="BD28" s="368"/>
      <c r="BE28" s="368"/>
      <c r="BF28" s="368"/>
      <c r="BG28" s="368"/>
    </row>
    <row r="29" spans="2:64" hidden="1" x14ac:dyDescent="0.25">
      <c r="B29" s="220" t="str">
        <f>IF(Capacity!N22="","",Capacity!N22)</f>
        <v/>
      </c>
      <c r="C29" s="221" t="str">
        <f>IF(B29="","",Capacity!Q22)</f>
        <v/>
      </c>
      <c r="D29" s="312" t="str">
        <f>IF(B29="","",Capacity!R22)</f>
        <v/>
      </c>
      <c r="E29" s="221" t="str">
        <f>IF(B29="","",IF(COUNTBLANK(H29:BG29)=52,SUM('Capacity calculation (hide)'!H117:BG117),52-COUNTBLANK(H29:BG29)))</f>
        <v/>
      </c>
      <c r="F29" s="313" t="str">
        <f>'Capacity calculation (hide)'!BI117</f>
        <v/>
      </c>
      <c r="H29" s="370"/>
      <c r="I29" s="370"/>
      <c r="J29" s="370"/>
      <c r="K29" s="370"/>
      <c r="L29" s="370"/>
      <c r="M29" s="370"/>
      <c r="N29" s="370"/>
      <c r="O29" s="370"/>
      <c r="P29" s="370"/>
      <c r="Q29" s="370"/>
      <c r="R29" s="370"/>
      <c r="S29" s="370"/>
      <c r="T29" s="370"/>
      <c r="U29" s="370"/>
      <c r="V29" s="370"/>
      <c r="W29" s="370"/>
      <c r="X29" s="370"/>
      <c r="Y29" s="370"/>
      <c r="Z29" s="370"/>
      <c r="AA29" s="370"/>
      <c r="AB29" s="370"/>
      <c r="AC29" s="370"/>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row>
    <row r="30" spans="2:64" hidden="1" x14ac:dyDescent="0.25">
      <c r="B30" s="220" t="str">
        <f>IF(Capacity!N23="","",Capacity!N23)</f>
        <v/>
      </c>
      <c r="C30" s="221" t="str">
        <f>IF(B30="","",Capacity!Q23)</f>
        <v/>
      </c>
      <c r="D30" s="312" t="str">
        <f>IF(B30="","",Capacity!R23)</f>
        <v/>
      </c>
      <c r="E30" s="221" t="str">
        <f>IF(B30="","",IF(COUNTBLANK(H30:BG30)=52,SUM('Capacity calculation (hide)'!H118:BG118),52-COUNTBLANK(H30:BG30)))</f>
        <v/>
      </c>
      <c r="F30" s="313" t="str">
        <f>'Capacity calculation (hide)'!BI118</f>
        <v/>
      </c>
      <c r="H30" s="370"/>
      <c r="I30" s="370"/>
      <c r="J30" s="370"/>
      <c r="K30" s="370"/>
      <c r="L30" s="370"/>
      <c r="M30" s="370"/>
      <c r="N30" s="370"/>
      <c r="O30" s="370"/>
      <c r="P30" s="370"/>
      <c r="Q30" s="370"/>
      <c r="R30" s="370"/>
      <c r="S30" s="370"/>
      <c r="T30" s="370"/>
      <c r="U30" s="370"/>
      <c r="V30" s="370"/>
      <c r="W30" s="370"/>
      <c r="X30" s="370"/>
      <c r="Y30" s="370"/>
      <c r="Z30" s="370"/>
      <c r="AA30" s="370"/>
      <c r="AB30" s="370"/>
      <c r="AC30" s="370"/>
      <c r="AD30" s="368"/>
      <c r="AE30" s="368"/>
      <c r="AF30" s="368"/>
      <c r="AG30" s="368"/>
      <c r="AH30" s="368"/>
      <c r="AI30" s="368"/>
      <c r="AJ30" s="368"/>
      <c r="AK30" s="368"/>
      <c r="AL30" s="368"/>
      <c r="AM30" s="368"/>
      <c r="AN30" s="368"/>
      <c r="AO30" s="368"/>
      <c r="AP30" s="368"/>
      <c r="AQ30" s="368"/>
      <c r="AR30" s="368"/>
      <c r="AS30" s="368"/>
      <c r="AT30" s="368"/>
      <c r="AU30" s="368"/>
      <c r="AV30" s="368"/>
      <c r="AW30" s="368"/>
      <c r="AX30" s="368"/>
      <c r="AY30" s="368"/>
      <c r="AZ30" s="368"/>
      <c r="BA30" s="368"/>
      <c r="BB30" s="368"/>
      <c r="BC30" s="368"/>
      <c r="BD30" s="368"/>
      <c r="BE30" s="368"/>
      <c r="BF30" s="368"/>
      <c r="BG30" s="368"/>
    </row>
    <row r="31" spans="2:64" hidden="1" x14ac:dyDescent="0.25">
      <c r="B31" s="220" t="str">
        <f>IF(Capacity!N24="","",Capacity!N24)</f>
        <v/>
      </c>
      <c r="C31" s="221" t="str">
        <f>IF(B31="","",Capacity!Q24)</f>
        <v/>
      </c>
      <c r="D31" s="312" t="str">
        <f>IF(B31="","",Capacity!R24)</f>
        <v/>
      </c>
      <c r="E31" s="221" t="str">
        <f>IF(B31="","",IF(COUNTBLANK(H31:BG31)=52,SUM('Capacity calculation (hide)'!H119:BG119),52-COUNTBLANK(H31:BG31)))</f>
        <v/>
      </c>
      <c r="F31" s="313" t="str">
        <f>'Capacity calculation (hide)'!BI119</f>
        <v/>
      </c>
      <c r="H31" s="370"/>
      <c r="I31" s="370"/>
      <c r="J31" s="370"/>
      <c r="K31" s="370"/>
      <c r="L31" s="370"/>
      <c r="M31" s="370"/>
      <c r="N31" s="370"/>
      <c r="O31" s="370"/>
      <c r="P31" s="370"/>
      <c r="Q31" s="370"/>
      <c r="R31" s="370"/>
      <c r="S31" s="370"/>
      <c r="T31" s="370"/>
      <c r="U31" s="370"/>
      <c r="V31" s="370"/>
      <c r="W31" s="370"/>
      <c r="X31" s="370"/>
      <c r="Y31" s="370"/>
      <c r="Z31" s="370"/>
      <c r="AA31" s="370"/>
      <c r="AB31" s="370"/>
      <c r="AC31" s="370"/>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row>
    <row r="32" spans="2:64" hidden="1" x14ac:dyDescent="0.25">
      <c r="B32" s="220" t="str">
        <f>IF(Capacity!N25="","",Capacity!N25)</f>
        <v/>
      </c>
      <c r="C32" s="221" t="str">
        <f>IF(B32="","",Capacity!Q25)</f>
        <v/>
      </c>
      <c r="D32" s="312" t="str">
        <f>IF(B32="","",Capacity!R25)</f>
        <v/>
      </c>
      <c r="E32" s="221" t="str">
        <f>IF(B32="","",IF(COUNTBLANK(H32:BG32)=52,SUM('Capacity calculation (hide)'!H120:BG120),52-COUNTBLANK(H32:BG32)))</f>
        <v/>
      </c>
      <c r="F32" s="313" t="str">
        <f>'Capacity calculation (hide)'!BI120</f>
        <v/>
      </c>
      <c r="H32" s="370"/>
      <c r="I32" s="370"/>
      <c r="J32" s="370"/>
      <c r="K32" s="370"/>
      <c r="L32" s="370"/>
      <c r="M32" s="370"/>
      <c r="N32" s="370"/>
      <c r="O32" s="370"/>
      <c r="P32" s="370"/>
      <c r="Q32" s="370"/>
      <c r="R32" s="370"/>
      <c r="S32" s="370"/>
      <c r="T32" s="370"/>
      <c r="U32" s="370"/>
      <c r="V32" s="370"/>
      <c r="W32" s="370"/>
      <c r="X32" s="370"/>
      <c r="Y32" s="370"/>
      <c r="Z32" s="370"/>
      <c r="AA32" s="370"/>
      <c r="AB32" s="370"/>
      <c r="AC32" s="370"/>
      <c r="AD32" s="368"/>
      <c r="AE32" s="368"/>
      <c r="AF32" s="368"/>
      <c r="AG32" s="368"/>
      <c r="AH32" s="368"/>
      <c r="AI32" s="368"/>
      <c r="AJ32" s="368"/>
      <c r="AK32" s="368"/>
      <c r="AL32" s="368"/>
      <c r="AM32" s="368"/>
      <c r="AN32" s="368"/>
      <c r="AO32" s="368"/>
      <c r="AP32" s="368"/>
      <c r="AQ32" s="368"/>
      <c r="AR32" s="368"/>
      <c r="AS32" s="368"/>
      <c r="AT32" s="368"/>
      <c r="AU32" s="368"/>
      <c r="AV32" s="368"/>
      <c r="AW32" s="368"/>
      <c r="AX32" s="368"/>
      <c r="AY32" s="368"/>
      <c r="AZ32" s="368"/>
      <c r="BA32" s="368"/>
      <c r="BB32" s="368"/>
      <c r="BC32" s="368"/>
      <c r="BD32" s="368"/>
      <c r="BE32" s="368"/>
      <c r="BF32" s="368"/>
      <c r="BG32" s="368"/>
    </row>
    <row r="33" spans="2:59" hidden="1" x14ac:dyDescent="0.25">
      <c r="B33" s="220" t="str">
        <f>IF(Capacity!N26="","",Capacity!N26)</f>
        <v/>
      </c>
      <c r="C33" s="221" t="str">
        <f>IF(B33="","",Capacity!Q26)</f>
        <v/>
      </c>
      <c r="D33" s="312" t="str">
        <f>IF(B33="","",Capacity!R26)</f>
        <v/>
      </c>
      <c r="E33" s="221" t="str">
        <f>IF(B33="","",IF(COUNTBLANK(H33:BG33)=52,SUM('Capacity calculation (hide)'!H121:BG121),52-COUNTBLANK(H33:BG33)))</f>
        <v/>
      </c>
      <c r="F33" s="313" t="str">
        <f>'Capacity calculation (hide)'!BI121</f>
        <v/>
      </c>
      <c r="H33" s="370"/>
      <c r="I33" s="370"/>
      <c r="J33" s="370"/>
      <c r="K33" s="370"/>
      <c r="L33" s="370"/>
      <c r="M33" s="370"/>
      <c r="N33" s="370"/>
      <c r="O33" s="370"/>
      <c r="P33" s="370"/>
      <c r="Q33" s="370"/>
      <c r="R33" s="370"/>
      <c r="S33" s="370"/>
      <c r="T33" s="370"/>
      <c r="U33" s="370"/>
      <c r="V33" s="370"/>
      <c r="W33" s="370"/>
      <c r="X33" s="370"/>
      <c r="Y33" s="370"/>
      <c r="Z33" s="370"/>
      <c r="AA33" s="370"/>
      <c r="AB33" s="370"/>
      <c r="AC33" s="370"/>
      <c r="AD33" s="368"/>
      <c r="AE33" s="368"/>
      <c r="AF33" s="368"/>
      <c r="AG33" s="368"/>
      <c r="AH33" s="368"/>
      <c r="AI33" s="368"/>
      <c r="AJ33" s="368"/>
      <c r="AK33" s="368"/>
      <c r="AL33" s="368"/>
      <c r="AM33" s="368"/>
      <c r="AN33" s="368"/>
      <c r="AO33" s="368"/>
      <c r="AP33" s="368"/>
      <c r="AQ33" s="368"/>
      <c r="AR33" s="368"/>
      <c r="AS33" s="368"/>
      <c r="AT33" s="368"/>
      <c r="AU33" s="368"/>
      <c r="AV33" s="368"/>
      <c r="AW33" s="368"/>
      <c r="AX33" s="368"/>
      <c r="AY33" s="368"/>
      <c r="AZ33" s="368"/>
      <c r="BA33" s="368"/>
      <c r="BB33" s="368"/>
      <c r="BC33" s="368"/>
      <c r="BD33" s="368"/>
      <c r="BE33" s="368"/>
      <c r="BF33" s="368"/>
      <c r="BG33" s="368"/>
    </row>
    <row r="34" spans="2:59" hidden="1" x14ac:dyDescent="0.25">
      <c r="B34" s="220" t="str">
        <f>IF(Capacity!N27="","",Capacity!N27)</f>
        <v/>
      </c>
      <c r="C34" s="221" t="str">
        <f>IF(B34="","",Capacity!Q27)</f>
        <v/>
      </c>
      <c r="D34" s="312" t="str">
        <f>IF(B34="","",Capacity!R27)</f>
        <v/>
      </c>
      <c r="E34" s="221" t="str">
        <f>IF(B34="","",IF(COUNTBLANK(H34:BG34)=52,SUM('Capacity calculation (hide)'!H122:BG122),52-COUNTBLANK(H34:BG34)))</f>
        <v/>
      </c>
      <c r="F34" s="313" t="str">
        <f>'Capacity calculation (hide)'!BI122</f>
        <v/>
      </c>
      <c r="H34" s="368"/>
      <c r="I34" s="368"/>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c r="AZ34" s="373"/>
      <c r="BA34" s="373"/>
      <c r="BB34" s="373"/>
      <c r="BC34" s="373"/>
      <c r="BD34" s="373"/>
      <c r="BE34" s="373"/>
      <c r="BF34" s="373"/>
      <c r="BG34" s="368"/>
    </row>
    <row r="35" spans="2:59" hidden="1" x14ac:dyDescent="0.25">
      <c r="B35" s="220" t="str">
        <f>IF(Capacity!N28="","",Capacity!N28)</f>
        <v/>
      </c>
      <c r="C35" s="221" t="str">
        <f>IF(B35="","",Capacity!Q28)</f>
        <v/>
      </c>
      <c r="D35" s="312" t="str">
        <f>IF(B35="","",Capacity!R28)</f>
        <v/>
      </c>
      <c r="E35" s="221" t="str">
        <f>IF(B35="","",IF(COUNTBLANK(H35:BG35)=52,SUM('Capacity calculation (hide)'!H123:BG123),52-COUNTBLANK(H35:BG35)))</f>
        <v/>
      </c>
      <c r="F35" s="313" t="str">
        <f>'Capacity calculation (hide)'!BI123</f>
        <v/>
      </c>
      <c r="H35" s="370"/>
      <c r="I35" s="370"/>
      <c r="J35" s="370"/>
      <c r="K35" s="370"/>
      <c r="L35" s="370"/>
      <c r="M35" s="370"/>
      <c r="N35" s="370"/>
      <c r="O35" s="370"/>
      <c r="P35" s="370"/>
      <c r="Q35" s="370"/>
      <c r="R35" s="370"/>
      <c r="S35" s="370"/>
      <c r="T35" s="370"/>
      <c r="U35" s="370"/>
      <c r="V35" s="370"/>
      <c r="W35" s="370"/>
      <c r="X35" s="370"/>
      <c r="Y35" s="370"/>
      <c r="Z35" s="370"/>
      <c r="AA35" s="370"/>
      <c r="AB35" s="370"/>
      <c r="AC35" s="370"/>
      <c r="AD35" s="370"/>
      <c r="AE35" s="370"/>
      <c r="AF35" s="370"/>
      <c r="AG35" s="370"/>
      <c r="AH35" s="370"/>
      <c r="AI35" s="370"/>
      <c r="AJ35" s="370"/>
      <c r="AK35" s="370"/>
      <c r="AL35" s="370"/>
      <c r="AM35" s="370"/>
      <c r="AN35" s="370"/>
      <c r="AO35" s="370"/>
      <c r="AP35" s="370"/>
      <c r="AQ35" s="370"/>
      <c r="AR35" s="370"/>
      <c r="AS35" s="370"/>
      <c r="AT35" s="370"/>
      <c r="AU35" s="370"/>
      <c r="AV35" s="370"/>
      <c r="AW35" s="370"/>
      <c r="AX35" s="370"/>
      <c r="AY35" s="370"/>
      <c r="AZ35" s="370"/>
      <c r="BA35" s="370"/>
      <c r="BB35" s="370"/>
      <c r="BC35" s="370"/>
      <c r="BD35" s="370"/>
      <c r="BE35" s="370"/>
      <c r="BF35" s="370"/>
      <c r="BG35" s="370"/>
    </row>
    <row r="36" spans="2:59" hidden="1" x14ac:dyDescent="0.25">
      <c r="B36" s="220" t="str">
        <f>IF(Capacity!N29="","",Capacity!N29)</f>
        <v/>
      </c>
      <c r="C36" s="221" t="str">
        <f>IF(B36="","",Capacity!Q29)</f>
        <v/>
      </c>
      <c r="D36" s="312" t="str">
        <f>IF(B36="","",Capacity!R29)</f>
        <v/>
      </c>
      <c r="E36" s="221" t="str">
        <f>IF(B36="","",IF(COUNTBLANK(H36:BG36)=52,SUM('Capacity calculation (hide)'!H124:BG124),52-COUNTBLANK(H36:BG36)))</f>
        <v/>
      </c>
      <c r="F36" s="313" t="str">
        <f>'Capacity calculation (hide)'!BI124</f>
        <v/>
      </c>
      <c r="H36" s="370"/>
      <c r="I36" s="370"/>
      <c r="J36" s="370"/>
      <c r="K36" s="370"/>
      <c r="L36" s="370"/>
      <c r="M36" s="370"/>
      <c r="N36" s="370"/>
      <c r="O36" s="370"/>
      <c r="P36" s="370"/>
      <c r="Q36" s="370"/>
      <c r="R36" s="370"/>
      <c r="S36" s="370"/>
      <c r="T36" s="370"/>
      <c r="U36" s="370"/>
      <c r="V36" s="370"/>
      <c r="W36" s="370"/>
      <c r="X36" s="370"/>
      <c r="Y36" s="370"/>
      <c r="Z36" s="370"/>
      <c r="AA36" s="370"/>
      <c r="AB36" s="370"/>
      <c r="AC36" s="370"/>
      <c r="AD36" s="370"/>
      <c r="AE36" s="370"/>
      <c r="AF36" s="370"/>
      <c r="AG36" s="370"/>
      <c r="AH36" s="370"/>
      <c r="AI36" s="370"/>
      <c r="AJ36" s="370"/>
      <c r="AK36" s="370"/>
      <c r="AL36" s="370"/>
      <c r="AM36" s="370"/>
      <c r="AN36" s="370"/>
      <c r="AO36" s="370"/>
      <c r="AP36" s="370"/>
      <c r="AQ36" s="370"/>
      <c r="AR36" s="370"/>
      <c r="AS36" s="370"/>
      <c r="AT36" s="370"/>
      <c r="AU36" s="370"/>
      <c r="AV36" s="370"/>
      <c r="AW36" s="370"/>
      <c r="AX36" s="370"/>
      <c r="AY36" s="370"/>
      <c r="AZ36" s="370"/>
      <c r="BA36" s="370"/>
      <c r="BB36" s="370"/>
      <c r="BC36" s="370"/>
      <c r="BD36" s="370"/>
      <c r="BE36" s="370"/>
      <c r="BF36" s="370"/>
      <c r="BG36" s="370"/>
    </row>
    <row r="37" spans="2:59" hidden="1" x14ac:dyDescent="0.25">
      <c r="B37" s="220" t="str">
        <f>IF(Capacity!N30="","",Capacity!N30)</f>
        <v/>
      </c>
      <c r="C37" s="221" t="str">
        <f>IF(B37="","",Capacity!Q30)</f>
        <v/>
      </c>
      <c r="D37" s="312" t="str">
        <f>IF(B37="","",Capacity!R30)</f>
        <v/>
      </c>
      <c r="E37" s="221" t="str">
        <f>IF(B37="","",IF(COUNTBLANK(H37:BG37)=52,SUM('Capacity calculation (hide)'!H125:BG125),52-COUNTBLANK(H37:BG37)))</f>
        <v/>
      </c>
      <c r="F37" s="313" t="str">
        <f>'Capacity calculation (hide)'!BI125</f>
        <v/>
      </c>
      <c r="H37" s="368"/>
      <c r="I37" s="368"/>
      <c r="J37" s="368"/>
      <c r="K37" s="368"/>
      <c r="L37" s="368"/>
      <c r="M37" s="368"/>
      <c r="N37" s="368"/>
      <c r="O37" s="368"/>
      <c r="P37" s="368"/>
      <c r="Q37" s="368"/>
      <c r="R37" s="368"/>
      <c r="S37" s="368"/>
      <c r="T37" s="368"/>
      <c r="U37" s="368"/>
      <c r="V37" s="368"/>
      <c r="W37" s="368"/>
      <c r="X37" s="368"/>
      <c r="Y37" s="368"/>
      <c r="Z37" s="368"/>
      <c r="AA37" s="368"/>
      <c r="AB37" s="368"/>
      <c r="AC37" s="368"/>
      <c r="AD37" s="368"/>
      <c r="AE37" s="368"/>
      <c r="AF37" s="368"/>
      <c r="AG37" s="368"/>
      <c r="AH37" s="368"/>
      <c r="AI37" s="368"/>
      <c r="AJ37" s="368"/>
      <c r="AK37" s="368"/>
      <c r="AL37" s="368"/>
      <c r="AM37" s="368"/>
      <c r="AN37" s="368"/>
      <c r="AO37" s="368"/>
      <c r="AP37" s="368"/>
      <c r="AQ37" s="368"/>
      <c r="AR37" s="368"/>
      <c r="AS37" s="368"/>
      <c r="AT37" s="368"/>
      <c r="AU37" s="368"/>
      <c r="AV37" s="368"/>
      <c r="AW37" s="368"/>
      <c r="AX37" s="368"/>
      <c r="AY37" s="368"/>
      <c r="AZ37" s="368"/>
      <c r="BA37" s="368"/>
      <c r="BB37" s="368"/>
      <c r="BC37" s="368"/>
      <c r="BD37" s="368"/>
      <c r="BE37" s="368"/>
      <c r="BF37" s="368"/>
      <c r="BG37" s="368"/>
    </row>
    <row r="38" spans="2:59" hidden="1" x14ac:dyDescent="0.25">
      <c r="B38" s="220" t="str">
        <f>IF(Capacity!N31="","",Capacity!N31)</f>
        <v/>
      </c>
      <c r="C38" s="221" t="str">
        <f>IF(B38="","",Capacity!Q31)</f>
        <v/>
      </c>
      <c r="D38" s="312" t="str">
        <f>IF(B38="","",Capacity!R31)</f>
        <v/>
      </c>
      <c r="E38" s="221" t="str">
        <f>IF(B38="","",IF(COUNTBLANK(H38:BG38)=52,SUM('Capacity calculation (hide)'!H126:BG126),52-COUNTBLANK(H38:BG38)))</f>
        <v/>
      </c>
      <c r="F38" s="313" t="str">
        <f>'Capacity calculation (hide)'!BI126</f>
        <v/>
      </c>
      <c r="H38" s="368"/>
      <c r="I38" s="368"/>
      <c r="J38" s="368"/>
      <c r="K38" s="368"/>
      <c r="L38" s="368"/>
      <c r="M38" s="368"/>
      <c r="N38" s="368"/>
      <c r="O38" s="368"/>
      <c r="P38" s="368"/>
      <c r="Q38" s="368"/>
      <c r="R38" s="368"/>
      <c r="S38" s="368"/>
      <c r="T38" s="368"/>
      <c r="U38" s="368"/>
      <c r="V38" s="368"/>
      <c r="W38" s="368"/>
      <c r="X38" s="368"/>
      <c r="Y38" s="368"/>
      <c r="Z38" s="368"/>
      <c r="AA38" s="368"/>
      <c r="AB38" s="368"/>
      <c r="AC38" s="368"/>
      <c r="AD38" s="368"/>
      <c r="AE38" s="368"/>
      <c r="AF38" s="368"/>
      <c r="AG38" s="368"/>
      <c r="AH38" s="368"/>
      <c r="AI38" s="368"/>
      <c r="AJ38" s="368"/>
      <c r="AK38" s="368"/>
      <c r="AL38" s="368"/>
      <c r="AM38" s="368"/>
      <c r="AN38" s="368"/>
      <c r="AO38" s="368"/>
      <c r="AP38" s="368"/>
      <c r="AQ38" s="368"/>
      <c r="AR38" s="368"/>
      <c r="AS38" s="368"/>
      <c r="AT38" s="368"/>
      <c r="AU38" s="368"/>
      <c r="AV38" s="368"/>
      <c r="AW38" s="368"/>
      <c r="AX38" s="368"/>
      <c r="AY38" s="368"/>
      <c r="AZ38" s="368"/>
      <c r="BA38" s="368"/>
      <c r="BB38" s="368"/>
      <c r="BC38" s="368"/>
      <c r="BD38" s="368"/>
      <c r="BE38" s="368"/>
      <c r="BF38" s="368"/>
      <c r="BG38" s="368"/>
    </row>
    <row r="39" spans="2:59" hidden="1" x14ac:dyDescent="0.25">
      <c r="B39" s="220" t="str">
        <f>IF(Capacity!N32="","",Capacity!N32)</f>
        <v/>
      </c>
      <c r="C39" s="221" t="str">
        <f>IF(B39="","",Capacity!Q32)</f>
        <v/>
      </c>
      <c r="D39" s="312" t="str">
        <f>IF(B39="","",Capacity!R32)</f>
        <v/>
      </c>
      <c r="E39" s="221" t="str">
        <f>IF(B39="","",IF(COUNTBLANK(H39:BG39)=52,SUM('Capacity calculation (hide)'!H127:BG127),52-COUNTBLANK(H39:BG39)))</f>
        <v/>
      </c>
      <c r="F39" s="313" t="str">
        <f>'Capacity calculation (hide)'!BI127</f>
        <v/>
      </c>
      <c r="H39" s="368"/>
      <c r="I39" s="368"/>
      <c r="J39" s="368"/>
      <c r="K39" s="368"/>
      <c r="L39" s="368"/>
      <c r="M39" s="368"/>
      <c r="N39" s="368"/>
      <c r="O39" s="368"/>
      <c r="P39" s="368"/>
      <c r="Q39" s="368"/>
      <c r="R39" s="368"/>
      <c r="S39" s="368"/>
      <c r="T39" s="368"/>
      <c r="U39" s="368"/>
      <c r="V39" s="368"/>
      <c r="W39" s="368"/>
      <c r="X39" s="368"/>
      <c r="Y39" s="368"/>
      <c r="Z39" s="368"/>
      <c r="AA39" s="368"/>
      <c r="AB39" s="368"/>
      <c r="AC39" s="368"/>
      <c r="AD39" s="368"/>
      <c r="AE39" s="368"/>
      <c r="AF39" s="368"/>
      <c r="AG39" s="368"/>
      <c r="AH39" s="368"/>
      <c r="AI39" s="368"/>
      <c r="AJ39" s="368"/>
      <c r="AK39" s="368"/>
      <c r="AL39" s="368"/>
      <c r="AM39" s="368"/>
      <c r="AN39" s="368"/>
      <c r="AO39" s="368"/>
      <c r="AP39" s="368"/>
      <c r="AQ39" s="368"/>
      <c r="AR39" s="368"/>
      <c r="AS39" s="368"/>
      <c r="AT39" s="368"/>
      <c r="AU39" s="368"/>
      <c r="AV39" s="368"/>
      <c r="AW39" s="368"/>
      <c r="AX39" s="368"/>
      <c r="AY39" s="368"/>
      <c r="AZ39" s="368"/>
      <c r="BA39" s="368"/>
      <c r="BB39" s="368"/>
      <c r="BC39" s="368"/>
      <c r="BD39" s="368"/>
      <c r="BE39" s="368"/>
      <c r="BF39" s="368"/>
      <c r="BG39" s="368"/>
    </row>
    <row r="40" spans="2:59" hidden="1" x14ac:dyDescent="0.25">
      <c r="B40" s="220" t="str">
        <f>IF(Capacity!N33="","",Capacity!N33)</f>
        <v/>
      </c>
      <c r="C40" s="221" t="str">
        <f>IF(B40="","",Capacity!Q33)</f>
        <v/>
      </c>
      <c r="D40" s="312" t="str">
        <f>IF(B40="","",Capacity!R33)</f>
        <v/>
      </c>
      <c r="E40" s="221" t="str">
        <f>IF(B40="","",IF(COUNTBLANK(H40:BG40)=52,SUM('Capacity calculation (hide)'!H128:BG128),52-COUNTBLANK(H40:BG40)))</f>
        <v/>
      </c>
      <c r="F40" s="313" t="str">
        <f>'Capacity calculation (hide)'!BI128</f>
        <v/>
      </c>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8"/>
      <c r="AI40" s="368"/>
      <c r="AJ40" s="368"/>
      <c r="AK40" s="368"/>
      <c r="AL40" s="368"/>
      <c r="AM40" s="368"/>
      <c r="AN40" s="368"/>
      <c r="AO40" s="368"/>
      <c r="AP40" s="368"/>
      <c r="AQ40" s="368"/>
      <c r="AR40" s="368"/>
      <c r="AS40" s="368"/>
      <c r="AT40" s="368"/>
      <c r="AU40" s="368"/>
      <c r="AV40" s="368"/>
      <c r="AW40" s="368"/>
      <c r="AX40" s="368"/>
      <c r="AY40" s="368"/>
      <c r="AZ40" s="368"/>
      <c r="BA40" s="368"/>
      <c r="BB40" s="368"/>
      <c r="BC40" s="368"/>
      <c r="BD40" s="368"/>
      <c r="BE40" s="368"/>
      <c r="BF40" s="368"/>
      <c r="BG40" s="368"/>
    </row>
    <row r="41" spans="2:59" hidden="1" x14ac:dyDescent="0.25">
      <c r="B41" s="220" t="str">
        <f>IF(Capacity!N34="","",Capacity!N34)</f>
        <v/>
      </c>
      <c r="C41" s="221" t="str">
        <f>IF(B41="","",Capacity!Q34)</f>
        <v/>
      </c>
      <c r="D41" s="312" t="str">
        <f>IF(B41="","",Capacity!R34)</f>
        <v/>
      </c>
      <c r="E41" s="221" t="str">
        <f>IF(B41="","",IF(COUNTBLANK(H41:BG41)=52,SUM('Capacity calculation (hide)'!H129:BG129),52-COUNTBLANK(H41:BG41)))</f>
        <v/>
      </c>
      <c r="F41" s="313" t="str">
        <f>'Capacity calculation (hide)'!BI129</f>
        <v/>
      </c>
      <c r="H41" s="368"/>
      <c r="I41" s="368"/>
      <c r="J41" s="368"/>
      <c r="K41" s="368"/>
      <c r="L41" s="368"/>
      <c r="M41" s="368"/>
      <c r="N41" s="368"/>
      <c r="O41" s="368"/>
      <c r="P41" s="368"/>
      <c r="Q41" s="368"/>
      <c r="R41" s="368"/>
      <c r="S41" s="368"/>
      <c r="T41" s="368"/>
      <c r="U41" s="368"/>
      <c r="V41" s="368"/>
      <c r="W41" s="368"/>
      <c r="X41" s="368"/>
      <c r="Y41" s="368"/>
      <c r="Z41" s="368"/>
      <c r="AA41" s="368"/>
      <c r="AB41" s="368"/>
      <c r="AC41" s="368"/>
      <c r="AD41" s="368"/>
      <c r="AE41" s="368"/>
      <c r="AF41" s="368"/>
      <c r="AG41" s="368"/>
      <c r="AH41" s="368"/>
      <c r="AI41" s="368"/>
      <c r="AJ41" s="368"/>
      <c r="AK41" s="368"/>
      <c r="AL41" s="368"/>
      <c r="AM41" s="368"/>
      <c r="AN41" s="368"/>
      <c r="AO41" s="368"/>
      <c r="AP41" s="368"/>
      <c r="AQ41" s="368"/>
      <c r="AR41" s="368"/>
      <c r="AS41" s="368"/>
      <c r="AT41" s="368"/>
      <c r="AU41" s="368"/>
      <c r="AV41" s="368"/>
      <c r="AW41" s="368"/>
      <c r="AX41" s="368"/>
      <c r="AY41" s="368"/>
      <c r="AZ41" s="368"/>
      <c r="BA41" s="368"/>
      <c r="BB41" s="368"/>
      <c r="BC41" s="368"/>
      <c r="BD41" s="368"/>
      <c r="BE41" s="368"/>
      <c r="BF41" s="368"/>
      <c r="BG41" s="368"/>
    </row>
    <row r="42" spans="2:59" hidden="1" x14ac:dyDescent="0.25">
      <c r="B42" s="220" t="str">
        <f>IF(Capacity!N35="","",Capacity!N35)</f>
        <v/>
      </c>
      <c r="C42" s="221" t="str">
        <f>IF(B42="","",Capacity!Q35)</f>
        <v/>
      </c>
      <c r="D42" s="312" t="str">
        <f>IF(B42="","",Capacity!R35)</f>
        <v/>
      </c>
      <c r="E42" s="221" t="str">
        <f>IF(B42="","",IF(COUNTBLANK(H42:BG42)=52,SUM('Capacity calculation (hide)'!H130:BG130),52-COUNTBLANK(H42:BG42)))</f>
        <v/>
      </c>
      <c r="F42" s="313" t="str">
        <f>'Capacity calculation (hide)'!BI130</f>
        <v/>
      </c>
      <c r="H42" s="368"/>
      <c r="I42" s="368"/>
      <c r="J42" s="368"/>
      <c r="K42" s="368"/>
      <c r="L42" s="368"/>
      <c r="M42" s="368"/>
      <c r="N42" s="368"/>
      <c r="O42" s="368"/>
      <c r="P42" s="368"/>
      <c r="Q42" s="368"/>
      <c r="R42" s="368"/>
      <c r="S42" s="368"/>
      <c r="T42" s="368"/>
      <c r="U42" s="368"/>
      <c r="V42" s="368"/>
      <c r="W42" s="368"/>
      <c r="X42" s="368"/>
      <c r="Y42" s="368"/>
      <c r="Z42" s="368"/>
      <c r="AA42" s="368"/>
      <c r="AB42" s="368"/>
      <c r="AC42" s="368"/>
      <c r="AD42" s="368"/>
      <c r="AE42" s="368"/>
      <c r="AF42" s="368"/>
      <c r="AG42" s="368"/>
      <c r="AH42" s="368"/>
      <c r="AI42" s="368"/>
      <c r="AJ42" s="368"/>
      <c r="AK42" s="368"/>
      <c r="AL42" s="368"/>
      <c r="AM42" s="368"/>
      <c r="AN42" s="368"/>
      <c r="AO42" s="368"/>
      <c r="AP42" s="368"/>
      <c r="AQ42" s="368"/>
      <c r="AR42" s="368"/>
      <c r="AS42" s="368"/>
      <c r="AT42" s="368"/>
      <c r="AU42" s="368"/>
      <c r="AV42" s="368"/>
      <c r="AW42" s="368"/>
      <c r="AX42" s="368"/>
      <c r="AY42" s="368"/>
      <c r="AZ42" s="368"/>
      <c r="BA42" s="368"/>
      <c r="BB42" s="368"/>
      <c r="BC42" s="368"/>
      <c r="BD42" s="368"/>
      <c r="BE42" s="368"/>
      <c r="BF42" s="368"/>
      <c r="BG42" s="368"/>
    </row>
    <row r="43" spans="2:59" hidden="1" x14ac:dyDescent="0.25">
      <c r="B43" s="220" t="str">
        <f>IF(Capacity!N36="","",Capacity!N36)</f>
        <v/>
      </c>
      <c r="C43" s="221" t="str">
        <f>IF(B43="","",Capacity!Q36)</f>
        <v/>
      </c>
      <c r="D43" s="312" t="str">
        <f>IF(B43="","",Capacity!R36)</f>
        <v/>
      </c>
      <c r="E43" s="221" t="str">
        <f>IF(B43="","",IF(COUNTBLANK(H43:BG43)=52,SUM('Capacity calculation (hide)'!H131:BG131),52-COUNTBLANK(H43:BG43)))</f>
        <v/>
      </c>
      <c r="F43" s="313" t="str">
        <f>'Capacity calculation (hide)'!BI131</f>
        <v/>
      </c>
      <c r="H43" s="368"/>
      <c r="I43" s="368"/>
      <c r="J43" s="368"/>
      <c r="K43" s="368"/>
      <c r="L43" s="368"/>
      <c r="M43" s="368"/>
      <c r="N43" s="368"/>
      <c r="O43" s="368"/>
      <c r="P43" s="368"/>
      <c r="Q43" s="368"/>
      <c r="R43" s="368"/>
      <c r="S43" s="368"/>
      <c r="T43" s="368"/>
      <c r="U43" s="368"/>
      <c r="V43" s="368"/>
      <c r="W43" s="368"/>
      <c r="X43" s="368"/>
      <c r="Y43" s="368"/>
      <c r="Z43" s="368"/>
      <c r="AA43" s="368"/>
      <c r="AB43" s="368"/>
      <c r="AC43" s="368"/>
      <c r="AD43" s="368"/>
      <c r="AE43" s="368"/>
      <c r="AF43" s="368"/>
      <c r="AG43" s="368"/>
      <c r="AH43" s="368"/>
      <c r="AI43" s="368"/>
      <c r="AJ43" s="368"/>
      <c r="AK43" s="368"/>
      <c r="AL43" s="368"/>
      <c r="AM43" s="368"/>
      <c r="AN43" s="368"/>
      <c r="AO43" s="368"/>
      <c r="AP43" s="368"/>
      <c r="AQ43" s="368"/>
      <c r="AR43" s="368"/>
      <c r="AS43" s="368"/>
      <c r="AT43" s="368"/>
      <c r="AU43" s="368"/>
      <c r="AV43" s="368"/>
      <c r="AW43" s="368"/>
      <c r="AX43" s="368"/>
      <c r="AY43" s="368"/>
      <c r="AZ43" s="368"/>
      <c r="BA43" s="368"/>
      <c r="BB43" s="368"/>
      <c r="BC43" s="368"/>
      <c r="BD43" s="368"/>
      <c r="BE43" s="368"/>
      <c r="BF43" s="368"/>
      <c r="BG43" s="368"/>
    </row>
    <row r="44" spans="2:59" hidden="1" x14ac:dyDescent="0.25">
      <c r="B44" s="220" t="str">
        <f>IF(Capacity!N37="","",Capacity!N37)</f>
        <v/>
      </c>
      <c r="C44" s="221" t="str">
        <f>IF(B44="","",Capacity!Q37)</f>
        <v/>
      </c>
      <c r="D44" s="312" t="str">
        <f>IF(B44="","",Capacity!R37)</f>
        <v/>
      </c>
      <c r="E44" s="221" t="str">
        <f>IF(B44="","",IF(COUNTBLANK(H44:BG44)=52,SUM('Capacity calculation (hide)'!H132:BG132),52-COUNTBLANK(H44:BG44)))</f>
        <v/>
      </c>
      <c r="F44" s="313" t="str">
        <f>'Capacity calculation (hide)'!BI132</f>
        <v/>
      </c>
      <c r="H44" s="368"/>
      <c r="I44" s="368"/>
      <c r="J44" s="368"/>
      <c r="K44" s="368"/>
      <c r="L44" s="368"/>
      <c r="M44" s="368"/>
      <c r="N44" s="368"/>
      <c r="O44" s="368"/>
      <c r="P44" s="368"/>
      <c r="Q44" s="368"/>
      <c r="R44" s="368"/>
      <c r="S44" s="368"/>
      <c r="T44" s="368"/>
      <c r="U44" s="368"/>
      <c r="V44" s="368"/>
      <c r="W44" s="368"/>
      <c r="X44" s="368"/>
      <c r="Y44" s="368"/>
      <c r="Z44" s="368"/>
      <c r="AA44" s="368"/>
      <c r="AB44" s="368"/>
      <c r="AC44" s="368"/>
      <c r="AD44" s="368"/>
      <c r="AE44" s="368"/>
      <c r="AF44" s="368"/>
      <c r="AG44" s="368"/>
      <c r="AH44" s="368"/>
      <c r="AI44" s="368"/>
      <c r="AJ44" s="368"/>
      <c r="AK44" s="368"/>
      <c r="AL44" s="368"/>
      <c r="AM44" s="368"/>
      <c r="AN44" s="368"/>
      <c r="AO44" s="368"/>
      <c r="AP44" s="368"/>
      <c r="AQ44" s="368"/>
      <c r="AR44" s="368"/>
      <c r="AS44" s="368"/>
      <c r="AT44" s="368"/>
      <c r="AU44" s="368"/>
      <c r="AV44" s="368"/>
      <c r="AW44" s="368"/>
      <c r="AX44" s="368"/>
      <c r="AY44" s="368"/>
      <c r="AZ44" s="368"/>
      <c r="BA44" s="368"/>
      <c r="BB44" s="368"/>
      <c r="BC44" s="368"/>
      <c r="BD44" s="368"/>
      <c r="BE44" s="368"/>
      <c r="BF44" s="368"/>
      <c r="BG44" s="368"/>
    </row>
    <row r="45" spans="2:59" hidden="1" x14ac:dyDescent="0.25">
      <c r="B45" s="220" t="str">
        <f>IF(Capacity!N38="","",Capacity!N38)</f>
        <v/>
      </c>
      <c r="C45" s="221" t="str">
        <f>IF(B45="","",Capacity!Q38)</f>
        <v/>
      </c>
      <c r="D45" s="312" t="str">
        <f>IF(B45="","",Capacity!R38)</f>
        <v/>
      </c>
      <c r="E45" s="221" t="str">
        <f>IF(B45="","",IF(COUNTBLANK(H45:BG45)=52,SUM('Capacity calculation (hide)'!H133:BG133),52-COUNTBLANK(H45:BG45)))</f>
        <v/>
      </c>
      <c r="F45" s="313" t="str">
        <f>'Capacity calculation (hide)'!BI133</f>
        <v/>
      </c>
      <c r="H45" s="368"/>
      <c r="I45" s="368"/>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8"/>
      <c r="AI45" s="368"/>
      <c r="AJ45" s="368"/>
      <c r="AK45" s="368"/>
      <c r="AL45" s="368"/>
      <c r="AM45" s="368"/>
      <c r="AN45" s="368"/>
      <c r="AO45" s="368"/>
      <c r="AP45" s="368"/>
      <c r="AQ45" s="368"/>
      <c r="AR45" s="368"/>
      <c r="AS45" s="368"/>
      <c r="AT45" s="368"/>
      <c r="AU45" s="368"/>
      <c r="AV45" s="368"/>
      <c r="AW45" s="368"/>
      <c r="AX45" s="368"/>
      <c r="AY45" s="368"/>
      <c r="AZ45" s="368"/>
      <c r="BA45" s="368"/>
      <c r="BB45" s="368"/>
      <c r="BC45" s="368"/>
      <c r="BD45" s="368"/>
      <c r="BE45" s="368"/>
      <c r="BF45" s="368"/>
      <c r="BG45" s="368"/>
    </row>
    <row r="46" spans="2:59" hidden="1" x14ac:dyDescent="0.25">
      <c r="B46" s="220" t="str">
        <f>IF(Capacity!N39="","",Capacity!N39)</f>
        <v/>
      </c>
      <c r="C46" s="221" t="str">
        <f>IF(B46="","",Capacity!Q39)</f>
        <v/>
      </c>
      <c r="D46" s="312" t="str">
        <f>IF(B46="","",Capacity!R39)</f>
        <v/>
      </c>
      <c r="E46" s="221" t="str">
        <f>IF(B46="","",IF(COUNTBLANK(H46:BG46)=52,SUM('Capacity calculation (hide)'!H134:BG134),52-COUNTBLANK(H46:BG46)))</f>
        <v/>
      </c>
      <c r="F46" s="313" t="str">
        <f>'Capacity calculation (hide)'!BI134</f>
        <v/>
      </c>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8"/>
      <c r="AI46" s="368"/>
      <c r="AJ46" s="368"/>
      <c r="AK46" s="368"/>
      <c r="AL46" s="368"/>
      <c r="AM46" s="368"/>
      <c r="AN46" s="368"/>
      <c r="AO46" s="368"/>
      <c r="AP46" s="368"/>
      <c r="AQ46" s="368"/>
      <c r="AR46" s="368"/>
      <c r="AS46" s="368"/>
      <c r="AT46" s="368"/>
      <c r="AU46" s="368"/>
      <c r="AV46" s="368"/>
      <c r="AW46" s="368"/>
      <c r="AX46" s="368"/>
      <c r="AY46" s="368"/>
      <c r="AZ46" s="368"/>
      <c r="BA46" s="368"/>
      <c r="BB46" s="368"/>
      <c r="BC46" s="368"/>
      <c r="BD46" s="368"/>
      <c r="BE46" s="368"/>
      <c r="BF46" s="368"/>
      <c r="BG46" s="368"/>
    </row>
    <row r="47" spans="2:59" hidden="1" x14ac:dyDescent="0.25">
      <c r="B47" s="220" t="str">
        <f>IF(Capacity!N40="","",Capacity!N40)</f>
        <v/>
      </c>
      <c r="C47" s="221" t="str">
        <f>IF(B47="","",Capacity!Q40)</f>
        <v/>
      </c>
      <c r="D47" s="312" t="str">
        <f>IF(B47="","",Capacity!R40)</f>
        <v/>
      </c>
      <c r="E47" s="221" t="str">
        <f>IF(B47="","",IF(COUNTBLANK(H47:BG47)=52,SUM('Capacity calculation (hide)'!H135:BG135),52-COUNTBLANK(H47:BG47)))</f>
        <v/>
      </c>
      <c r="F47" s="313" t="str">
        <f>'Capacity calculation (hide)'!BI135</f>
        <v/>
      </c>
      <c r="H47" s="368"/>
      <c r="I47" s="368"/>
      <c r="J47" s="368"/>
      <c r="K47" s="368"/>
      <c r="L47" s="368"/>
      <c r="M47" s="368"/>
      <c r="N47" s="368"/>
      <c r="O47" s="368"/>
      <c r="P47" s="368"/>
      <c r="Q47" s="368"/>
      <c r="R47" s="368"/>
      <c r="S47" s="368"/>
      <c r="T47" s="368"/>
      <c r="U47" s="368"/>
      <c r="V47" s="368"/>
      <c r="W47" s="368"/>
      <c r="X47" s="368"/>
      <c r="Y47" s="368"/>
      <c r="Z47" s="368"/>
      <c r="AA47" s="368"/>
      <c r="AB47" s="368"/>
      <c r="AC47" s="368"/>
      <c r="AD47" s="368"/>
      <c r="AE47" s="368"/>
      <c r="AF47" s="368"/>
      <c r="AG47" s="368"/>
      <c r="AH47" s="368"/>
      <c r="AI47" s="368"/>
      <c r="AJ47" s="368"/>
      <c r="AK47" s="368"/>
      <c r="AL47" s="368"/>
      <c r="AM47" s="368"/>
      <c r="AN47" s="368"/>
      <c r="AO47" s="368"/>
      <c r="AP47" s="368"/>
      <c r="AQ47" s="368"/>
      <c r="AR47" s="368"/>
      <c r="AS47" s="368"/>
      <c r="AT47" s="368"/>
      <c r="AU47" s="368"/>
      <c r="AV47" s="368"/>
      <c r="AW47" s="368"/>
      <c r="AX47" s="368"/>
      <c r="AY47" s="368"/>
      <c r="AZ47" s="368"/>
      <c r="BA47" s="368"/>
      <c r="BB47" s="368"/>
      <c r="BC47" s="368"/>
      <c r="BD47" s="368"/>
      <c r="BE47" s="368"/>
      <c r="BF47" s="368"/>
      <c r="BG47" s="368"/>
    </row>
    <row r="48" spans="2:59" hidden="1" x14ac:dyDescent="0.25">
      <c r="B48" s="220" t="str">
        <f>IF(Capacity!N41="","",Capacity!N41)</f>
        <v/>
      </c>
      <c r="C48" s="221" t="str">
        <f>IF(B48="","",Capacity!Q41)</f>
        <v/>
      </c>
      <c r="D48" s="312" t="str">
        <f>IF(B48="","",Capacity!R41)</f>
        <v/>
      </c>
      <c r="E48" s="221" t="str">
        <f>IF(B48="","",IF(COUNTBLANK(H48:BG48)=52,SUM('Capacity calculation (hide)'!H136:BG136),52-COUNTBLANK(H48:BG48)))</f>
        <v/>
      </c>
      <c r="F48" s="313" t="str">
        <f>'Capacity calculation (hide)'!BI136</f>
        <v/>
      </c>
      <c r="H48" s="368"/>
      <c r="I48" s="368"/>
      <c r="J48" s="368"/>
      <c r="K48" s="368"/>
      <c r="L48" s="368"/>
      <c r="M48" s="368"/>
      <c r="N48" s="368"/>
      <c r="O48" s="368"/>
      <c r="P48" s="368"/>
      <c r="Q48" s="368"/>
      <c r="R48" s="368"/>
      <c r="S48" s="368"/>
      <c r="T48" s="368"/>
      <c r="U48" s="368"/>
      <c r="V48" s="368"/>
      <c r="W48" s="368"/>
      <c r="X48" s="368"/>
      <c r="Y48" s="368"/>
      <c r="Z48" s="368"/>
      <c r="AA48" s="368"/>
      <c r="AB48" s="368"/>
      <c r="AC48" s="368"/>
      <c r="AD48" s="368"/>
      <c r="AE48" s="368"/>
      <c r="AF48" s="368"/>
      <c r="AG48" s="368"/>
      <c r="AH48" s="368"/>
      <c r="AI48" s="368"/>
      <c r="AJ48" s="368"/>
      <c r="AK48" s="368"/>
      <c r="AL48" s="368"/>
      <c r="AM48" s="368"/>
      <c r="AN48" s="368"/>
      <c r="AO48" s="368"/>
      <c r="AP48" s="368"/>
      <c r="AQ48" s="368"/>
      <c r="AR48" s="368"/>
      <c r="AS48" s="368"/>
      <c r="AT48" s="368"/>
      <c r="AU48" s="368"/>
      <c r="AV48" s="368"/>
      <c r="AW48" s="368"/>
      <c r="AX48" s="368"/>
      <c r="AY48" s="368"/>
      <c r="AZ48" s="368"/>
      <c r="BA48" s="368"/>
      <c r="BB48" s="368"/>
      <c r="BC48" s="368"/>
      <c r="BD48" s="368"/>
      <c r="BE48" s="368"/>
      <c r="BF48" s="368"/>
      <c r="BG48" s="368"/>
    </row>
    <row r="49" spans="2:59" hidden="1" x14ac:dyDescent="0.25">
      <c r="B49" s="220" t="str">
        <f>IF(Capacity!N42="","",Capacity!N42)</f>
        <v/>
      </c>
      <c r="C49" s="221" t="str">
        <f>IF(B49="","",Capacity!Q42)</f>
        <v/>
      </c>
      <c r="D49" s="312" t="str">
        <f>IF(B49="","",Capacity!R42)</f>
        <v/>
      </c>
      <c r="E49" s="221" t="str">
        <f>IF(B49="","",IF(COUNTBLANK(H49:BG49)=52,SUM('Capacity calculation (hide)'!H137:BG137),52-COUNTBLANK(H49:BG49)))</f>
        <v/>
      </c>
      <c r="F49" s="313" t="str">
        <f>'Capacity calculation (hide)'!BI137</f>
        <v/>
      </c>
      <c r="H49" s="368"/>
      <c r="I49" s="368"/>
      <c r="J49" s="368"/>
      <c r="K49" s="368"/>
      <c r="L49" s="368"/>
      <c r="M49" s="368"/>
      <c r="N49" s="368"/>
      <c r="O49" s="368"/>
      <c r="P49" s="368"/>
      <c r="Q49" s="368"/>
      <c r="R49" s="368"/>
      <c r="S49" s="368"/>
      <c r="T49" s="368"/>
      <c r="U49" s="368"/>
      <c r="V49" s="368"/>
      <c r="W49" s="368"/>
      <c r="X49" s="368"/>
      <c r="Y49" s="368"/>
      <c r="Z49" s="368"/>
      <c r="AA49" s="368"/>
      <c r="AB49" s="368"/>
      <c r="AC49" s="368"/>
      <c r="AD49" s="368"/>
      <c r="AE49" s="368"/>
      <c r="AF49" s="368"/>
      <c r="AG49" s="368"/>
      <c r="AH49" s="368"/>
      <c r="AI49" s="368"/>
      <c r="AJ49" s="368"/>
      <c r="AK49" s="368"/>
      <c r="AL49" s="368"/>
      <c r="AM49" s="368"/>
      <c r="AN49" s="368"/>
      <c r="AO49" s="368"/>
      <c r="AP49" s="368"/>
      <c r="AQ49" s="368"/>
      <c r="AR49" s="368"/>
      <c r="AS49" s="368"/>
      <c r="AT49" s="368"/>
      <c r="AU49" s="368"/>
      <c r="AV49" s="368"/>
      <c r="AW49" s="368"/>
      <c r="AX49" s="368"/>
      <c r="AY49" s="368"/>
      <c r="AZ49" s="368"/>
      <c r="BA49" s="368"/>
      <c r="BB49" s="368"/>
      <c r="BC49" s="368"/>
      <c r="BD49" s="368"/>
      <c r="BE49" s="368"/>
      <c r="BF49" s="368"/>
      <c r="BG49" s="368"/>
    </row>
    <row r="50" spans="2:59" hidden="1" x14ac:dyDescent="0.25">
      <c r="B50" s="220" t="str">
        <f>IF(Capacity!N43="","",Capacity!N43)</f>
        <v/>
      </c>
      <c r="C50" s="221" t="str">
        <f>IF(B50="","",Capacity!Q43)</f>
        <v/>
      </c>
      <c r="D50" s="312" t="str">
        <f>IF(B50="","",Capacity!R43)</f>
        <v/>
      </c>
      <c r="E50" s="221" t="str">
        <f>IF(B50="","",IF(COUNTBLANK(H50:BG50)=52,SUM('Capacity calculation (hide)'!H138:BG138),52-COUNTBLANK(H50:BG50)))</f>
        <v/>
      </c>
      <c r="F50" s="313" t="str">
        <f>'Capacity calculation (hide)'!BI138</f>
        <v/>
      </c>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8"/>
      <c r="AI50" s="368"/>
      <c r="AJ50" s="368"/>
      <c r="AK50" s="368"/>
      <c r="AL50" s="368"/>
      <c r="AM50" s="368"/>
      <c r="AN50" s="368"/>
      <c r="AO50" s="368"/>
      <c r="AP50" s="368"/>
      <c r="AQ50" s="368"/>
      <c r="AR50" s="368"/>
      <c r="AS50" s="368"/>
      <c r="AT50" s="368"/>
      <c r="AU50" s="368"/>
      <c r="AV50" s="368"/>
      <c r="AW50" s="368"/>
      <c r="AX50" s="368"/>
      <c r="AY50" s="368"/>
      <c r="AZ50" s="368"/>
      <c r="BA50" s="368"/>
      <c r="BB50" s="368"/>
      <c r="BC50" s="368"/>
      <c r="BD50" s="368"/>
      <c r="BE50" s="368"/>
      <c r="BF50" s="368"/>
      <c r="BG50" s="368"/>
    </row>
    <row r="51" spans="2:59" hidden="1" x14ac:dyDescent="0.25">
      <c r="B51" s="220" t="str">
        <f>IF(Capacity!N44="","",Capacity!N44)</f>
        <v/>
      </c>
      <c r="C51" s="221" t="str">
        <f>IF(B51="","",Capacity!Q44)</f>
        <v/>
      </c>
      <c r="D51" s="312" t="str">
        <f>IF(B51="","",Capacity!R44)</f>
        <v/>
      </c>
      <c r="E51" s="221" t="str">
        <f>IF(B51="","",IF(COUNTBLANK(H51:BG51)=52,SUM('Capacity calculation (hide)'!H139:BG139),52-COUNTBLANK(H51:BG51)))</f>
        <v/>
      </c>
      <c r="F51" s="313" t="str">
        <f>'Capacity calculation (hide)'!BI139</f>
        <v/>
      </c>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8"/>
      <c r="AI51" s="368"/>
      <c r="AJ51" s="368"/>
      <c r="AK51" s="368"/>
      <c r="AL51" s="368"/>
      <c r="AM51" s="368"/>
      <c r="AN51" s="368"/>
      <c r="AO51" s="368"/>
      <c r="AP51" s="368"/>
      <c r="AQ51" s="368"/>
      <c r="AR51" s="368"/>
      <c r="AS51" s="368"/>
      <c r="AT51" s="368"/>
      <c r="AU51" s="368"/>
      <c r="AV51" s="368"/>
      <c r="AW51" s="368"/>
      <c r="AX51" s="368"/>
      <c r="AY51" s="368"/>
      <c r="AZ51" s="368"/>
      <c r="BA51" s="368"/>
      <c r="BB51" s="368"/>
      <c r="BC51" s="368"/>
      <c r="BD51" s="368"/>
      <c r="BE51" s="368"/>
      <c r="BF51" s="368"/>
      <c r="BG51" s="368"/>
    </row>
    <row r="52" spans="2:59" hidden="1" x14ac:dyDescent="0.25">
      <c r="B52" s="220" t="str">
        <f>IF(Capacity!N45="","",Capacity!N45)</f>
        <v/>
      </c>
      <c r="C52" s="221" t="str">
        <f>IF(B52="","",Capacity!Q45)</f>
        <v/>
      </c>
      <c r="D52" s="312" t="str">
        <f>IF(B52="","",Capacity!R45)</f>
        <v/>
      </c>
      <c r="E52" s="221" t="str">
        <f>IF(B52="","",IF(COUNTBLANK(H52:BG52)=52,SUM('Capacity calculation (hide)'!H140:BG140),52-COUNTBLANK(H52:BG52)))</f>
        <v/>
      </c>
      <c r="F52" s="313" t="str">
        <f>'Capacity calculation (hide)'!BI140</f>
        <v/>
      </c>
      <c r="H52" s="368"/>
      <c r="I52" s="368"/>
      <c r="J52" s="368"/>
      <c r="K52" s="368"/>
      <c r="L52" s="368"/>
      <c r="M52" s="368"/>
      <c r="N52" s="368"/>
      <c r="O52" s="368"/>
      <c r="P52" s="368"/>
      <c r="Q52" s="368"/>
      <c r="R52" s="368"/>
      <c r="S52" s="368"/>
      <c r="T52" s="368"/>
      <c r="U52" s="368"/>
      <c r="V52" s="368"/>
      <c r="W52" s="368"/>
      <c r="X52" s="368"/>
      <c r="Y52" s="368"/>
      <c r="Z52" s="368"/>
      <c r="AA52" s="368"/>
      <c r="AB52" s="368"/>
      <c r="AC52" s="368"/>
      <c r="AD52" s="368"/>
      <c r="AE52" s="368"/>
      <c r="AF52" s="368"/>
      <c r="AG52" s="368"/>
      <c r="AH52" s="368"/>
      <c r="AI52" s="368"/>
      <c r="AJ52" s="368"/>
      <c r="AK52" s="368"/>
      <c r="AL52" s="368"/>
      <c r="AM52" s="368"/>
      <c r="AN52" s="368"/>
      <c r="AO52" s="368"/>
      <c r="AP52" s="368"/>
      <c r="AQ52" s="368"/>
      <c r="AR52" s="368"/>
      <c r="AS52" s="368"/>
      <c r="AT52" s="368"/>
      <c r="AU52" s="368"/>
      <c r="AV52" s="368"/>
      <c r="AW52" s="368"/>
      <c r="AX52" s="368"/>
      <c r="AY52" s="368"/>
      <c r="AZ52" s="368"/>
      <c r="BA52" s="368"/>
      <c r="BB52" s="368"/>
      <c r="BC52" s="368"/>
      <c r="BD52" s="368"/>
      <c r="BE52" s="368"/>
      <c r="BF52" s="368"/>
      <c r="BG52" s="368"/>
    </row>
    <row r="53" spans="2:59" hidden="1" x14ac:dyDescent="0.25">
      <c r="B53" s="220" t="str">
        <f>IF(Capacity!N46="","",Capacity!N46)</f>
        <v/>
      </c>
      <c r="C53" s="221" t="str">
        <f>IF(B53="","",Capacity!Q46)</f>
        <v/>
      </c>
      <c r="D53" s="312" t="str">
        <f>IF(B53="","",Capacity!R46)</f>
        <v/>
      </c>
      <c r="E53" s="221" t="str">
        <f>IF(B53="","",IF(COUNTBLANK(H53:BG53)=52,SUM('Capacity calculation (hide)'!H141:BG141),52-COUNTBLANK(H53:BG53)))</f>
        <v/>
      </c>
      <c r="F53" s="313" t="str">
        <f>'Capacity calculation (hide)'!BI141</f>
        <v/>
      </c>
      <c r="H53" s="368"/>
      <c r="I53" s="368"/>
      <c r="J53" s="368"/>
      <c r="K53" s="368"/>
      <c r="L53" s="368"/>
      <c r="M53" s="368"/>
      <c r="N53" s="368"/>
      <c r="O53" s="368"/>
      <c r="P53" s="368"/>
      <c r="Q53" s="368"/>
      <c r="R53" s="368"/>
      <c r="S53" s="368"/>
      <c r="T53" s="368"/>
      <c r="U53" s="368"/>
      <c r="V53" s="368"/>
      <c r="W53" s="368"/>
      <c r="X53" s="368"/>
      <c r="Y53" s="368"/>
      <c r="Z53" s="368"/>
      <c r="AA53" s="368"/>
      <c r="AB53" s="368"/>
      <c r="AC53" s="368"/>
      <c r="AD53" s="368"/>
      <c r="AE53" s="368"/>
      <c r="AF53" s="368"/>
      <c r="AG53" s="368"/>
      <c r="AH53" s="368"/>
      <c r="AI53" s="368"/>
      <c r="AJ53" s="368"/>
      <c r="AK53" s="368"/>
      <c r="AL53" s="368"/>
      <c r="AM53" s="368"/>
      <c r="AN53" s="368"/>
      <c r="AO53" s="368"/>
      <c r="AP53" s="368"/>
      <c r="AQ53" s="368"/>
      <c r="AR53" s="368"/>
      <c r="AS53" s="368"/>
      <c r="AT53" s="368"/>
      <c r="AU53" s="368"/>
      <c r="AV53" s="368"/>
      <c r="AW53" s="368"/>
      <c r="AX53" s="368"/>
      <c r="AY53" s="368"/>
      <c r="AZ53" s="368"/>
      <c r="BA53" s="368"/>
      <c r="BB53" s="368"/>
      <c r="BC53" s="368"/>
      <c r="BD53" s="368"/>
      <c r="BE53" s="368"/>
      <c r="BF53" s="368"/>
      <c r="BG53" s="368"/>
    </row>
    <row r="54" spans="2:59" hidden="1" x14ac:dyDescent="0.25">
      <c r="B54" s="220" t="str">
        <f>IF(Capacity!N47="","",Capacity!N47)</f>
        <v/>
      </c>
      <c r="C54" s="221" t="str">
        <f>IF(B54="","",Capacity!Q47)</f>
        <v/>
      </c>
      <c r="D54" s="312" t="str">
        <f>IF(B54="","",Capacity!R47)</f>
        <v/>
      </c>
      <c r="E54" s="221" t="str">
        <f>IF(B54="","",IF(COUNTBLANK(H54:BG54)=52,SUM('Capacity calculation (hide)'!H142:BG142),52-COUNTBLANK(H54:BG54)))</f>
        <v/>
      </c>
      <c r="F54" s="313" t="str">
        <f>'Capacity calculation (hide)'!BI142</f>
        <v/>
      </c>
      <c r="H54" s="368"/>
      <c r="I54" s="368"/>
      <c r="J54" s="368"/>
      <c r="K54" s="368"/>
      <c r="L54" s="368"/>
      <c r="M54" s="368"/>
      <c r="N54" s="368"/>
      <c r="O54" s="368"/>
      <c r="P54" s="368"/>
      <c r="Q54" s="368"/>
      <c r="R54" s="368"/>
      <c r="S54" s="368"/>
      <c r="T54" s="368"/>
      <c r="U54" s="368"/>
      <c r="V54" s="368"/>
      <c r="W54" s="368"/>
      <c r="X54" s="368"/>
      <c r="Y54" s="368"/>
      <c r="Z54" s="368"/>
      <c r="AA54" s="368"/>
      <c r="AB54" s="368"/>
      <c r="AC54" s="368"/>
      <c r="AD54" s="368"/>
      <c r="AE54" s="368"/>
      <c r="AF54" s="368"/>
      <c r="AG54" s="368"/>
      <c r="AH54" s="368"/>
      <c r="AI54" s="368"/>
      <c r="AJ54" s="368"/>
      <c r="AK54" s="368"/>
      <c r="AL54" s="368"/>
      <c r="AM54" s="368"/>
      <c r="AN54" s="368"/>
      <c r="AO54" s="368"/>
      <c r="AP54" s="368"/>
      <c r="AQ54" s="368"/>
      <c r="AR54" s="368"/>
      <c r="AS54" s="368"/>
      <c r="AT54" s="368"/>
      <c r="AU54" s="368"/>
      <c r="AV54" s="368"/>
      <c r="AW54" s="368"/>
      <c r="AX54" s="368"/>
      <c r="AY54" s="368"/>
      <c r="AZ54" s="368"/>
      <c r="BA54" s="368"/>
      <c r="BB54" s="368"/>
      <c r="BC54" s="368"/>
      <c r="BD54" s="368"/>
      <c r="BE54" s="368"/>
      <c r="BF54" s="368"/>
      <c r="BG54" s="368"/>
    </row>
    <row r="55" spans="2:59" hidden="1" x14ac:dyDescent="0.25">
      <c r="B55" s="220" t="str">
        <f>IF(Capacity!N48="","",Capacity!N48)</f>
        <v/>
      </c>
      <c r="C55" s="221" t="str">
        <f>IF(B55="","",Capacity!Q48)</f>
        <v/>
      </c>
      <c r="D55" s="312" t="str">
        <f>IF(B55="","",Capacity!R48)</f>
        <v/>
      </c>
      <c r="E55" s="221" t="str">
        <f>IF(B55="","",IF(COUNTBLANK(H55:BG55)=52,SUM('Capacity calculation (hide)'!H143:BG143),52-COUNTBLANK(H55:BG55)))</f>
        <v/>
      </c>
      <c r="F55" s="313" t="str">
        <f>'Capacity calculation (hide)'!BI143</f>
        <v/>
      </c>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row>
    <row r="56" spans="2:59" hidden="1" x14ac:dyDescent="0.25">
      <c r="B56" s="220" t="str">
        <f>IF(Capacity!N49="","",Capacity!N49)</f>
        <v/>
      </c>
      <c r="C56" s="221" t="str">
        <f>IF(B56="","",Capacity!Q49)</f>
        <v/>
      </c>
      <c r="D56" s="312" t="str">
        <f>IF(B56="","",Capacity!R49)</f>
        <v/>
      </c>
      <c r="E56" s="221" t="str">
        <f>IF(B56="","",IF(COUNTBLANK(H56:BG56)=52,SUM('Capacity calculation (hide)'!H144:BG144),52-COUNTBLANK(H56:BG56)))</f>
        <v/>
      </c>
      <c r="F56" s="313" t="str">
        <f>'Capacity calculation (hide)'!BI144</f>
        <v/>
      </c>
      <c r="H56" s="368"/>
      <c r="I56" s="368"/>
      <c r="J56" s="368"/>
      <c r="K56" s="368"/>
      <c r="L56" s="368"/>
      <c r="M56" s="368"/>
      <c r="N56" s="368"/>
      <c r="O56" s="368"/>
      <c r="P56" s="368"/>
      <c r="Q56" s="368"/>
      <c r="R56" s="368"/>
      <c r="S56" s="368"/>
      <c r="T56" s="368"/>
      <c r="U56" s="368"/>
      <c r="V56" s="368"/>
      <c r="W56" s="368"/>
      <c r="X56" s="368"/>
      <c r="Y56" s="368"/>
      <c r="Z56" s="368"/>
      <c r="AA56" s="368"/>
      <c r="AB56" s="368"/>
      <c r="AC56" s="368"/>
      <c r="AD56" s="368"/>
      <c r="AE56" s="368"/>
      <c r="AF56" s="368"/>
      <c r="AG56" s="368"/>
      <c r="AH56" s="368"/>
      <c r="AI56" s="368"/>
      <c r="AJ56" s="368"/>
      <c r="AK56" s="368"/>
      <c r="AL56" s="368"/>
      <c r="AM56" s="368"/>
      <c r="AN56" s="368"/>
      <c r="AO56" s="368"/>
      <c r="AP56" s="368"/>
      <c r="AQ56" s="368"/>
      <c r="AR56" s="368"/>
      <c r="AS56" s="368"/>
      <c r="AT56" s="368"/>
      <c r="AU56" s="368"/>
      <c r="AV56" s="368"/>
      <c r="AW56" s="368"/>
      <c r="AX56" s="368"/>
      <c r="AY56" s="368"/>
      <c r="AZ56" s="368"/>
      <c r="BA56" s="368"/>
      <c r="BB56" s="368"/>
      <c r="BC56" s="368"/>
      <c r="BD56" s="368"/>
      <c r="BE56" s="368"/>
      <c r="BF56" s="368"/>
      <c r="BG56" s="368"/>
    </row>
    <row r="57" spans="2:59" hidden="1" x14ac:dyDescent="0.25">
      <c r="B57" s="220" t="str">
        <f>IF(Capacity!N50="","",Capacity!N50)</f>
        <v/>
      </c>
      <c r="C57" s="221" t="str">
        <f>IF(B57="","",Capacity!Q50)</f>
        <v/>
      </c>
      <c r="D57" s="312" t="str">
        <f>IF(B57="","",Capacity!R50)</f>
        <v/>
      </c>
      <c r="E57" s="221" t="str">
        <f>IF(B57="","",IF(COUNTBLANK(H57:BG57)=52,SUM('Capacity calculation (hide)'!H145:BG145),52-COUNTBLANK(H57:BG57)))</f>
        <v/>
      </c>
      <c r="F57" s="313" t="str">
        <f>'Capacity calculation (hide)'!BI145</f>
        <v/>
      </c>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8"/>
      <c r="BC57" s="368"/>
      <c r="BD57" s="368"/>
      <c r="BE57" s="368"/>
      <c r="BF57" s="368"/>
      <c r="BG57" s="368"/>
    </row>
    <row r="58" spans="2:59" hidden="1" x14ac:dyDescent="0.25">
      <c r="B58" s="220" t="str">
        <f>IF(Capacity!N51="","",Capacity!N51)</f>
        <v/>
      </c>
      <c r="C58" s="221" t="str">
        <f>IF(B58="","",Capacity!Q51)</f>
        <v/>
      </c>
      <c r="D58" s="312" t="str">
        <f>IF(B58="","",Capacity!R51)</f>
        <v/>
      </c>
      <c r="E58" s="221" t="str">
        <f>IF(B58="","",IF(COUNTBLANK(H58:BG58)=52,SUM('Capacity calculation (hide)'!H146:BG146),52-COUNTBLANK(H58:BG58)))</f>
        <v/>
      </c>
      <c r="F58" s="313" t="str">
        <f>'Capacity calculation (hide)'!BI146</f>
        <v/>
      </c>
      <c r="H58" s="368"/>
      <c r="I58" s="368"/>
      <c r="J58" s="368"/>
      <c r="K58" s="368"/>
      <c r="L58" s="368"/>
      <c r="M58" s="368"/>
      <c r="N58" s="368"/>
      <c r="O58" s="368"/>
      <c r="P58" s="368"/>
      <c r="Q58" s="368"/>
      <c r="R58" s="368"/>
      <c r="S58" s="368"/>
      <c r="T58" s="368"/>
      <c r="U58" s="368"/>
      <c r="V58" s="368"/>
      <c r="W58" s="368"/>
      <c r="X58" s="368"/>
      <c r="Y58" s="368"/>
      <c r="Z58" s="368"/>
      <c r="AA58" s="368"/>
      <c r="AB58" s="368"/>
      <c r="AC58" s="368"/>
      <c r="AD58" s="368"/>
      <c r="AE58" s="368"/>
      <c r="AF58" s="368"/>
      <c r="AG58" s="368"/>
      <c r="AH58" s="368"/>
      <c r="AI58" s="368"/>
      <c r="AJ58" s="368"/>
      <c r="AK58" s="368"/>
      <c r="AL58" s="368"/>
      <c r="AM58" s="368"/>
      <c r="AN58" s="368"/>
      <c r="AO58" s="368"/>
      <c r="AP58" s="368"/>
      <c r="AQ58" s="368"/>
      <c r="AR58" s="368"/>
      <c r="AS58" s="368"/>
      <c r="AT58" s="368"/>
      <c r="AU58" s="368"/>
      <c r="AV58" s="368"/>
      <c r="AW58" s="368"/>
      <c r="AX58" s="368"/>
      <c r="AY58" s="368"/>
      <c r="AZ58" s="368"/>
      <c r="BA58" s="368"/>
      <c r="BB58" s="368"/>
      <c r="BC58" s="368"/>
      <c r="BD58" s="368"/>
      <c r="BE58" s="368"/>
      <c r="BF58" s="368"/>
      <c r="BG58" s="368"/>
    </row>
    <row r="59" spans="2:59" hidden="1" x14ac:dyDescent="0.25">
      <c r="B59" s="220" t="str">
        <f>IF(Capacity!N52="","",Capacity!N52)</f>
        <v/>
      </c>
      <c r="C59" s="221" t="str">
        <f>IF(B59="","",Capacity!Q52)</f>
        <v/>
      </c>
      <c r="D59" s="312" t="str">
        <f>IF(B59="","",Capacity!R52)</f>
        <v/>
      </c>
      <c r="E59" s="221" t="str">
        <f>IF(B59="","",IF(COUNTBLANK(H59:BG59)=52,SUM('Capacity calculation (hide)'!H147:BG147),52-COUNTBLANK(H59:BG59)))</f>
        <v/>
      </c>
      <c r="F59" s="313" t="str">
        <f>'Capacity calculation (hide)'!BI147</f>
        <v/>
      </c>
      <c r="H59" s="368"/>
      <c r="I59" s="368"/>
      <c r="J59" s="368"/>
      <c r="K59" s="368"/>
      <c r="L59" s="368"/>
      <c r="M59" s="368"/>
      <c r="N59" s="368"/>
      <c r="O59" s="368"/>
      <c r="P59" s="368"/>
      <c r="Q59" s="368"/>
      <c r="R59" s="368"/>
      <c r="S59" s="368"/>
      <c r="T59" s="368"/>
      <c r="U59" s="368"/>
      <c r="V59" s="368"/>
      <c r="W59" s="368"/>
      <c r="X59" s="368"/>
      <c r="Y59" s="368"/>
      <c r="Z59" s="368"/>
      <c r="AA59" s="368"/>
      <c r="AB59" s="368"/>
      <c r="AC59" s="368"/>
      <c r="AD59" s="368"/>
      <c r="AE59" s="368"/>
      <c r="AF59" s="368"/>
      <c r="AG59" s="368"/>
      <c r="AH59" s="368"/>
      <c r="AI59" s="368"/>
      <c r="AJ59" s="368"/>
      <c r="AK59" s="368"/>
      <c r="AL59" s="368"/>
      <c r="AM59" s="368"/>
      <c r="AN59" s="368"/>
      <c r="AO59" s="368"/>
      <c r="AP59" s="368"/>
      <c r="AQ59" s="368"/>
      <c r="AR59" s="368"/>
      <c r="AS59" s="368"/>
      <c r="AT59" s="368"/>
      <c r="AU59" s="368"/>
      <c r="AV59" s="368"/>
      <c r="AW59" s="368"/>
      <c r="AX59" s="368"/>
      <c r="AY59" s="368"/>
      <c r="AZ59" s="368"/>
      <c r="BA59" s="368"/>
      <c r="BB59" s="368"/>
      <c r="BC59" s="368"/>
      <c r="BD59" s="368"/>
      <c r="BE59" s="368"/>
      <c r="BF59" s="368"/>
      <c r="BG59" s="368"/>
    </row>
    <row r="60" spans="2:59" hidden="1" x14ac:dyDescent="0.25">
      <c r="B60" s="220" t="str">
        <f>IF(Capacity!N53="","",Capacity!N53)</f>
        <v/>
      </c>
      <c r="C60" s="221" t="str">
        <f>IF(B60="","",Capacity!Q53)</f>
        <v/>
      </c>
      <c r="D60" s="312" t="str">
        <f>IF(B60="","",Capacity!R53)</f>
        <v/>
      </c>
      <c r="E60" s="221" t="str">
        <f>IF(B60="","",IF(COUNTBLANK(H60:BG60)=52,SUM('Capacity calculation (hide)'!H148:BG148),52-COUNTBLANK(H60:BG60)))</f>
        <v/>
      </c>
      <c r="F60" s="313" t="str">
        <f>'Capacity calculation (hide)'!BI148</f>
        <v/>
      </c>
      <c r="H60" s="368"/>
      <c r="I60" s="368"/>
      <c r="J60" s="368"/>
      <c r="K60" s="368"/>
      <c r="L60" s="368"/>
      <c r="M60" s="368"/>
      <c r="N60" s="368"/>
      <c r="O60" s="368"/>
      <c r="P60" s="368"/>
      <c r="Q60" s="368"/>
      <c r="R60" s="368"/>
      <c r="S60" s="368"/>
      <c r="T60" s="368"/>
      <c r="U60" s="368"/>
      <c r="V60" s="368"/>
      <c r="W60" s="368"/>
      <c r="X60" s="368"/>
      <c r="Y60" s="368"/>
      <c r="Z60" s="368"/>
      <c r="AA60" s="368"/>
      <c r="AB60" s="368"/>
      <c r="AC60" s="368"/>
      <c r="AD60" s="368"/>
      <c r="AE60" s="368"/>
      <c r="AF60" s="368"/>
      <c r="AG60" s="368"/>
      <c r="AH60" s="368"/>
      <c r="AI60" s="368"/>
      <c r="AJ60" s="368"/>
      <c r="AK60" s="368"/>
      <c r="AL60" s="368"/>
      <c r="AM60" s="368"/>
      <c r="AN60" s="368"/>
      <c r="AO60" s="368"/>
      <c r="AP60" s="368"/>
      <c r="AQ60" s="368"/>
      <c r="AR60" s="368"/>
      <c r="AS60" s="368"/>
      <c r="AT60" s="368"/>
      <c r="AU60" s="368"/>
      <c r="AV60" s="368"/>
      <c r="AW60" s="368"/>
      <c r="AX60" s="368"/>
      <c r="AY60" s="368"/>
      <c r="AZ60" s="368"/>
      <c r="BA60" s="368"/>
      <c r="BB60" s="368"/>
      <c r="BC60" s="368"/>
      <c r="BD60" s="368"/>
      <c r="BE60" s="368"/>
      <c r="BF60" s="368"/>
      <c r="BG60" s="368"/>
    </row>
    <row r="61" spans="2:59" hidden="1" x14ac:dyDescent="0.25">
      <c r="B61" s="220" t="str">
        <f>IF(Capacity!N54="","",Capacity!N54)</f>
        <v/>
      </c>
      <c r="C61" s="221" t="str">
        <f>IF(B61="","",Capacity!Q54)</f>
        <v/>
      </c>
      <c r="D61" s="312" t="str">
        <f>IF(B61="","",Capacity!R54)</f>
        <v/>
      </c>
      <c r="E61" s="221" t="str">
        <f>IF(B61="","",IF(COUNTBLANK(H61:BG61)=52,SUM('Capacity calculation (hide)'!H149:BG149),52-COUNTBLANK(H61:BG61)))</f>
        <v/>
      </c>
      <c r="F61" s="313" t="str">
        <f>'Capacity calculation (hide)'!BI149</f>
        <v/>
      </c>
      <c r="H61" s="368"/>
      <c r="I61" s="368"/>
      <c r="J61" s="368"/>
      <c r="K61" s="368"/>
      <c r="L61" s="368"/>
      <c r="M61" s="368"/>
      <c r="N61" s="368"/>
      <c r="O61" s="368"/>
      <c r="P61" s="368"/>
      <c r="Q61" s="368"/>
      <c r="R61" s="368"/>
      <c r="S61" s="368"/>
      <c r="T61" s="368"/>
      <c r="U61" s="368"/>
      <c r="V61" s="368"/>
      <c r="W61" s="368"/>
      <c r="X61" s="368"/>
      <c r="Y61" s="368"/>
      <c r="Z61" s="368"/>
      <c r="AA61" s="368"/>
      <c r="AB61" s="368"/>
      <c r="AC61" s="368"/>
      <c r="AD61" s="368"/>
      <c r="AE61" s="368"/>
      <c r="AF61" s="368"/>
      <c r="AG61" s="368"/>
      <c r="AH61" s="368"/>
      <c r="AI61" s="368"/>
      <c r="AJ61" s="368"/>
      <c r="AK61" s="368"/>
      <c r="AL61" s="368"/>
      <c r="AM61" s="368"/>
      <c r="AN61" s="368"/>
      <c r="AO61" s="368"/>
      <c r="AP61" s="368"/>
      <c r="AQ61" s="368"/>
      <c r="AR61" s="368"/>
      <c r="AS61" s="368"/>
      <c r="AT61" s="368"/>
      <c r="AU61" s="368"/>
      <c r="AV61" s="368"/>
      <c r="AW61" s="368"/>
      <c r="AX61" s="368"/>
      <c r="AY61" s="368"/>
      <c r="AZ61" s="368"/>
      <c r="BA61" s="368"/>
      <c r="BB61" s="368"/>
      <c r="BC61" s="368"/>
      <c r="BD61" s="368"/>
      <c r="BE61" s="368"/>
      <c r="BF61" s="368"/>
      <c r="BG61" s="368"/>
    </row>
    <row r="62" spans="2:59" hidden="1" x14ac:dyDescent="0.25">
      <c r="B62" s="220" t="str">
        <f>IF(Capacity!N55="","",Capacity!N55)</f>
        <v/>
      </c>
      <c r="C62" s="221" t="str">
        <f>IF(B62="","",Capacity!Q55)</f>
        <v/>
      </c>
      <c r="D62" s="312" t="str">
        <f>IF(B62="","",Capacity!R55)</f>
        <v/>
      </c>
      <c r="E62" s="221" t="str">
        <f>IF(B62="","",IF(COUNTBLANK(H62:BG62)=52,SUM('Capacity calculation (hide)'!H150:BG150),52-COUNTBLANK(H62:BG62)))</f>
        <v/>
      </c>
      <c r="F62" s="313" t="str">
        <f>'Capacity calculation (hide)'!BI150</f>
        <v/>
      </c>
      <c r="H62" s="368"/>
      <c r="I62" s="368"/>
      <c r="J62" s="368"/>
      <c r="K62" s="368"/>
      <c r="L62" s="368"/>
      <c r="M62" s="368"/>
      <c r="N62" s="368"/>
      <c r="O62" s="368"/>
      <c r="P62" s="368"/>
      <c r="Q62" s="368"/>
      <c r="R62" s="368"/>
      <c r="S62" s="368"/>
      <c r="T62" s="368"/>
      <c r="U62" s="368"/>
      <c r="V62" s="368"/>
      <c r="W62" s="368"/>
      <c r="X62" s="368"/>
      <c r="Y62" s="368"/>
      <c r="Z62" s="368"/>
      <c r="AA62" s="368"/>
      <c r="AB62" s="368"/>
      <c r="AC62" s="368"/>
      <c r="AD62" s="368"/>
      <c r="AE62" s="368"/>
      <c r="AF62" s="368"/>
      <c r="AG62" s="368"/>
      <c r="AH62" s="368"/>
      <c r="AI62" s="368"/>
      <c r="AJ62" s="368"/>
      <c r="AK62" s="368"/>
      <c r="AL62" s="368"/>
      <c r="AM62" s="368"/>
      <c r="AN62" s="368"/>
      <c r="AO62" s="368"/>
      <c r="AP62" s="368"/>
      <c r="AQ62" s="368"/>
      <c r="AR62" s="368"/>
      <c r="AS62" s="368"/>
      <c r="AT62" s="368"/>
      <c r="AU62" s="368"/>
      <c r="AV62" s="368"/>
      <c r="AW62" s="368"/>
      <c r="AX62" s="368"/>
      <c r="AY62" s="368"/>
      <c r="AZ62" s="368"/>
      <c r="BA62" s="368"/>
      <c r="BB62" s="368"/>
      <c r="BC62" s="368"/>
      <c r="BD62" s="368"/>
      <c r="BE62" s="368"/>
      <c r="BF62" s="368"/>
      <c r="BG62" s="368"/>
    </row>
    <row r="63" spans="2:59" hidden="1" x14ac:dyDescent="0.25">
      <c r="B63" s="220" t="str">
        <f>IF(Capacity!N56="","",Capacity!N56)</f>
        <v/>
      </c>
      <c r="C63" s="221" t="str">
        <f>IF(B63="","",Capacity!Q56)</f>
        <v/>
      </c>
      <c r="D63" s="312" t="str">
        <f>IF(B63="","",Capacity!R56)</f>
        <v/>
      </c>
      <c r="E63" s="221" t="str">
        <f>IF(B63="","",IF(COUNTBLANK(H63:BG63)=52,SUM('Capacity calculation (hide)'!H151:BG151),52-COUNTBLANK(H63:BG63)))</f>
        <v/>
      </c>
      <c r="F63" s="313" t="str">
        <f>'Capacity calculation (hide)'!BI151</f>
        <v/>
      </c>
      <c r="H63" s="368"/>
      <c r="I63" s="368"/>
      <c r="J63" s="368"/>
      <c r="K63" s="368"/>
      <c r="L63" s="368"/>
      <c r="M63" s="368"/>
      <c r="N63" s="368"/>
      <c r="O63" s="368"/>
      <c r="P63" s="368"/>
      <c r="Q63" s="368"/>
      <c r="R63" s="368"/>
      <c r="S63" s="368"/>
      <c r="T63" s="368"/>
      <c r="U63" s="368"/>
      <c r="V63" s="368"/>
      <c r="W63" s="368"/>
      <c r="X63" s="368"/>
      <c r="Y63" s="368"/>
      <c r="Z63" s="368"/>
      <c r="AA63" s="368"/>
      <c r="AB63" s="368"/>
      <c r="AC63" s="368"/>
      <c r="AD63" s="368"/>
      <c r="AE63" s="368"/>
      <c r="AF63" s="368"/>
      <c r="AG63" s="368"/>
      <c r="AH63" s="368"/>
      <c r="AI63" s="368"/>
      <c r="AJ63" s="368"/>
      <c r="AK63" s="368"/>
      <c r="AL63" s="368"/>
      <c r="AM63" s="368"/>
      <c r="AN63" s="368"/>
      <c r="AO63" s="368"/>
      <c r="AP63" s="368"/>
      <c r="AQ63" s="368"/>
      <c r="AR63" s="368"/>
      <c r="AS63" s="368"/>
      <c r="AT63" s="368"/>
      <c r="AU63" s="368"/>
      <c r="AV63" s="368"/>
      <c r="AW63" s="368"/>
      <c r="AX63" s="368"/>
      <c r="AY63" s="368"/>
      <c r="AZ63" s="368"/>
      <c r="BA63" s="368"/>
      <c r="BB63" s="368"/>
      <c r="BC63" s="368"/>
      <c r="BD63" s="368"/>
      <c r="BE63" s="368"/>
      <c r="BF63" s="368"/>
      <c r="BG63" s="368"/>
    </row>
    <row r="64" spans="2:59" hidden="1" x14ac:dyDescent="0.25">
      <c r="B64" s="220" t="str">
        <f>IF(Capacity!N57="","",Capacity!N57)</f>
        <v/>
      </c>
      <c r="C64" s="221" t="str">
        <f>IF(B64="","",Capacity!Q57)</f>
        <v/>
      </c>
      <c r="D64" s="312" t="str">
        <f>IF(B64="","",Capacity!R57)</f>
        <v/>
      </c>
      <c r="E64" s="221" t="str">
        <f>IF(B64="","",IF(COUNTBLANK(H64:BG64)=52,SUM('Capacity calculation (hide)'!H152:BG152),52-COUNTBLANK(H64:BG64)))</f>
        <v/>
      </c>
      <c r="F64" s="313" t="str">
        <f>'Capacity calculation (hide)'!BI152</f>
        <v/>
      </c>
      <c r="H64" s="368"/>
      <c r="I64" s="368"/>
      <c r="J64" s="368"/>
      <c r="K64" s="368"/>
      <c r="L64" s="368"/>
      <c r="M64" s="368"/>
      <c r="N64" s="368"/>
      <c r="O64" s="368"/>
      <c r="P64" s="368"/>
      <c r="Q64" s="368"/>
      <c r="R64" s="368"/>
      <c r="S64" s="368"/>
      <c r="T64" s="368"/>
      <c r="U64" s="368"/>
      <c r="V64" s="368"/>
      <c r="W64" s="368"/>
      <c r="X64" s="368"/>
      <c r="Y64" s="368"/>
      <c r="Z64" s="368"/>
      <c r="AA64" s="368"/>
      <c r="AB64" s="368"/>
      <c r="AC64" s="368"/>
      <c r="AD64" s="368"/>
      <c r="AE64" s="368"/>
      <c r="AF64" s="368"/>
      <c r="AG64" s="368"/>
      <c r="AH64" s="368"/>
      <c r="AI64" s="368"/>
      <c r="AJ64" s="368"/>
      <c r="AK64" s="368"/>
      <c r="AL64" s="368"/>
      <c r="AM64" s="368"/>
      <c r="AN64" s="368"/>
      <c r="AO64" s="368"/>
      <c r="AP64" s="368"/>
      <c r="AQ64" s="368"/>
      <c r="AR64" s="368"/>
      <c r="AS64" s="368"/>
      <c r="AT64" s="368"/>
      <c r="AU64" s="368"/>
      <c r="AV64" s="368"/>
      <c r="AW64" s="368"/>
      <c r="AX64" s="368"/>
      <c r="AY64" s="368"/>
      <c r="AZ64" s="368"/>
      <c r="BA64" s="368"/>
      <c r="BB64" s="368"/>
      <c r="BC64" s="368"/>
      <c r="BD64" s="368"/>
      <c r="BE64" s="368"/>
      <c r="BF64" s="368"/>
      <c r="BG64" s="368"/>
    </row>
    <row r="65" spans="2:59" hidden="1" x14ac:dyDescent="0.25">
      <c r="B65" s="220" t="str">
        <f>IF(Capacity!N58="","",Capacity!N58)</f>
        <v/>
      </c>
      <c r="C65" s="221" t="str">
        <f>IF(B65="","",Capacity!Q58)</f>
        <v/>
      </c>
      <c r="D65" s="312" t="str">
        <f>IF(B65="","",Capacity!R58)</f>
        <v/>
      </c>
      <c r="E65" s="221" t="str">
        <f>IF(B65="","",IF(COUNTBLANK(H65:BG65)=52,SUM('Capacity calculation (hide)'!H153:BG153),52-COUNTBLANK(H65:BG65)))</f>
        <v/>
      </c>
      <c r="F65" s="313" t="str">
        <f>'Capacity calculation (hide)'!BI153</f>
        <v/>
      </c>
      <c r="H65" s="368"/>
      <c r="I65" s="368"/>
      <c r="J65" s="368"/>
      <c r="K65" s="368"/>
      <c r="L65" s="368"/>
      <c r="M65" s="368"/>
      <c r="N65" s="368"/>
      <c r="O65" s="368"/>
      <c r="P65" s="368"/>
      <c r="Q65" s="368"/>
      <c r="R65" s="368"/>
      <c r="S65" s="368"/>
      <c r="T65" s="368"/>
      <c r="U65" s="368"/>
      <c r="V65" s="368"/>
      <c r="W65" s="368"/>
      <c r="X65" s="368"/>
      <c r="Y65" s="368"/>
      <c r="Z65" s="368"/>
      <c r="AA65" s="368"/>
      <c r="AB65" s="368"/>
      <c r="AC65" s="368"/>
      <c r="AD65" s="368"/>
      <c r="AE65" s="368"/>
      <c r="AF65" s="368"/>
      <c r="AG65" s="368"/>
      <c r="AH65" s="368"/>
      <c r="AI65" s="368"/>
      <c r="AJ65" s="368"/>
      <c r="AK65" s="368"/>
      <c r="AL65" s="368"/>
      <c r="AM65" s="368"/>
      <c r="AN65" s="368"/>
      <c r="AO65" s="368"/>
      <c r="AP65" s="368"/>
      <c r="AQ65" s="368"/>
      <c r="AR65" s="368"/>
      <c r="AS65" s="368"/>
      <c r="AT65" s="368"/>
      <c r="AU65" s="368"/>
      <c r="AV65" s="368"/>
      <c r="AW65" s="368"/>
      <c r="AX65" s="368"/>
      <c r="AY65" s="368"/>
      <c r="AZ65" s="368"/>
      <c r="BA65" s="368"/>
      <c r="BB65" s="368"/>
      <c r="BC65" s="368"/>
      <c r="BD65" s="368"/>
      <c r="BE65" s="368"/>
      <c r="BF65" s="368"/>
      <c r="BG65" s="368"/>
    </row>
    <row r="66" spans="2:59" hidden="1" x14ac:dyDescent="0.25">
      <c r="B66" s="220" t="str">
        <f>IF(Capacity!N59="","",Capacity!N59)</f>
        <v/>
      </c>
      <c r="C66" s="221" t="str">
        <f>IF(B66="","",Capacity!Q59)</f>
        <v/>
      </c>
      <c r="D66" s="312" t="str">
        <f>IF(B66="","",Capacity!R59)</f>
        <v/>
      </c>
      <c r="E66" s="221" t="str">
        <f>IF(B66="","",IF(COUNTBLANK(H66:BG66)=52,SUM('Capacity calculation (hide)'!H154:BG154),52-COUNTBLANK(H66:BG66)))</f>
        <v/>
      </c>
      <c r="F66" s="313" t="str">
        <f>'Capacity calculation (hide)'!BI154</f>
        <v/>
      </c>
      <c r="H66" s="368"/>
      <c r="I66" s="368"/>
      <c r="J66" s="368"/>
      <c r="K66" s="368"/>
      <c r="L66" s="368"/>
      <c r="M66" s="368"/>
      <c r="N66" s="368"/>
      <c r="O66" s="368"/>
      <c r="P66" s="368"/>
      <c r="Q66" s="368"/>
      <c r="R66" s="368"/>
      <c r="S66" s="368"/>
      <c r="T66" s="368"/>
      <c r="U66" s="368"/>
      <c r="V66" s="368"/>
      <c r="W66" s="368"/>
      <c r="X66" s="368"/>
      <c r="Y66" s="368"/>
      <c r="Z66" s="368"/>
      <c r="AA66" s="368"/>
      <c r="AB66" s="368"/>
      <c r="AC66" s="368"/>
      <c r="AD66" s="368"/>
      <c r="AE66" s="368"/>
      <c r="AF66" s="368"/>
      <c r="AG66" s="368"/>
      <c r="AH66" s="368"/>
      <c r="AI66" s="368"/>
      <c r="AJ66" s="368"/>
      <c r="AK66" s="368"/>
      <c r="AL66" s="368"/>
      <c r="AM66" s="368"/>
      <c r="AN66" s="368"/>
      <c r="AO66" s="368"/>
      <c r="AP66" s="368"/>
      <c r="AQ66" s="368"/>
      <c r="AR66" s="368"/>
      <c r="AS66" s="368"/>
      <c r="AT66" s="368"/>
      <c r="AU66" s="368"/>
      <c r="AV66" s="368"/>
      <c r="AW66" s="368"/>
      <c r="AX66" s="368"/>
      <c r="AY66" s="368"/>
      <c r="AZ66" s="368"/>
      <c r="BA66" s="368"/>
      <c r="BB66" s="368"/>
      <c r="BC66" s="368"/>
      <c r="BD66" s="368"/>
      <c r="BE66" s="368"/>
      <c r="BF66" s="368"/>
      <c r="BG66" s="368"/>
    </row>
    <row r="67" spans="2:59" hidden="1" x14ac:dyDescent="0.25">
      <c r="B67" s="220" t="str">
        <f>IF(Capacity!N60="","",Capacity!N60)</f>
        <v/>
      </c>
      <c r="C67" s="221" t="str">
        <f>IF(B67="","",Capacity!Q60)</f>
        <v/>
      </c>
      <c r="D67" s="312" t="str">
        <f>IF(B67="","",Capacity!R60)</f>
        <v/>
      </c>
      <c r="E67" s="221" t="str">
        <f>IF(B67="","",IF(COUNTBLANK(H67:BG67)=52,SUM('Capacity calculation (hide)'!H155:BG155),52-COUNTBLANK(H67:BG67)))</f>
        <v/>
      </c>
      <c r="F67" s="313" t="str">
        <f>'Capacity calculation (hide)'!BI155</f>
        <v/>
      </c>
      <c r="H67" s="368"/>
      <c r="I67" s="368"/>
      <c r="J67" s="368"/>
      <c r="K67" s="368"/>
      <c r="L67" s="368"/>
      <c r="M67" s="368"/>
      <c r="N67" s="368"/>
      <c r="O67" s="368"/>
      <c r="P67" s="368"/>
      <c r="Q67" s="368"/>
      <c r="R67" s="368"/>
      <c r="S67" s="368"/>
      <c r="T67" s="368"/>
      <c r="U67" s="368"/>
      <c r="V67" s="368"/>
      <c r="W67" s="368"/>
      <c r="X67" s="368"/>
      <c r="Y67" s="368"/>
      <c r="Z67" s="368"/>
      <c r="AA67" s="368"/>
      <c r="AB67" s="368"/>
      <c r="AC67" s="368"/>
      <c r="AD67" s="368"/>
      <c r="AE67" s="368"/>
      <c r="AF67" s="368"/>
      <c r="AG67" s="368"/>
      <c r="AH67" s="368"/>
      <c r="AI67" s="368"/>
      <c r="AJ67" s="368"/>
      <c r="AK67" s="368"/>
      <c r="AL67" s="368"/>
      <c r="AM67" s="368"/>
      <c r="AN67" s="368"/>
      <c r="AO67" s="368"/>
      <c r="AP67" s="368"/>
      <c r="AQ67" s="368"/>
      <c r="AR67" s="368"/>
      <c r="AS67" s="368"/>
      <c r="AT67" s="368"/>
      <c r="AU67" s="368"/>
      <c r="AV67" s="368"/>
      <c r="AW67" s="368"/>
      <c r="AX67" s="368"/>
      <c r="AY67" s="368"/>
      <c r="AZ67" s="368"/>
      <c r="BA67" s="368"/>
      <c r="BB67" s="368"/>
      <c r="BC67" s="368"/>
      <c r="BD67" s="368"/>
      <c r="BE67" s="368"/>
      <c r="BF67" s="368"/>
      <c r="BG67" s="368"/>
    </row>
    <row r="68" spans="2:59" hidden="1" x14ac:dyDescent="0.25">
      <c r="B68" s="220" t="str">
        <f>IF(Capacity!N61="","",Capacity!N61)</f>
        <v/>
      </c>
      <c r="C68" s="221" t="str">
        <f>IF(B68="","",Capacity!Q61)</f>
        <v/>
      </c>
      <c r="D68" s="312" t="str">
        <f>IF(B68="","",Capacity!R61)</f>
        <v/>
      </c>
      <c r="E68" s="221" t="str">
        <f>IF(B68="","",IF(COUNTBLANK(H68:BG68)=52,SUM('Capacity calculation (hide)'!H156:BG156),52-COUNTBLANK(H68:BG68)))</f>
        <v/>
      </c>
      <c r="F68" s="313" t="str">
        <f>'Capacity calculation (hide)'!BI156</f>
        <v/>
      </c>
      <c r="H68" s="368"/>
      <c r="I68" s="368"/>
      <c r="J68" s="368"/>
      <c r="K68" s="368"/>
      <c r="L68" s="368"/>
      <c r="M68" s="368"/>
      <c r="N68" s="368"/>
      <c r="O68" s="368"/>
      <c r="P68" s="368"/>
      <c r="Q68" s="368"/>
      <c r="R68" s="368"/>
      <c r="S68" s="368"/>
      <c r="T68" s="368"/>
      <c r="U68" s="368"/>
      <c r="V68" s="368"/>
      <c r="W68" s="368"/>
      <c r="X68" s="368"/>
      <c r="Y68" s="368"/>
      <c r="Z68" s="368"/>
      <c r="AA68" s="368"/>
      <c r="AB68" s="368"/>
      <c r="AC68" s="368"/>
      <c r="AD68" s="368"/>
      <c r="AE68" s="368"/>
      <c r="AF68" s="368"/>
      <c r="AG68" s="368"/>
      <c r="AH68" s="368"/>
      <c r="AI68" s="368"/>
      <c r="AJ68" s="368"/>
      <c r="AK68" s="368"/>
      <c r="AL68" s="368"/>
      <c r="AM68" s="368"/>
      <c r="AN68" s="368"/>
      <c r="AO68" s="368"/>
      <c r="AP68" s="368"/>
      <c r="AQ68" s="368"/>
      <c r="AR68" s="368"/>
      <c r="AS68" s="368"/>
      <c r="AT68" s="368"/>
      <c r="AU68" s="368"/>
      <c r="AV68" s="368"/>
      <c r="AW68" s="368"/>
      <c r="AX68" s="368"/>
      <c r="AY68" s="368"/>
      <c r="AZ68" s="368"/>
      <c r="BA68" s="368"/>
      <c r="BB68" s="368"/>
      <c r="BC68" s="368"/>
      <c r="BD68" s="368"/>
      <c r="BE68" s="368"/>
      <c r="BF68" s="368"/>
      <c r="BG68" s="368"/>
    </row>
    <row r="69" spans="2:59" hidden="1" x14ac:dyDescent="0.25">
      <c r="B69" s="220" t="str">
        <f>IF(Capacity!N62="","",Capacity!N62)</f>
        <v/>
      </c>
      <c r="C69" s="221" t="str">
        <f>IF(B69="","",Capacity!Q62)</f>
        <v/>
      </c>
      <c r="D69" s="312" t="str">
        <f>IF(B69="","",Capacity!R62)</f>
        <v/>
      </c>
      <c r="E69" s="221" t="str">
        <f>IF(B69="","",IF(COUNTBLANK(H69:BG69)=52,SUM('Capacity calculation (hide)'!H157:BG157),52-COUNTBLANK(H69:BG69)))</f>
        <v/>
      </c>
      <c r="F69" s="313" t="str">
        <f>'Capacity calculation (hide)'!BI157</f>
        <v/>
      </c>
      <c r="H69" s="368"/>
      <c r="I69" s="368"/>
      <c r="J69" s="368"/>
      <c r="K69" s="368"/>
      <c r="L69" s="368"/>
      <c r="M69" s="368"/>
      <c r="N69" s="368"/>
      <c r="O69" s="368"/>
      <c r="P69" s="368"/>
      <c r="Q69" s="368"/>
      <c r="R69" s="368"/>
      <c r="S69" s="368"/>
      <c r="T69" s="368"/>
      <c r="U69" s="368"/>
      <c r="V69" s="368"/>
      <c r="W69" s="368"/>
      <c r="X69" s="368"/>
      <c r="Y69" s="368"/>
      <c r="Z69" s="368"/>
      <c r="AA69" s="368"/>
      <c r="AB69" s="368"/>
      <c r="AC69" s="368"/>
      <c r="AD69" s="368"/>
      <c r="AE69" s="368"/>
      <c r="AF69" s="368"/>
      <c r="AG69" s="368"/>
      <c r="AH69" s="368"/>
      <c r="AI69" s="368"/>
      <c r="AJ69" s="368"/>
      <c r="AK69" s="368"/>
      <c r="AL69" s="368"/>
      <c r="AM69" s="368"/>
      <c r="AN69" s="368"/>
      <c r="AO69" s="368"/>
      <c r="AP69" s="368"/>
      <c r="AQ69" s="368"/>
      <c r="AR69" s="368"/>
      <c r="AS69" s="368"/>
      <c r="AT69" s="368"/>
      <c r="AU69" s="368"/>
      <c r="AV69" s="368"/>
      <c r="AW69" s="368"/>
      <c r="AX69" s="368"/>
      <c r="AY69" s="368"/>
      <c r="AZ69" s="368"/>
      <c r="BA69" s="368"/>
      <c r="BB69" s="368"/>
      <c r="BC69" s="368"/>
      <c r="BD69" s="368"/>
      <c r="BE69" s="368"/>
      <c r="BF69" s="368"/>
      <c r="BG69" s="368"/>
    </row>
    <row r="70" spans="2:59" hidden="1" x14ac:dyDescent="0.25">
      <c r="B70" s="220" t="str">
        <f>IF(Capacity!N63="","",Capacity!N63)</f>
        <v/>
      </c>
      <c r="C70" s="221" t="str">
        <f>IF(B70="","",Capacity!Q63)</f>
        <v/>
      </c>
      <c r="D70" s="312" t="str">
        <f>IF(B70="","",Capacity!R63)</f>
        <v/>
      </c>
      <c r="E70" s="221" t="str">
        <f>IF(B70="","",IF(COUNTBLANK(H70:BG70)=52,SUM('Capacity calculation (hide)'!H158:BG158),52-COUNTBLANK(H70:BG70)))</f>
        <v/>
      </c>
      <c r="F70" s="313" t="str">
        <f>'Capacity calculation (hide)'!BI158</f>
        <v/>
      </c>
      <c r="H70" s="368"/>
      <c r="I70" s="368"/>
      <c r="J70" s="368"/>
      <c r="K70" s="368"/>
      <c r="L70" s="368"/>
      <c r="M70" s="368"/>
      <c r="N70" s="368"/>
      <c r="O70" s="368"/>
      <c r="P70" s="368"/>
      <c r="Q70" s="368"/>
      <c r="R70" s="368"/>
      <c r="S70" s="368"/>
      <c r="T70" s="368"/>
      <c r="U70" s="368"/>
      <c r="V70" s="368"/>
      <c r="W70" s="368"/>
      <c r="X70" s="368"/>
      <c r="Y70" s="368"/>
      <c r="Z70" s="368"/>
      <c r="AA70" s="368"/>
      <c r="AB70" s="368"/>
      <c r="AC70" s="368"/>
      <c r="AD70" s="368"/>
      <c r="AE70" s="368"/>
      <c r="AF70" s="368"/>
      <c r="AG70" s="368"/>
      <c r="AH70" s="368"/>
      <c r="AI70" s="368"/>
      <c r="AJ70" s="368"/>
      <c r="AK70" s="368"/>
      <c r="AL70" s="368"/>
      <c r="AM70" s="368"/>
      <c r="AN70" s="368"/>
      <c r="AO70" s="368"/>
      <c r="AP70" s="368"/>
      <c r="AQ70" s="368"/>
      <c r="AR70" s="368"/>
      <c r="AS70" s="368"/>
      <c r="AT70" s="368"/>
      <c r="AU70" s="368"/>
      <c r="AV70" s="368"/>
      <c r="AW70" s="368"/>
      <c r="AX70" s="368"/>
      <c r="AY70" s="368"/>
      <c r="AZ70" s="368"/>
      <c r="BA70" s="368"/>
      <c r="BB70" s="368"/>
      <c r="BC70" s="368"/>
      <c r="BD70" s="368"/>
      <c r="BE70" s="368"/>
      <c r="BF70" s="368"/>
      <c r="BG70" s="368"/>
    </row>
    <row r="71" spans="2:59" hidden="1" x14ac:dyDescent="0.25">
      <c r="B71" s="220" t="str">
        <f>IF(Capacity!N64="","",Capacity!N64)</f>
        <v/>
      </c>
      <c r="C71" s="221" t="str">
        <f>IF(B71="","",Capacity!Q64)</f>
        <v/>
      </c>
      <c r="D71" s="312" t="str">
        <f>IF(B71="","",Capacity!R64)</f>
        <v/>
      </c>
      <c r="E71" s="221" t="str">
        <f>IF(B71="","",IF(COUNTBLANK(H71:BG71)=52,SUM('Capacity calculation (hide)'!H159:BG159),52-COUNTBLANK(H71:BG71)))</f>
        <v/>
      </c>
      <c r="F71" s="313" t="str">
        <f>'Capacity calculation (hide)'!BI159</f>
        <v/>
      </c>
      <c r="H71" s="368"/>
      <c r="I71" s="368"/>
      <c r="J71" s="368"/>
      <c r="K71" s="368"/>
      <c r="L71" s="368"/>
      <c r="M71" s="368"/>
      <c r="N71" s="368"/>
      <c r="O71" s="368"/>
      <c r="P71" s="368"/>
      <c r="Q71" s="368"/>
      <c r="R71" s="368"/>
      <c r="S71" s="368"/>
      <c r="T71" s="368"/>
      <c r="U71" s="368"/>
      <c r="V71" s="368"/>
      <c r="W71" s="368"/>
      <c r="X71" s="368"/>
      <c r="Y71" s="368"/>
      <c r="Z71" s="368"/>
      <c r="AA71" s="368"/>
      <c r="AB71" s="368"/>
      <c r="AC71" s="368"/>
      <c r="AD71" s="368"/>
      <c r="AE71" s="368"/>
      <c r="AF71" s="368"/>
      <c r="AG71" s="368"/>
      <c r="AH71" s="368"/>
      <c r="AI71" s="368"/>
      <c r="AJ71" s="368"/>
      <c r="AK71" s="368"/>
      <c r="AL71" s="368"/>
      <c r="AM71" s="368"/>
      <c r="AN71" s="368"/>
      <c r="AO71" s="368"/>
      <c r="AP71" s="368"/>
      <c r="AQ71" s="368"/>
      <c r="AR71" s="368"/>
      <c r="AS71" s="368"/>
      <c r="AT71" s="368"/>
      <c r="AU71" s="368"/>
      <c r="AV71" s="368"/>
      <c r="AW71" s="368"/>
      <c r="AX71" s="368"/>
      <c r="AY71" s="368"/>
      <c r="AZ71" s="368"/>
      <c r="BA71" s="368"/>
      <c r="BB71" s="368"/>
      <c r="BC71" s="368"/>
      <c r="BD71" s="368"/>
      <c r="BE71" s="368"/>
      <c r="BF71" s="368"/>
      <c r="BG71" s="368"/>
    </row>
    <row r="72" spans="2:59" hidden="1" x14ac:dyDescent="0.25">
      <c r="B72" s="220" t="str">
        <f>IF(Capacity!N65="","",Capacity!N65)</f>
        <v/>
      </c>
      <c r="C72" s="221" t="str">
        <f>IF(B72="","",Capacity!Q65)</f>
        <v/>
      </c>
      <c r="D72" s="312" t="str">
        <f>IF(B72="","",Capacity!R65)</f>
        <v/>
      </c>
      <c r="E72" s="221" t="str">
        <f>IF(B72="","",IF(COUNTBLANK(H72:BG72)=52,SUM('Capacity calculation (hide)'!H160:BG160),52-COUNTBLANK(H72:BG72)))</f>
        <v/>
      </c>
      <c r="F72" s="313" t="str">
        <f>'Capacity calculation (hide)'!BI160</f>
        <v/>
      </c>
      <c r="H72" s="368"/>
      <c r="I72" s="368"/>
      <c r="J72" s="368"/>
      <c r="K72" s="368"/>
      <c r="L72" s="368"/>
      <c r="M72" s="368"/>
      <c r="N72" s="368"/>
      <c r="O72" s="368"/>
      <c r="P72" s="368"/>
      <c r="Q72" s="368"/>
      <c r="R72" s="368"/>
      <c r="S72" s="368"/>
      <c r="T72" s="368"/>
      <c r="U72" s="368"/>
      <c r="V72" s="368"/>
      <c r="W72" s="368"/>
      <c r="X72" s="368"/>
      <c r="Y72" s="368"/>
      <c r="Z72" s="368"/>
      <c r="AA72" s="368"/>
      <c r="AB72" s="368"/>
      <c r="AC72" s="368"/>
      <c r="AD72" s="368"/>
      <c r="AE72" s="368"/>
      <c r="AF72" s="368"/>
      <c r="AG72" s="368"/>
      <c r="AH72" s="368"/>
      <c r="AI72" s="368"/>
      <c r="AJ72" s="368"/>
      <c r="AK72" s="368"/>
      <c r="AL72" s="368"/>
      <c r="AM72" s="368"/>
      <c r="AN72" s="368"/>
      <c r="AO72" s="368"/>
      <c r="AP72" s="368"/>
      <c r="AQ72" s="368"/>
      <c r="AR72" s="368"/>
      <c r="AS72" s="368"/>
      <c r="AT72" s="368"/>
      <c r="AU72" s="368"/>
      <c r="AV72" s="368"/>
      <c r="AW72" s="368"/>
      <c r="AX72" s="368"/>
      <c r="AY72" s="368"/>
      <c r="AZ72" s="368"/>
      <c r="BA72" s="368"/>
      <c r="BB72" s="368"/>
      <c r="BC72" s="368"/>
      <c r="BD72" s="368"/>
      <c r="BE72" s="368"/>
      <c r="BF72" s="368"/>
      <c r="BG72" s="368"/>
    </row>
    <row r="73" spans="2:59" hidden="1" x14ac:dyDescent="0.25">
      <c r="B73" s="220" t="str">
        <f>IF(Capacity!N66="","",Capacity!N66)</f>
        <v/>
      </c>
      <c r="C73" s="221" t="str">
        <f>IF(B73="","",Capacity!Q66)</f>
        <v/>
      </c>
      <c r="D73" s="312" t="str">
        <f>IF(B73="","",Capacity!R66)</f>
        <v/>
      </c>
      <c r="E73" s="221" t="str">
        <f>IF(B73="","",IF(COUNTBLANK(H73:BG73)=52,SUM('Capacity calculation (hide)'!H161:BG161),52-COUNTBLANK(H73:BG73)))</f>
        <v/>
      </c>
      <c r="F73" s="313" t="str">
        <f>'Capacity calculation (hide)'!BI161</f>
        <v/>
      </c>
      <c r="H73" s="368"/>
      <c r="I73" s="368"/>
      <c r="J73" s="368"/>
      <c r="K73" s="368"/>
      <c r="L73" s="368"/>
      <c r="M73" s="368"/>
      <c r="N73" s="368"/>
      <c r="O73" s="368"/>
      <c r="P73" s="368"/>
      <c r="Q73" s="368"/>
      <c r="R73" s="368"/>
      <c r="S73" s="368"/>
      <c r="T73" s="368"/>
      <c r="U73" s="368"/>
      <c r="V73" s="368"/>
      <c r="W73" s="368"/>
      <c r="X73" s="368"/>
      <c r="Y73" s="368"/>
      <c r="Z73" s="368"/>
      <c r="AA73" s="368"/>
      <c r="AB73" s="368"/>
      <c r="AC73" s="368"/>
      <c r="AD73" s="368"/>
      <c r="AE73" s="368"/>
      <c r="AF73" s="368"/>
      <c r="AG73" s="368"/>
      <c r="AH73" s="368"/>
      <c r="AI73" s="368"/>
      <c r="AJ73" s="368"/>
      <c r="AK73" s="368"/>
      <c r="AL73" s="368"/>
      <c r="AM73" s="368"/>
      <c r="AN73" s="368"/>
      <c r="AO73" s="368"/>
      <c r="AP73" s="368"/>
      <c r="AQ73" s="368"/>
      <c r="AR73" s="368"/>
      <c r="AS73" s="368"/>
      <c r="AT73" s="368"/>
      <c r="AU73" s="368"/>
      <c r="AV73" s="368"/>
      <c r="AW73" s="368"/>
      <c r="AX73" s="368"/>
      <c r="AY73" s="368"/>
      <c r="AZ73" s="368"/>
      <c r="BA73" s="368"/>
      <c r="BB73" s="368"/>
      <c r="BC73" s="368"/>
      <c r="BD73" s="368"/>
      <c r="BE73" s="368"/>
      <c r="BF73" s="368"/>
      <c r="BG73" s="368"/>
    </row>
    <row r="74" spans="2:59" hidden="1" x14ac:dyDescent="0.25">
      <c r="B74" s="220" t="str">
        <f>IF(Capacity!N67="","",Capacity!N67)</f>
        <v/>
      </c>
      <c r="C74" s="221" t="str">
        <f>IF(B74="","",Capacity!Q67)</f>
        <v/>
      </c>
      <c r="D74" s="312" t="str">
        <f>IF(B74="","",Capacity!R67)</f>
        <v/>
      </c>
      <c r="E74" s="221" t="str">
        <f>IF(B74="","",IF(COUNTBLANK(H74:BG74)=52,SUM('Capacity calculation (hide)'!H162:BG162),52-COUNTBLANK(H74:BG74)))</f>
        <v/>
      </c>
      <c r="F74" s="313" t="str">
        <f>'Capacity calculation (hide)'!BI162</f>
        <v/>
      </c>
      <c r="H74" s="368"/>
      <c r="I74" s="368"/>
      <c r="J74" s="368"/>
      <c r="K74" s="368"/>
      <c r="L74" s="368"/>
      <c r="M74" s="368"/>
      <c r="N74" s="368"/>
      <c r="O74" s="368"/>
      <c r="P74" s="368"/>
      <c r="Q74" s="368"/>
      <c r="R74" s="368"/>
      <c r="S74" s="368"/>
      <c r="T74" s="368"/>
      <c r="U74" s="368"/>
      <c r="V74" s="368"/>
      <c r="W74" s="368"/>
      <c r="X74" s="368"/>
      <c r="Y74" s="368"/>
      <c r="Z74" s="368"/>
      <c r="AA74" s="368"/>
      <c r="AB74" s="368"/>
      <c r="AC74" s="368"/>
      <c r="AD74" s="368"/>
      <c r="AE74" s="368"/>
      <c r="AF74" s="368"/>
      <c r="AG74" s="368"/>
      <c r="AH74" s="368"/>
      <c r="AI74" s="368"/>
      <c r="AJ74" s="368"/>
      <c r="AK74" s="368"/>
      <c r="AL74" s="368"/>
      <c r="AM74" s="368"/>
      <c r="AN74" s="368"/>
      <c r="AO74" s="368"/>
      <c r="AP74" s="368"/>
      <c r="AQ74" s="368"/>
      <c r="AR74" s="368"/>
      <c r="AS74" s="368"/>
      <c r="AT74" s="368"/>
      <c r="AU74" s="368"/>
      <c r="AV74" s="368"/>
      <c r="AW74" s="368"/>
      <c r="AX74" s="368"/>
      <c r="AY74" s="368"/>
      <c r="AZ74" s="368"/>
      <c r="BA74" s="368"/>
      <c r="BB74" s="368"/>
      <c r="BC74" s="368"/>
      <c r="BD74" s="368"/>
      <c r="BE74" s="368"/>
      <c r="BF74" s="368"/>
      <c r="BG74" s="368"/>
    </row>
    <row r="75" spans="2:59" hidden="1" x14ac:dyDescent="0.25">
      <c r="B75" s="220" t="str">
        <f>IF(Capacity!N68="","",Capacity!N68)</f>
        <v/>
      </c>
      <c r="C75" s="221" t="str">
        <f>IF(B75="","",Capacity!Q68)</f>
        <v/>
      </c>
      <c r="D75" s="312" t="str">
        <f>IF(B75="","",Capacity!R68)</f>
        <v/>
      </c>
      <c r="E75" s="221" t="str">
        <f>IF(B75="","",IF(COUNTBLANK(H75:BG75)=52,SUM('Capacity calculation (hide)'!H163:BG163),52-COUNTBLANK(H75:BG75)))</f>
        <v/>
      </c>
      <c r="F75" s="313" t="str">
        <f>'Capacity calculation (hide)'!BI163</f>
        <v/>
      </c>
      <c r="H75" s="368"/>
      <c r="I75" s="368"/>
      <c r="J75" s="368"/>
      <c r="K75" s="368"/>
      <c r="L75" s="368"/>
      <c r="M75" s="368"/>
      <c r="N75" s="368"/>
      <c r="O75" s="368"/>
      <c r="P75" s="368"/>
      <c r="Q75" s="368"/>
      <c r="R75" s="368"/>
      <c r="S75" s="368"/>
      <c r="T75" s="368"/>
      <c r="U75" s="368"/>
      <c r="V75" s="368"/>
      <c r="W75" s="368"/>
      <c r="X75" s="368"/>
      <c r="Y75" s="368"/>
      <c r="Z75" s="368"/>
      <c r="AA75" s="368"/>
      <c r="AB75" s="368"/>
      <c r="AC75" s="368"/>
      <c r="AD75" s="368"/>
      <c r="AE75" s="368"/>
      <c r="AF75" s="368"/>
      <c r="AG75" s="368"/>
      <c r="AH75" s="368"/>
      <c r="AI75" s="368"/>
      <c r="AJ75" s="368"/>
      <c r="AK75" s="368"/>
      <c r="AL75" s="368"/>
      <c r="AM75" s="368"/>
      <c r="AN75" s="368"/>
      <c r="AO75" s="368"/>
      <c r="AP75" s="368"/>
      <c r="AQ75" s="368"/>
      <c r="AR75" s="368"/>
      <c r="AS75" s="368"/>
      <c r="AT75" s="368"/>
      <c r="AU75" s="368"/>
      <c r="AV75" s="368"/>
      <c r="AW75" s="368"/>
      <c r="AX75" s="368"/>
      <c r="AY75" s="368"/>
      <c r="AZ75" s="368"/>
      <c r="BA75" s="368"/>
      <c r="BB75" s="368"/>
      <c r="BC75" s="368"/>
      <c r="BD75" s="368"/>
      <c r="BE75" s="368"/>
      <c r="BF75" s="368"/>
      <c r="BG75" s="368"/>
    </row>
    <row r="76" spans="2:59" hidden="1" x14ac:dyDescent="0.25">
      <c r="B76" s="220" t="str">
        <f>IF(Capacity!N69="","",Capacity!N69)</f>
        <v/>
      </c>
      <c r="C76" s="221" t="str">
        <f>IF(B76="","",Capacity!Q69)</f>
        <v/>
      </c>
      <c r="D76" s="312" t="str">
        <f>IF(B76="","",Capacity!R69)</f>
        <v/>
      </c>
      <c r="E76" s="221" t="str">
        <f>IF(B76="","",IF(COUNTBLANK(H76:BG76)=52,SUM('Capacity calculation (hide)'!H164:BG164),52-COUNTBLANK(H76:BG76)))</f>
        <v/>
      </c>
      <c r="F76" s="313" t="str">
        <f>'Capacity calculation (hide)'!BI164</f>
        <v/>
      </c>
      <c r="H76" s="368"/>
      <c r="I76" s="368"/>
      <c r="J76" s="368"/>
      <c r="K76" s="368"/>
      <c r="L76" s="368"/>
      <c r="M76" s="368"/>
      <c r="N76" s="368"/>
      <c r="O76" s="368"/>
      <c r="P76" s="368"/>
      <c r="Q76" s="368"/>
      <c r="R76" s="368"/>
      <c r="S76" s="368"/>
      <c r="T76" s="368"/>
      <c r="U76" s="368"/>
      <c r="V76" s="368"/>
      <c r="W76" s="368"/>
      <c r="X76" s="368"/>
      <c r="Y76" s="368"/>
      <c r="Z76" s="368"/>
      <c r="AA76" s="368"/>
      <c r="AB76" s="368"/>
      <c r="AC76" s="368"/>
      <c r="AD76" s="368"/>
      <c r="AE76" s="368"/>
      <c r="AF76" s="368"/>
      <c r="AG76" s="368"/>
      <c r="AH76" s="368"/>
      <c r="AI76" s="368"/>
      <c r="AJ76" s="368"/>
      <c r="AK76" s="368"/>
      <c r="AL76" s="368"/>
      <c r="AM76" s="368"/>
      <c r="AN76" s="368"/>
      <c r="AO76" s="368"/>
      <c r="AP76" s="368"/>
      <c r="AQ76" s="368"/>
      <c r="AR76" s="368"/>
      <c r="AS76" s="368"/>
      <c r="AT76" s="368"/>
      <c r="AU76" s="368"/>
      <c r="AV76" s="368"/>
      <c r="AW76" s="368"/>
      <c r="AX76" s="368"/>
      <c r="AY76" s="368"/>
      <c r="AZ76" s="368"/>
      <c r="BA76" s="368"/>
      <c r="BB76" s="368"/>
      <c r="BC76" s="368"/>
      <c r="BD76" s="368"/>
      <c r="BE76" s="368"/>
      <c r="BF76" s="368"/>
      <c r="BG76" s="368"/>
    </row>
    <row r="77" spans="2:59" hidden="1" x14ac:dyDescent="0.25">
      <c r="B77" s="220" t="str">
        <f>IF(Capacity!N70="","",Capacity!N70)</f>
        <v/>
      </c>
      <c r="C77" s="221" t="str">
        <f>IF(B77="","",Capacity!Q70)</f>
        <v/>
      </c>
      <c r="D77" s="312" t="str">
        <f>IF(B77="","",Capacity!R70)</f>
        <v/>
      </c>
      <c r="E77" s="221" t="str">
        <f>IF(B77="","",IF(COUNTBLANK(H77:BG77)=52,SUM('Capacity calculation (hide)'!H165:BG165),52-COUNTBLANK(H77:BG77)))</f>
        <v/>
      </c>
      <c r="F77" s="313" t="str">
        <f>'Capacity calculation (hide)'!BI165</f>
        <v/>
      </c>
      <c r="H77" s="368"/>
      <c r="I77" s="368"/>
      <c r="J77" s="368"/>
      <c r="K77" s="368"/>
      <c r="L77" s="368"/>
      <c r="M77" s="368"/>
      <c r="N77" s="368"/>
      <c r="O77" s="368"/>
      <c r="P77" s="368"/>
      <c r="Q77" s="368"/>
      <c r="R77" s="368"/>
      <c r="S77" s="368"/>
      <c r="T77" s="368"/>
      <c r="U77" s="368"/>
      <c r="V77" s="368"/>
      <c r="W77" s="368"/>
      <c r="X77" s="368"/>
      <c r="Y77" s="368"/>
      <c r="Z77" s="368"/>
      <c r="AA77" s="368"/>
      <c r="AB77" s="368"/>
      <c r="AC77" s="368"/>
      <c r="AD77" s="368"/>
      <c r="AE77" s="368"/>
      <c r="AF77" s="368"/>
      <c r="AG77" s="368"/>
      <c r="AH77" s="368"/>
      <c r="AI77" s="368"/>
      <c r="AJ77" s="368"/>
      <c r="AK77" s="368"/>
      <c r="AL77" s="368"/>
      <c r="AM77" s="368"/>
      <c r="AN77" s="368"/>
      <c r="AO77" s="368"/>
      <c r="AP77" s="368"/>
      <c r="AQ77" s="368"/>
      <c r="AR77" s="368"/>
      <c r="AS77" s="368"/>
      <c r="AT77" s="368"/>
      <c r="AU77" s="368"/>
      <c r="AV77" s="368"/>
      <c r="AW77" s="368"/>
      <c r="AX77" s="368"/>
      <c r="AY77" s="368"/>
      <c r="AZ77" s="368"/>
      <c r="BA77" s="368"/>
      <c r="BB77" s="368"/>
      <c r="BC77" s="368"/>
      <c r="BD77" s="368"/>
      <c r="BE77" s="368"/>
      <c r="BF77" s="368"/>
      <c r="BG77" s="368"/>
    </row>
    <row r="78" spans="2:59" hidden="1" x14ac:dyDescent="0.25">
      <c r="B78" s="220" t="str">
        <f>IF(Capacity!N71="","",Capacity!N71)</f>
        <v/>
      </c>
      <c r="C78" s="221" t="str">
        <f>IF(B78="","",Capacity!Q71)</f>
        <v/>
      </c>
      <c r="D78" s="312" t="str">
        <f>IF(B78="","",Capacity!R71)</f>
        <v/>
      </c>
      <c r="E78" s="221" t="str">
        <f>IF(B78="","",IF(COUNTBLANK(H78:BG78)=52,SUM('Capacity calculation (hide)'!H166:BG166),52-COUNTBLANK(H78:BG78)))</f>
        <v/>
      </c>
      <c r="F78" s="313" t="str">
        <f>'Capacity calculation (hide)'!BI166</f>
        <v/>
      </c>
      <c r="H78" s="368"/>
      <c r="I78" s="368"/>
      <c r="J78" s="368"/>
      <c r="K78" s="368"/>
      <c r="L78" s="368"/>
      <c r="M78" s="368"/>
      <c r="N78" s="368"/>
      <c r="O78" s="368"/>
      <c r="P78" s="368"/>
      <c r="Q78" s="368"/>
      <c r="R78" s="368"/>
      <c r="S78" s="368"/>
      <c r="T78" s="368"/>
      <c r="U78" s="368"/>
      <c r="V78" s="368"/>
      <c r="W78" s="368"/>
      <c r="X78" s="368"/>
      <c r="Y78" s="368"/>
      <c r="Z78" s="368"/>
      <c r="AA78" s="368"/>
      <c r="AB78" s="368"/>
      <c r="AC78" s="368"/>
      <c r="AD78" s="368"/>
      <c r="AE78" s="368"/>
      <c r="AF78" s="368"/>
      <c r="AG78" s="368"/>
      <c r="AH78" s="368"/>
      <c r="AI78" s="368"/>
      <c r="AJ78" s="368"/>
      <c r="AK78" s="368"/>
      <c r="AL78" s="368"/>
      <c r="AM78" s="368"/>
      <c r="AN78" s="368"/>
      <c r="AO78" s="368"/>
      <c r="AP78" s="368"/>
      <c r="AQ78" s="368"/>
      <c r="AR78" s="368"/>
      <c r="AS78" s="368"/>
      <c r="AT78" s="368"/>
      <c r="AU78" s="368"/>
      <c r="AV78" s="368"/>
      <c r="AW78" s="368"/>
      <c r="AX78" s="368"/>
      <c r="AY78" s="368"/>
      <c r="AZ78" s="368"/>
      <c r="BA78" s="368"/>
      <c r="BB78" s="368"/>
      <c r="BC78" s="368"/>
      <c r="BD78" s="368"/>
      <c r="BE78" s="368"/>
      <c r="BF78" s="368"/>
      <c r="BG78" s="368"/>
    </row>
    <row r="79" spans="2:59" hidden="1" x14ac:dyDescent="0.25">
      <c r="B79" s="220" t="str">
        <f>IF(Capacity!N72="","",Capacity!N72)</f>
        <v/>
      </c>
      <c r="C79" s="221" t="str">
        <f>IF(B79="","",Capacity!Q72)</f>
        <v/>
      </c>
      <c r="D79" s="312" t="str">
        <f>IF(B79="","",Capacity!R72)</f>
        <v/>
      </c>
      <c r="E79" s="221" t="str">
        <f>IF(B79="","",IF(COUNTBLANK(H79:BG79)=52,SUM('Capacity calculation (hide)'!H167:BG167),52-COUNTBLANK(H79:BG79)))</f>
        <v/>
      </c>
      <c r="F79" s="313" t="str">
        <f>'Capacity calculation (hide)'!BI167</f>
        <v/>
      </c>
      <c r="H79" s="368"/>
      <c r="I79" s="368"/>
      <c r="J79" s="368"/>
      <c r="K79" s="368"/>
      <c r="L79" s="368"/>
      <c r="M79" s="368"/>
      <c r="N79" s="368"/>
      <c r="O79" s="368"/>
      <c r="P79" s="368"/>
      <c r="Q79" s="368"/>
      <c r="R79" s="368"/>
      <c r="S79" s="368"/>
      <c r="T79" s="368"/>
      <c r="U79" s="368"/>
      <c r="V79" s="368"/>
      <c r="W79" s="368"/>
      <c r="X79" s="368"/>
      <c r="Y79" s="368"/>
      <c r="Z79" s="368"/>
      <c r="AA79" s="368"/>
      <c r="AB79" s="368"/>
      <c r="AC79" s="368"/>
      <c r="AD79" s="368"/>
      <c r="AE79" s="368"/>
      <c r="AF79" s="368"/>
      <c r="AG79" s="368"/>
      <c r="AH79" s="368"/>
      <c r="AI79" s="368"/>
      <c r="AJ79" s="368"/>
      <c r="AK79" s="368"/>
      <c r="AL79" s="368"/>
      <c r="AM79" s="368"/>
      <c r="AN79" s="368"/>
      <c r="AO79" s="368"/>
      <c r="AP79" s="368"/>
      <c r="AQ79" s="368"/>
      <c r="AR79" s="368"/>
      <c r="AS79" s="368"/>
      <c r="AT79" s="368"/>
      <c r="AU79" s="368"/>
      <c r="AV79" s="368"/>
      <c r="AW79" s="368"/>
      <c r="AX79" s="368"/>
      <c r="AY79" s="368"/>
      <c r="AZ79" s="368"/>
      <c r="BA79" s="368"/>
      <c r="BB79" s="368"/>
      <c r="BC79" s="368"/>
      <c r="BD79" s="368"/>
      <c r="BE79" s="368"/>
      <c r="BF79" s="368"/>
      <c r="BG79" s="368"/>
    </row>
    <row r="80" spans="2:59" hidden="1" x14ac:dyDescent="0.25">
      <c r="B80" s="220" t="str">
        <f>IF(Capacity!N73="","",Capacity!N73)</f>
        <v/>
      </c>
      <c r="C80" s="221" t="str">
        <f>IF(B80="","",Capacity!Q73)</f>
        <v/>
      </c>
      <c r="D80" s="312" t="str">
        <f>IF(B80="","",Capacity!R73)</f>
        <v/>
      </c>
      <c r="E80" s="221" t="str">
        <f>IF(B80="","",IF(COUNTBLANK(H80:BG80)=52,SUM('Capacity calculation (hide)'!H168:BG168),52-COUNTBLANK(H80:BG80)))</f>
        <v/>
      </c>
      <c r="F80" s="313" t="str">
        <f>'Capacity calculation (hide)'!BI168</f>
        <v/>
      </c>
      <c r="H80" s="368"/>
      <c r="I80" s="368"/>
      <c r="J80" s="368"/>
      <c r="K80" s="368"/>
      <c r="L80" s="368"/>
      <c r="M80" s="368"/>
      <c r="N80" s="368"/>
      <c r="O80" s="368"/>
      <c r="P80" s="368"/>
      <c r="Q80" s="368"/>
      <c r="R80" s="368"/>
      <c r="S80" s="368"/>
      <c r="T80" s="368"/>
      <c r="U80" s="368"/>
      <c r="V80" s="368"/>
      <c r="W80" s="368"/>
      <c r="X80" s="368"/>
      <c r="Y80" s="368"/>
      <c r="Z80" s="368"/>
      <c r="AA80" s="368"/>
      <c r="AB80" s="368"/>
      <c r="AC80" s="368"/>
      <c r="AD80" s="368"/>
      <c r="AE80" s="368"/>
      <c r="AF80" s="368"/>
      <c r="AG80" s="368"/>
      <c r="AH80" s="368"/>
      <c r="AI80" s="368"/>
      <c r="AJ80" s="368"/>
      <c r="AK80" s="368"/>
      <c r="AL80" s="368"/>
      <c r="AM80" s="368"/>
      <c r="AN80" s="368"/>
      <c r="AO80" s="368"/>
      <c r="AP80" s="368"/>
      <c r="AQ80" s="368"/>
      <c r="AR80" s="368"/>
      <c r="AS80" s="368"/>
      <c r="AT80" s="368"/>
      <c r="AU80" s="368"/>
      <c r="AV80" s="368"/>
      <c r="AW80" s="368"/>
      <c r="AX80" s="368"/>
      <c r="AY80" s="368"/>
      <c r="AZ80" s="368"/>
      <c r="BA80" s="368"/>
      <c r="BB80" s="368"/>
      <c r="BC80" s="368"/>
      <c r="BD80" s="368"/>
      <c r="BE80" s="368"/>
      <c r="BF80" s="368"/>
      <c r="BG80" s="368"/>
    </row>
    <row r="81" spans="2:59" hidden="1" x14ac:dyDescent="0.25">
      <c r="B81" s="220" t="str">
        <f>IF(Capacity!N74="","",Capacity!N74)</f>
        <v/>
      </c>
      <c r="C81" s="221" t="str">
        <f>IF(B81="","",Capacity!Q74)</f>
        <v/>
      </c>
      <c r="D81" s="312" t="str">
        <f>IF(B81="","",Capacity!R74)</f>
        <v/>
      </c>
      <c r="E81" s="221" t="str">
        <f>IF(B81="","",IF(COUNTBLANK(H81:BG81)=52,SUM('Capacity calculation (hide)'!H169:BG169),52-COUNTBLANK(H81:BG81)))</f>
        <v/>
      </c>
      <c r="F81" s="313" t="str">
        <f>'Capacity calculation (hide)'!BI169</f>
        <v/>
      </c>
      <c r="H81" s="368"/>
      <c r="I81" s="368"/>
      <c r="J81" s="368"/>
      <c r="K81" s="368"/>
      <c r="L81" s="368"/>
      <c r="M81" s="368"/>
      <c r="N81" s="368"/>
      <c r="O81" s="368"/>
      <c r="P81" s="368"/>
      <c r="Q81" s="368"/>
      <c r="R81" s="368"/>
      <c r="S81" s="368"/>
      <c r="T81" s="368"/>
      <c r="U81" s="368"/>
      <c r="V81" s="368"/>
      <c r="W81" s="368"/>
      <c r="X81" s="368"/>
      <c r="Y81" s="368"/>
      <c r="Z81" s="368"/>
      <c r="AA81" s="368"/>
      <c r="AB81" s="368"/>
      <c r="AC81" s="368"/>
      <c r="AD81" s="368"/>
      <c r="AE81" s="368"/>
      <c r="AF81" s="368"/>
      <c r="AG81" s="368"/>
      <c r="AH81" s="368"/>
      <c r="AI81" s="368"/>
      <c r="AJ81" s="368"/>
      <c r="AK81" s="368"/>
      <c r="AL81" s="368"/>
      <c r="AM81" s="368"/>
      <c r="AN81" s="368"/>
      <c r="AO81" s="368"/>
      <c r="AP81" s="368"/>
      <c r="AQ81" s="368"/>
      <c r="AR81" s="368"/>
      <c r="AS81" s="368"/>
      <c r="AT81" s="368"/>
      <c r="AU81" s="368"/>
      <c r="AV81" s="368"/>
      <c r="AW81" s="368"/>
      <c r="AX81" s="368"/>
      <c r="AY81" s="368"/>
      <c r="AZ81" s="368"/>
      <c r="BA81" s="368"/>
      <c r="BB81" s="368"/>
      <c r="BC81" s="368"/>
      <c r="BD81" s="368"/>
      <c r="BE81" s="368"/>
      <c r="BF81" s="368"/>
      <c r="BG81" s="368"/>
    </row>
    <row r="82" spans="2:59" hidden="1" x14ac:dyDescent="0.25">
      <c r="B82" s="220" t="str">
        <f>IF(Capacity!N75="","",Capacity!N75)</f>
        <v/>
      </c>
      <c r="C82" s="221" t="str">
        <f>IF(B82="","",Capacity!Q75)</f>
        <v/>
      </c>
      <c r="D82" s="312" t="str">
        <f>IF(B82="","",Capacity!R75)</f>
        <v/>
      </c>
      <c r="E82" s="221" t="str">
        <f>IF(B82="","",IF(COUNTBLANK(H82:BG82)=52,SUM('Capacity calculation (hide)'!H170:BG170),52-COUNTBLANK(H82:BG82)))</f>
        <v/>
      </c>
      <c r="F82" s="313" t="str">
        <f>'Capacity calculation (hide)'!BI170</f>
        <v/>
      </c>
      <c r="H82" s="368"/>
      <c r="I82" s="368"/>
      <c r="J82" s="368"/>
      <c r="K82" s="368"/>
      <c r="L82" s="368"/>
      <c r="M82" s="368"/>
      <c r="N82" s="368"/>
      <c r="O82" s="368"/>
      <c r="P82" s="368"/>
      <c r="Q82" s="368"/>
      <c r="R82" s="368"/>
      <c r="S82" s="368"/>
      <c r="T82" s="368"/>
      <c r="U82" s="368"/>
      <c r="V82" s="368"/>
      <c r="W82" s="368"/>
      <c r="X82" s="368"/>
      <c r="Y82" s="368"/>
      <c r="Z82" s="368"/>
      <c r="AA82" s="368"/>
      <c r="AB82" s="368"/>
      <c r="AC82" s="368"/>
      <c r="AD82" s="368"/>
      <c r="AE82" s="368"/>
      <c r="AF82" s="368"/>
      <c r="AG82" s="368"/>
      <c r="AH82" s="368"/>
      <c r="AI82" s="368"/>
      <c r="AJ82" s="368"/>
      <c r="AK82" s="368"/>
      <c r="AL82" s="368"/>
      <c r="AM82" s="368"/>
      <c r="AN82" s="368"/>
      <c r="AO82" s="368"/>
      <c r="AP82" s="368"/>
      <c r="AQ82" s="368"/>
      <c r="AR82" s="368"/>
      <c r="AS82" s="368"/>
      <c r="AT82" s="368"/>
      <c r="AU82" s="368"/>
      <c r="AV82" s="368"/>
      <c r="AW82" s="368"/>
      <c r="AX82" s="368"/>
      <c r="AY82" s="368"/>
      <c r="AZ82" s="368"/>
      <c r="BA82" s="368"/>
      <c r="BB82" s="368"/>
      <c r="BC82" s="368"/>
      <c r="BD82" s="368"/>
      <c r="BE82" s="368"/>
      <c r="BF82" s="368"/>
      <c r="BG82" s="368"/>
    </row>
    <row r="83" spans="2:59" hidden="1" x14ac:dyDescent="0.25">
      <c r="B83" s="220" t="str">
        <f>IF(Capacity!N76="","",Capacity!N76)</f>
        <v/>
      </c>
      <c r="C83" s="221" t="str">
        <f>IF(B83="","",Capacity!Q76)</f>
        <v/>
      </c>
      <c r="D83" s="312" t="str">
        <f>IF(B83="","",Capacity!R76)</f>
        <v/>
      </c>
      <c r="E83" s="221" t="str">
        <f>IF(B83="","",IF(COUNTBLANK(H83:BG83)=52,SUM('Capacity calculation (hide)'!H171:BG171),52-COUNTBLANK(H83:BG83)))</f>
        <v/>
      </c>
      <c r="F83" s="313" t="str">
        <f>'Capacity calculation (hide)'!BI171</f>
        <v/>
      </c>
      <c r="H83" s="368"/>
      <c r="I83" s="368"/>
      <c r="J83" s="368"/>
      <c r="K83" s="368"/>
      <c r="L83" s="368"/>
      <c r="M83" s="368"/>
      <c r="N83" s="368"/>
      <c r="O83" s="368"/>
      <c r="P83" s="368"/>
      <c r="Q83" s="368"/>
      <c r="R83" s="368"/>
      <c r="S83" s="368"/>
      <c r="T83" s="368"/>
      <c r="U83" s="368"/>
      <c r="V83" s="368"/>
      <c r="W83" s="368"/>
      <c r="X83" s="368"/>
      <c r="Y83" s="368"/>
      <c r="Z83" s="368"/>
      <c r="AA83" s="368"/>
      <c r="AB83" s="368"/>
      <c r="AC83" s="368"/>
      <c r="AD83" s="368"/>
      <c r="AE83" s="368"/>
      <c r="AF83" s="368"/>
      <c r="AG83" s="368"/>
      <c r="AH83" s="368"/>
      <c r="AI83" s="368"/>
      <c r="AJ83" s="368"/>
      <c r="AK83" s="368"/>
      <c r="AL83" s="368"/>
      <c r="AM83" s="368"/>
      <c r="AN83" s="368"/>
      <c r="AO83" s="368"/>
      <c r="AP83" s="368"/>
      <c r="AQ83" s="368"/>
      <c r="AR83" s="368"/>
      <c r="AS83" s="368"/>
      <c r="AT83" s="368"/>
      <c r="AU83" s="368"/>
      <c r="AV83" s="368"/>
      <c r="AW83" s="368"/>
      <c r="AX83" s="368"/>
      <c r="AY83" s="368"/>
      <c r="AZ83" s="368"/>
      <c r="BA83" s="368"/>
      <c r="BB83" s="368"/>
      <c r="BC83" s="368"/>
      <c r="BD83" s="368"/>
      <c r="BE83" s="368"/>
      <c r="BF83" s="368"/>
      <c r="BG83" s="368"/>
    </row>
    <row r="84" spans="2:59" hidden="1" x14ac:dyDescent="0.25">
      <c r="B84" s="220" t="str">
        <f>IF(Capacity!N77="","",Capacity!N77)</f>
        <v/>
      </c>
      <c r="C84" s="221" t="str">
        <f>IF(B84="","",Capacity!Q77)</f>
        <v/>
      </c>
      <c r="D84" s="312" t="str">
        <f>IF(B84="","",Capacity!R77)</f>
        <v/>
      </c>
      <c r="E84" s="221" t="str">
        <f>IF(B84="","",IF(COUNTBLANK(H84:BG84)=52,SUM('Capacity calculation (hide)'!H172:BG172),52-COUNTBLANK(H84:BG84)))</f>
        <v/>
      </c>
      <c r="F84" s="313" t="str">
        <f>'Capacity calculation (hide)'!BI172</f>
        <v/>
      </c>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row>
    <row r="85" spans="2:59" hidden="1" x14ac:dyDescent="0.25">
      <c r="B85" s="220" t="str">
        <f>IF(Capacity!N78="","",Capacity!N78)</f>
        <v/>
      </c>
      <c r="C85" s="221" t="str">
        <f>IF(B85="","",Capacity!Q78)</f>
        <v/>
      </c>
      <c r="D85" s="312" t="str">
        <f>IF(B85="","",Capacity!R78)</f>
        <v/>
      </c>
      <c r="E85" s="221" t="str">
        <f>IF(B85="","",IF(COUNTBLANK(H85:BG85)=52,SUM('Capacity calculation (hide)'!H173:BG173),52-COUNTBLANK(H85:BG85)))</f>
        <v/>
      </c>
      <c r="F85" s="313" t="str">
        <f>'Capacity calculation (hide)'!BI173</f>
        <v/>
      </c>
      <c r="H85" s="368"/>
      <c r="I85" s="368"/>
      <c r="J85" s="368"/>
      <c r="K85" s="368"/>
      <c r="L85" s="368"/>
      <c r="M85" s="368"/>
      <c r="N85" s="368"/>
      <c r="O85" s="368"/>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Q85" s="368"/>
      <c r="AR85" s="368"/>
      <c r="AS85" s="368"/>
      <c r="AT85" s="368"/>
      <c r="AU85" s="368"/>
      <c r="AV85" s="368"/>
      <c r="AW85" s="368"/>
      <c r="AX85" s="368"/>
      <c r="AY85" s="368"/>
      <c r="AZ85" s="368"/>
      <c r="BA85" s="368"/>
      <c r="BB85" s="368"/>
      <c r="BC85" s="368"/>
      <c r="BD85" s="368"/>
      <c r="BE85" s="368"/>
      <c r="BF85" s="368"/>
      <c r="BG85" s="368"/>
    </row>
    <row r="86" spans="2:59" hidden="1" x14ac:dyDescent="0.25">
      <c r="B86" s="220" t="str">
        <f>IF(Capacity!N79="","",Capacity!N79)</f>
        <v/>
      </c>
      <c r="C86" s="221" t="str">
        <f>IF(B86="","",Capacity!Q79)</f>
        <v/>
      </c>
      <c r="D86" s="312" t="str">
        <f>IF(B86="","",Capacity!R79)</f>
        <v/>
      </c>
      <c r="E86" s="221" t="str">
        <f>IF(B86="","",IF(COUNTBLANK(H86:BG86)=52,SUM('Capacity calculation (hide)'!H174:BG174),52-COUNTBLANK(H86:BG86)))</f>
        <v/>
      </c>
      <c r="F86" s="313" t="str">
        <f>'Capacity calculation (hide)'!BI174</f>
        <v/>
      </c>
      <c r="H86" s="368"/>
      <c r="I86" s="368"/>
      <c r="J86" s="368"/>
      <c r="K86" s="368"/>
      <c r="L86" s="368"/>
      <c r="M86" s="368"/>
      <c r="N86" s="368"/>
      <c r="O86" s="368"/>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Q86" s="368"/>
      <c r="AR86" s="368"/>
      <c r="AS86" s="368"/>
      <c r="AT86" s="368"/>
      <c r="AU86" s="368"/>
      <c r="AV86" s="368"/>
      <c r="AW86" s="368"/>
      <c r="AX86" s="368"/>
      <c r="AY86" s="368"/>
      <c r="AZ86" s="368"/>
      <c r="BA86" s="368"/>
      <c r="BB86" s="368"/>
      <c r="BC86" s="368"/>
      <c r="BD86" s="368"/>
      <c r="BE86" s="368"/>
      <c r="BF86" s="368"/>
      <c r="BG86" s="368"/>
    </row>
    <row r="87" spans="2:59" hidden="1" x14ac:dyDescent="0.25">
      <c r="B87" s="220" t="str">
        <f>IF(Capacity!N80="","",Capacity!N80)</f>
        <v/>
      </c>
      <c r="C87" s="221" t="str">
        <f>IF(B87="","",Capacity!Q80)</f>
        <v/>
      </c>
      <c r="D87" s="312" t="str">
        <f>IF(B87="","",Capacity!R80)</f>
        <v/>
      </c>
      <c r="E87" s="221" t="str">
        <f>IF(B87="","",IF(COUNTBLANK(H87:BG87)=52,SUM('Capacity calculation (hide)'!H175:BG175),52-COUNTBLANK(H87:BG87)))</f>
        <v/>
      </c>
      <c r="F87" s="313" t="str">
        <f>'Capacity calculation (hide)'!BI175</f>
        <v/>
      </c>
      <c r="H87" s="368"/>
      <c r="I87" s="368"/>
      <c r="J87" s="368"/>
      <c r="K87" s="368"/>
      <c r="L87" s="368"/>
      <c r="M87" s="368"/>
      <c r="N87" s="368"/>
      <c r="O87" s="368"/>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Q87" s="368"/>
      <c r="AR87" s="368"/>
      <c r="AS87" s="368"/>
      <c r="AT87" s="368"/>
      <c r="AU87" s="368"/>
      <c r="AV87" s="368"/>
      <c r="AW87" s="368"/>
      <c r="AX87" s="368"/>
      <c r="AY87" s="368"/>
      <c r="AZ87" s="368"/>
      <c r="BA87" s="368"/>
      <c r="BB87" s="368"/>
      <c r="BC87" s="368"/>
      <c r="BD87" s="368"/>
      <c r="BE87" s="368"/>
      <c r="BF87" s="368"/>
      <c r="BG87" s="368"/>
    </row>
    <row r="88" spans="2:59" hidden="1" x14ac:dyDescent="0.25">
      <c r="B88" s="220" t="str">
        <f>IF(Capacity!N81="","",Capacity!N81)</f>
        <v/>
      </c>
      <c r="C88" s="221" t="str">
        <f>IF(B88="","",Capacity!Q81)</f>
        <v/>
      </c>
      <c r="D88" s="312" t="str">
        <f>IF(B88="","",Capacity!R81)</f>
        <v/>
      </c>
      <c r="E88" s="221" t="str">
        <f>IF(B88="","",IF(COUNTBLANK(H88:BG88)=52,SUM('Capacity calculation (hide)'!H176:BG176),52-COUNTBLANK(H88:BG88)))</f>
        <v/>
      </c>
      <c r="F88" s="313" t="str">
        <f>'Capacity calculation (hide)'!BI176</f>
        <v/>
      </c>
      <c r="H88" s="368"/>
      <c r="I88" s="368"/>
      <c r="J88" s="368"/>
      <c r="K88" s="368"/>
      <c r="L88" s="368"/>
      <c r="M88" s="368"/>
      <c r="N88" s="368"/>
      <c r="O88" s="368"/>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Q88" s="368"/>
      <c r="AR88" s="368"/>
      <c r="AS88" s="368"/>
      <c r="AT88" s="368"/>
      <c r="AU88" s="368"/>
      <c r="AV88" s="368"/>
      <c r="AW88" s="368"/>
      <c r="AX88" s="368"/>
      <c r="AY88" s="368"/>
      <c r="AZ88" s="368"/>
      <c r="BA88" s="368"/>
      <c r="BB88" s="368"/>
      <c r="BC88" s="368"/>
      <c r="BD88" s="368"/>
      <c r="BE88" s="368"/>
      <c r="BF88" s="368"/>
      <c r="BG88" s="368"/>
    </row>
    <row r="89" spans="2:59" hidden="1" x14ac:dyDescent="0.25">
      <c r="B89" s="220" t="str">
        <f>IF(Capacity!N82="","",Capacity!N82)</f>
        <v/>
      </c>
      <c r="C89" s="221" t="str">
        <f>IF(B89="","",Capacity!Q82)</f>
        <v/>
      </c>
      <c r="D89" s="312" t="str">
        <f>IF(B89="","",Capacity!R82)</f>
        <v/>
      </c>
      <c r="E89" s="221" t="str">
        <f>IF(B89="","",IF(COUNTBLANK(H89:BG89)=52,SUM('Capacity calculation (hide)'!H177:BG177),52-COUNTBLANK(H89:BG89)))</f>
        <v/>
      </c>
      <c r="F89" s="313" t="str">
        <f>'Capacity calculation (hide)'!BI177</f>
        <v/>
      </c>
      <c r="H89" s="368"/>
      <c r="I89" s="368"/>
      <c r="J89" s="368"/>
      <c r="K89" s="368"/>
      <c r="L89" s="368"/>
      <c r="M89" s="368"/>
      <c r="N89" s="368"/>
      <c r="O89" s="368"/>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Q89" s="368"/>
      <c r="AR89" s="368"/>
      <c r="AS89" s="368"/>
      <c r="AT89" s="368"/>
      <c r="AU89" s="368"/>
      <c r="AV89" s="368"/>
      <c r="AW89" s="368"/>
      <c r="AX89" s="368"/>
      <c r="AY89" s="368"/>
      <c r="AZ89" s="368"/>
      <c r="BA89" s="368"/>
      <c r="BB89" s="368"/>
      <c r="BC89" s="368"/>
      <c r="BD89" s="368"/>
      <c r="BE89" s="368"/>
      <c r="BF89" s="368"/>
      <c r="BG89" s="368"/>
    </row>
    <row r="90" spans="2:59" hidden="1" x14ac:dyDescent="0.25">
      <c r="B90" s="220" t="str">
        <f>IF(Capacity!N83="","",Capacity!N83)</f>
        <v/>
      </c>
      <c r="C90" s="221" t="str">
        <f>IF(B90="","",Capacity!Q83)</f>
        <v/>
      </c>
      <c r="D90" s="312" t="str">
        <f>IF(B90="","",Capacity!R83)</f>
        <v/>
      </c>
      <c r="E90" s="221" t="str">
        <f>IF(B90="","",IF(COUNTBLANK(H90:BG90)=52,SUM('Capacity calculation (hide)'!H178:BG178),52-COUNTBLANK(H90:BG90)))</f>
        <v/>
      </c>
      <c r="F90" s="313" t="str">
        <f>'Capacity calculation (hide)'!BI178</f>
        <v/>
      </c>
      <c r="H90" s="368"/>
      <c r="I90" s="368"/>
      <c r="J90" s="368"/>
      <c r="K90" s="368"/>
      <c r="L90" s="368"/>
      <c r="M90" s="368"/>
      <c r="N90" s="368"/>
      <c r="O90" s="368"/>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Q90" s="368"/>
      <c r="AR90" s="368"/>
      <c r="AS90" s="368"/>
      <c r="AT90" s="368"/>
      <c r="AU90" s="368"/>
      <c r="AV90" s="368"/>
      <c r="AW90" s="368"/>
      <c r="AX90" s="368"/>
      <c r="AY90" s="368"/>
      <c r="AZ90" s="368"/>
      <c r="BA90" s="368"/>
      <c r="BB90" s="368"/>
      <c r="BC90" s="368"/>
      <c r="BD90" s="368"/>
      <c r="BE90" s="368"/>
      <c r="BF90" s="368"/>
      <c r="BG90" s="368"/>
    </row>
    <row r="91" spans="2:59" hidden="1" x14ac:dyDescent="0.25">
      <c r="B91" s="220" t="str">
        <f>IF(Capacity!N84="","",Capacity!N84)</f>
        <v/>
      </c>
      <c r="C91" s="221" t="str">
        <f>IF(B91="","",Capacity!Q84)</f>
        <v/>
      </c>
      <c r="D91" s="312" t="str">
        <f>IF(B91="","",Capacity!R84)</f>
        <v/>
      </c>
      <c r="E91" s="221" t="str">
        <f>IF(B91="","",IF(COUNTBLANK(H91:BG91)=52,SUM('Capacity calculation (hide)'!H179:BG179),52-COUNTBLANK(H91:BG91)))</f>
        <v/>
      </c>
      <c r="F91" s="313" t="str">
        <f>'Capacity calculation (hide)'!BI179</f>
        <v/>
      </c>
      <c r="H91" s="368"/>
      <c r="I91" s="368"/>
      <c r="J91" s="368"/>
      <c r="K91" s="368"/>
      <c r="L91" s="368"/>
      <c r="M91" s="368"/>
      <c r="N91" s="368"/>
      <c r="O91" s="368"/>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Q91" s="368"/>
      <c r="AR91" s="368"/>
      <c r="AS91" s="368"/>
      <c r="AT91" s="368"/>
      <c r="AU91" s="368"/>
      <c r="AV91" s="368"/>
      <c r="AW91" s="368"/>
      <c r="AX91" s="368"/>
      <c r="AY91" s="368"/>
      <c r="AZ91" s="368"/>
      <c r="BA91" s="368"/>
      <c r="BB91" s="368"/>
      <c r="BC91" s="368"/>
      <c r="BD91" s="368"/>
      <c r="BE91" s="368"/>
      <c r="BF91" s="368"/>
      <c r="BG91" s="368"/>
    </row>
    <row r="92" spans="2:59" hidden="1" x14ac:dyDescent="0.25">
      <c r="B92" s="220" t="str">
        <f>IF(Capacity!N85="","",Capacity!N85)</f>
        <v/>
      </c>
      <c r="C92" s="221" t="str">
        <f>IF(B92="","",Capacity!Q85)</f>
        <v/>
      </c>
      <c r="D92" s="312" t="str">
        <f>IF(B92="","",Capacity!R85)</f>
        <v/>
      </c>
      <c r="E92" s="221" t="str">
        <f>IF(B92="","",IF(COUNTBLANK(H92:BG92)=52,SUM('Capacity calculation (hide)'!H180:BG180),52-COUNTBLANK(H92:BG92)))</f>
        <v/>
      </c>
      <c r="F92" s="313" t="str">
        <f>'Capacity calculation (hide)'!BI180</f>
        <v/>
      </c>
      <c r="H92" s="368"/>
      <c r="I92" s="368"/>
      <c r="J92" s="368"/>
      <c r="K92" s="368"/>
      <c r="L92" s="368"/>
      <c r="M92" s="368"/>
      <c r="N92" s="368"/>
      <c r="O92" s="368"/>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Q92" s="368"/>
      <c r="AR92" s="368"/>
      <c r="AS92" s="368"/>
      <c r="AT92" s="368"/>
      <c r="AU92" s="368"/>
      <c r="AV92" s="368"/>
      <c r="AW92" s="368"/>
      <c r="AX92" s="368"/>
      <c r="AY92" s="368"/>
      <c r="AZ92" s="368"/>
      <c r="BA92" s="368"/>
      <c r="BB92" s="368"/>
      <c r="BC92" s="368"/>
      <c r="BD92" s="368"/>
      <c r="BE92" s="368"/>
      <c r="BF92" s="368"/>
      <c r="BG92" s="368"/>
    </row>
    <row r="93" spans="2:59" hidden="1" x14ac:dyDescent="0.25">
      <c r="B93" s="220" t="str">
        <f>IF(Capacity!N86="","",Capacity!N86)</f>
        <v/>
      </c>
      <c r="C93" s="221" t="str">
        <f>IF(B93="","",Capacity!Q86)</f>
        <v/>
      </c>
      <c r="D93" s="312" t="str">
        <f>IF(B93="","",Capacity!R86)</f>
        <v/>
      </c>
      <c r="E93" s="221" t="str">
        <f>IF(B93="","",IF(COUNTBLANK(H93:BG93)=52,SUM('Capacity calculation (hide)'!H181:BG181),52-COUNTBLANK(H93:BG93)))</f>
        <v/>
      </c>
      <c r="F93" s="313" t="str">
        <f>'Capacity calculation (hide)'!BI181</f>
        <v/>
      </c>
      <c r="H93" s="368"/>
      <c r="I93" s="368"/>
      <c r="J93" s="368"/>
      <c r="K93" s="368"/>
      <c r="L93" s="368"/>
      <c r="M93" s="368"/>
      <c r="N93" s="368"/>
      <c r="O93" s="368"/>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Q93" s="368"/>
      <c r="AR93" s="368"/>
      <c r="AS93" s="368"/>
      <c r="AT93" s="368"/>
      <c r="AU93" s="368"/>
      <c r="AV93" s="368"/>
      <c r="AW93" s="368"/>
      <c r="AX93" s="368"/>
      <c r="AY93" s="368"/>
      <c r="AZ93" s="368"/>
      <c r="BA93" s="368"/>
      <c r="BB93" s="368"/>
      <c r="BC93" s="368"/>
      <c r="BD93" s="368"/>
      <c r="BE93" s="368"/>
      <c r="BF93" s="368"/>
      <c r="BG93" s="368"/>
    </row>
    <row r="94" spans="2:59" hidden="1" x14ac:dyDescent="0.25">
      <c r="B94" s="220" t="str">
        <f>IF(Capacity!N87="","",Capacity!N87)</f>
        <v/>
      </c>
      <c r="C94" s="221" t="str">
        <f>IF(B94="","",Capacity!Q87)</f>
        <v/>
      </c>
      <c r="D94" s="312" t="str">
        <f>IF(B94="","",Capacity!R87)</f>
        <v/>
      </c>
      <c r="E94" s="221" t="str">
        <f>IF(B94="","",IF(COUNTBLANK(H94:BG94)=52,SUM('Capacity calculation (hide)'!H182:BG182),52-COUNTBLANK(H94:BG94)))</f>
        <v/>
      </c>
      <c r="F94" s="313" t="str">
        <f>'Capacity calculation (hide)'!BI182</f>
        <v/>
      </c>
      <c r="H94" s="368"/>
      <c r="I94" s="368"/>
      <c r="J94" s="368"/>
      <c r="K94" s="368"/>
      <c r="L94" s="368"/>
      <c r="M94" s="368"/>
      <c r="N94" s="368"/>
      <c r="O94" s="368"/>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Q94" s="368"/>
      <c r="AR94" s="368"/>
      <c r="AS94" s="368"/>
      <c r="AT94" s="368"/>
      <c r="AU94" s="368"/>
      <c r="AV94" s="368"/>
      <c r="AW94" s="368"/>
      <c r="AX94" s="368"/>
      <c r="AY94" s="368"/>
      <c r="AZ94" s="368"/>
      <c r="BA94" s="368"/>
      <c r="BB94" s="368"/>
      <c r="BC94" s="368"/>
      <c r="BD94" s="368"/>
      <c r="BE94" s="368"/>
      <c r="BF94" s="368"/>
      <c r="BG94" s="368"/>
    </row>
    <row r="95" spans="2:59" hidden="1" x14ac:dyDescent="0.25">
      <c r="B95" s="220" t="str">
        <f>IF(Capacity!N88="","",Capacity!N88)</f>
        <v/>
      </c>
      <c r="C95" s="221" t="str">
        <f>IF(B95="","",Capacity!Q88)</f>
        <v/>
      </c>
      <c r="D95" s="312" t="str">
        <f>IF(B95="","",Capacity!R88)</f>
        <v/>
      </c>
      <c r="E95" s="221" t="str">
        <f>IF(B95="","",IF(COUNTBLANK(H95:BG95)=52,SUM('Capacity calculation (hide)'!H183:BG183),52-COUNTBLANK(H95:BG95)))</f>
        <v/>
      </c>
      <c r="F95" s="313" t="str">
        <f>'Capacity calculation (hide)'!BI183</f>
        <v/>
      </c>
      <c r="H95" s="368"/>
      <c r="I95" s="368"/>
      <c r="J95" s="368"/>
      <c r="K95" s="368"/>
      <c r="L95" s="368"/>
      <c r="M95" s="368"/>
      <c r="N95" s="368"/>
      <c r="O95" s="368"/>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Q95" s="368"/>
      <c r="AR95" s="368"/>
      <c r="AS95" s="368"/>
      <c r="AT95" s="368"/>
      <c r="AU95" s="368"/>
      <c r="AV95" s="368"/>
      <c r="AW95" s="368"/>
      <c r="AX95" s="368"/>
      <c r="AY95" s="368"/>
      <c r="AZ95" s="368"/>
      <c r="BA95" s="368"/>
      <c r="BB95" s="368"/>
      <c r="BC95" s="368"/>
      <c r="BD95" s="368"/>
      <c r="BE95" s="368"/>
      <c r="BF95" s="368"/>
      <c r="BG95" s="368"/>
    </row>
    <row r="96" spans="2:59" hidden="1" x14ac:dyDescent="0.25">
      <c r="B96" s="220" t="str">
        <f>IF(Capacity!N89="","",Capacity!N89)</f>
        <v/>
      </c>
      <c r="C96" s="221" t="str">
        <f>IF(B96="","",Capacity!Q89)</f>
        <v/>
      </c>
      <c r="D96" s="312" t="str">
        <f>IF(B96="","",Capacity!R89)</f>
        <v/>
      </c>
      <c r="E96" s="221" t="str">
        <f>IF(B96="","",IF(COUNTBLANK(H96:BG96)=52,SUM('Capacity calculation (hide)'!H184:BG184),52-COUNTBLANK(H96:BG96)))</f>
        <v/>
      </c>
      <c r="F96" s="313" t="str">
        <f>'Capacity calculation (hide)'!BI184</f>
        <v/>
      </c>
      <c r="H96" s="368"/>
      <c r="I96" s="368"/>
      <c r="J96" s="368"/>
      <c r="K96" s="368"/>
      <c r="L96" s="368"/>
      <c r="M96" s="368"/>
      <c r="N96" s="368"/>
      <c r="O96" s="368"/>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Q96" s="368"/>
      <c r="AR96" s="368"/>
      <c r="AS96" s="368"/>
      <c r="AT96" s="368"/>
      <c r="AU96" s="368"/>
      <c r="AV96" s="368"/>
      <c r="AW96" s="368"/>
      <c r="AX96" s="368"/>
      <c r="AY96" s="368"/>
      <c r="AZ96" s="368"/>
      <c r="BA96" s="368"/>
      <c r="BB96" s="368"/>
      <c r="BC96" s="368"/>
      <c r="BD96" s="368"/>
      <c r="BE96" s="368"/>
      <c r="BF96" s="368"/>
      <c r="BG96" s="368"/>
    </row>
    <row r="97" spans="2:59" hidden="1" x14ac:dyDescent="0.25">
      <c r="B97" s="220" t="str">
        <f>IF(Capacity!N90="","",Capacity!N90)</f>
        <v/>
      </c>
      <c r="C97" s="221" t="str">
        <f>IF(B97="","",Capacity!Q90)</f>
        <v/>
      </c>
      <c r="D97" s="312" t="str">
        <f>IF(B97="","",Capacity!R90)</f>
        <v/>
      </c>
      <c r="E97" s="221" t="str">
        <f>IF(B97="","",IF(COUNTBLANK(H97:BG97)=52,SUM('Capacity calculation (hide)'!H185:BG185),52-COUNTBLANK(H97:BG97)))</f>
        <v/>
      </c>
      <c r="F97" s="313" t="str">
        <f>'Capacity calculation (hide)'!BI185</f>
        <v/>
      </c>
      <c r="H97" s="368"/>
      <c r="I97" s="368"/>
      <c r="J97" s="368"/>
      <c r="K97" s="368"/>
      <c r="L97" s="368"/>
      <c r="M97" s="368"/>
      <c r="N97" s="368"/>
      <c r="O97" s="368"/>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Q97" s="368"/>
      <c r="AR97" s="368"/>
      <c r="AS97" s="368"/>
      <c r="AT97" s="368"/>
      <c r="AU97" s="368"/>
      <c r="AV97" s="368"/>
      <c r="AW97" s="368"/>
      <c r="AX97" s="368"/>
      <c r="AY97" s="368"/>
      <c r="AZ97" s="368"/>
      <c r="BA97" s="368"/>
      <c r="BB97" s="368"/>
      <c r="BC97" s="368"/>
      <c r="BD97" s="368"/>
      <c r="BE97" s="368"/>
      <c r="BF97" s="368"/>
      <c r="BG97" s="368"/>
    </row>
    <row r="98" spans="2:59" hidden="1" x14ac:dyDescent="0.25">
      <c r="B98" s="220" t="str">
        <f>IF(Capacity!N91="","",Capacity!N91)</f>
        <v/>
      </c>
      <c r="C98" s="221" t="str">
        <f>IF(B98="","",Capacity!Q91)</f>
        <v/>
      </c>
      <c r="D98" s="312" t="str">
        <f>IF(B98="","",Capacity!R91)</f>
        <v/>
      </c>
      <c r="E98" s="221" t="str">
        <f>IF(B98="","",IF(COUNTBLANK(H98:BG98)=52,SUM('Capacity calculation (hide)'!H186:BG186),52-COUNTBLANK(H98:BG98)))</f>
        <v/>
      </c>
      <c r="F98" s="313" t="str">
        <f>'Capacity calculation (hide)'!BI186</f>
        <v/>
      </c>
      <c r="H98" s="368"/>
      <c r="I98" s="368"/>
      <c r="J98" s="368"/>
      <c r="K98" s="368"/>
      <c r="L98" s="368"/>
      <c r="M98" s="368"/>
      <c r="N98" s="368"/>
      <c r="O98" s="368"/>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Q98" s="368"/>
      <c r="AR98" s="368"/>
      <c r="AS98" s="368"/>
      <c r="AT98" s="368"/>
      <c r="AU98" s="368"/>
      <c r="AV98" s="368"/>
      <c r="AW98" s="368"/>
      <c r="AX98" s="368"/>
      <c r="AY98" s="368"/>
      <c r="AZ98" s="368"/>
      <c r="BA98" s="368"/>
      <c r="BB98" s="368"/>
      <c r="BC98" s="368"/>
      <c r="BD98" s="368"/>
      <c r="BE98" s="368"/>
      <c r="BF98" s="368"/>
      <c r="BG98" s="368"/>
    </row>
    <row r="99" spans="2:59" hidden="1" x14ac:dyDescent="0.25">
      <c r="B99" s="220" t="str">
        <f>IF(Capacity!N92="","",Capacity!N92)</f>
        <v/>
      </c>
      <c r="C99" s="221" t="str">
        <f>IF(B99="","",Capacity!Q92)</f>
        <v/>
      </c>
      <c r="D99" s="312" t="str">
        <f>IF(B99="","",Capacity!R92)</f>
        <v/>
      </c>
      <c r="E99" s="221" t="str">
        <f>IF(B99="","",IF(COUNTBLANK(H99:BG99)=52,SUM('Capacity calculation (hide)'!H187:BG187),52-COUNTBLANK(H99:BG99)))</f>
        <v/>
      </c>
      <c r="F99" s="313" t="str">
        <f>'Capacity calculation (hide)'!BI187</f>
        <v/>
      </c>
      <c r="H99" s="368"/>
      <c r="I99" s="368"/>
      <c r="J99" s="368"/>
      <c r="K99" s="368"/>
      <c r="L99" s="368"/>
      <c r="M99" s="368"/>
      <c r="N99" s="368"/>
      <c r="O99" s="368"/>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Q99" s="368"/>
      <c r="AR99" s="368"/>
      <c r="AS99" s="368"/>
      <c r="AT99" s="368"/>
      <c r="AU99" s="368"/>
      <c r="AV99" s="368"/>
      <c r="AW99" s="368"/>
      <c r="AX99" s="368"/>
      <c r="AY99" s="368"/>
      <c r="AZ99" s="368"/>
      <c r="BA99" s="368"/>
      <c r="BB99" s="368"/>
      <c r="BC99" s="368"/>
      <c r="BD99" s="368"/>
      <c r="BE99" s="368"/>
      <c r="BF99" s="368"/>
      <c r="BG99" s="368"/>
    </row>
    <row r="100" spans="2:59" hidden="1" x14ac:dyDescent="0.25">
      <c r="B100" s="220" t="str">
        <f>IF(Capacity!N93="","",Capacity!N93)</f>
        <v/>
      </c>
      <c r="C100" s="221" t="str">
        <f>IF(B100="","",Capacity!Q93)</f>
        <v/>
      </c>
      <c r="D100" s="312" t="str">
        <f>IF(B100="","",Capacity!R93)</f>
        <v/>
      </c>
      <c r="E100" s="221" t="str">
        <f>IF(B100="","",IF(COUNTBLANK(H100:BG100)=52,SUM('Capacity calculation (hide)'!H188:BG188),52-COUNTBLANK(H100:BG100)))</f>
        <v/>
      </c>
      <c r="F100" s="313" t="str">
        <f>'Capacity calculation (hide)'!BI188</f>
        <v/>
      </c>
      <c r="H100" s="368"/>
      <c r="I100" s="368"/>
      <c r="J100" s="368"/>
      <c r="K100" s="368"/>
      <c r="L100" s="368"/>
      <c r="M100" s="368"/>
      <c r="N100" s="368"/>
      <c r="O100" s="368"/>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Q100" s="368"/>
      <c r="AR100" s="368"/>
      <c r="AS100" s="368"/>
      <c r="AT100" s="368"/>
      <c r="AU100" s="368"/>
      <c r="AV100" s="368"/>
      <c r="AW100" s="368"/>
      <c r="AX100" s="368"/>
      <c r="AY100" s="368"/>
      <c r="AZ100" s="368"/>
      <c r="BA100" s="368"/>
      <c r="BB100" s="368"/>
      <c r="BC100" s="368"/>
      <c r="BD100" s="368"/>
      <c r="BE100" s="368"/>
      <c r="BF100" s="368"/>
      <c r="BG100" s="368"/>
    </row>
    <row r="101" spans="2:59" hidden="1" x14ac:dyDescent="0.25">
      <c r="B101" s="220" t="str">
        <f>IF(Capacity!N94="","",Capacity!N94)</f>
        <v/>
      </c>
      <c r="C101" s="221" t="str">
        <f>IF(B101="","",Capacity!Q94)</f>
        <v/>
      </c>
      <c r="D101" s="312" t="str">
        <f>IF(B101="","",Capacity!R94)</f>
        <v/>
      </c>
      <c r="E101" s="221" t="str">
        <f>IF(B101="","",IF(COUNTBLANK(H101:BG101)=52,SUM('Capacity calculation (hide)'!H189:BG189),52-COUNTBLANK(H101:BG101)))</f>
        <v/>
      </c>
      <c r="F101" s="313" t="str">
        <f>'Capacity calculation (hide)'!BI189</f>
        <v/>
      </c>
      <c r="H101" s="368"/>
      <c r="I101" s="368"/>
      <c r="J101" s="368"/>
      <c r="K101" s="368"/>
      <c r="L101" s="368"/>
      <c r="M101" s="368"/>
      <c r="N101" s="368"/>
      <c r="O101" s="368"/>
      <c r="P101" s="368"/>
      <c r="Q101" s="368"/>
      <c r="R101" s="368"/>
      <c r="S101" s="368"/>
      <c r="T101" s="368"/>
      <c r="U101" s="368"/>
      <c r="V101" s="368"/>
      <c r="W101" s="368"/>
      <c r="X101" s="368"/>
      <c r="Y101" s="368"/>
      <c r="Z101" s="368"/>
      <c r="AA101" s="368"/>
      <c r="AB101" s="368"/>
      <c r="AC101" s="368"/>
      <c r="AD101" s="368"/>
      <c r="AE101" s="368"/>
      <c r="AF101" s="368"/>
      <c r="AG101" s="368"/>
      <c r="AH101" s="368"/>
      <c r="AI101" s="368"/>
      <c r="AJ101" s="368"/>
      <c r="AK101" s="368"/>
      <c r="AL101" s="368"/>
      <c r="AM101" s="368"/>
      <c r="AN101" s="368"/>
      <c r="AO101" s="368"/>
      <c r="AP101" s="368"/>
      <c r="AQ101" s="368"/>
      <c r="AR101" s="368"/>
      <c r="AS101" s="368"/>
      <c r="AT101" s="368"/>
      <c r="AU101" s="368"/>
      <c r="AV101" s="368"/>
      <c r="AW101" s="368"/>
      <c r="AX101" s="368"/>
      <c r="AY101" s="368"/>
      <c r="AZ101" s="368"/>
      <c r="BA101" s="368"/>
      <c r="BB101" s="368"/>
      <c r="BC101" s="368"/>
      <c r="BD101" s="368"/>
      <c r="BE101" s="368"/>
      <c r="BF101" s="368"/>
      <c r="BG101" s="368"/>
    </row>
    <row r="102" spans="2:59" hidden="1" x14ac:dyDescent="0.25">
      <c r="B102" s="220" t="str">
        <f>IF(Capacity!N95="","",Capacity!N95)</f>
        <v/>
      </c>
      <c r="C102" s="221" t="str">
        <f>IF(B102="","",Capacity!Q95)</f>
        <v/>
      </c>
      <c r="D102" s="312" t="str">
        <f>IF(B102="","",Capacity!R95)</f>
        <v/>
      </c>
      <c r="E102" s="221" t="str">
        <f>IF(B102="","",IF(COUNTBLANK(H102:BG102)=52,SUM('Capacity calculation (hide)'!H190:BG190),52-COUNTBLANK(H102:BG102)))</f>
        <v/>
      </c>
      <c r="F102" s="313" t="str">
        <f>'Capacity calculation (hide)'!BI190</f>
        <v/>
      </c>
      <c r="H102" s="368"/>
      <c r="I102" s="368"/>
      <c r="J102" s="368"/>
      <c r="K102" s="368"/>
      <c r="L102" s="368"/>
      <c r="M102" s="368"/>
      <c r="N102" s="368"/>
      <c r="O102" s="368"/>
      <c r="P102" s="368"/>
      <c r="Q102" s="368"/>
      <c r="R102" s="368"/>
      <c r="S102" s="368"/>
      <c r="T102" s="368"/>
      <c r="U102" s="368"/>
      <c r="V102" s="368"/>
      <c r="W102" s="368"/>
      <c r="X102" s="368"/>
      <c r="Y102" s="368"/>
      <c r="Z102" s="368"/>
      <c r="AA102" s="368"/>
      <c r="AB102" s="368"/>
      <c r="AC102" s="368"/>
      <c r="AD102" s="368"/>
      <c r="AE102" s="368"/>
      <c r="AF102" s="368"/>
      <c r="AG102" s="368"/>
      <c r="AH102" s="368"/>
      <c r="AI102" s="368"/>
      <c r="AJ102" s="368"/>
      <c r="AK102" s="368"/>
      <c r="AL102" s="368"/>
      <c r="AM102" s="368"/>
      <c r="AN102" s="368"/>
      <c r="AO102" s="368"/>
      <c r="AP102" s="368"/>
      <c r="AQ102" s="368"/>
      <c r="AR102" s="368"/>
      <c r="AS102" s="368"/>
      <c r="AT102" s="368"/>
      <c r="AU102" s="368"/>
      <c r="AV102" s="368"/>
      <c r="AW102" s="368"/>
      <c r="AX102" s="368"/>
      <c r="AY102" s="368"/>
      <c r="AZ102" s="368"/>
      <c r="BA102" s="368"/>
      <c r="BB102" s="368"/>
      <c r="BC102" s="368"/>
      <c r="BD102" s="368"/>
      <c r="BE102" s="368"/>
      <c r="BF102" s="368"/>
      <c r="BG102" s="368"/>
    </row>
    <row r="103" spans="2:59" hidden="1" x14ac:dyDescent="0.25">
      <c r="B103" s="220" t="str">
        <f>IF(Capacity!N96="","",Capacity!N96)</f>
        <v/>
      </c>
      <c r="C103" s="221" t="str">
        <f>IF(B103="","",Capacity!Q96)</f>
        <v/>
      </c>
      <c r="D103" s="312" t="str">
        <f>IF(B103="","",Capacity!R96)</f>
        <v/>
      </c>
      <c r="E103" s="221" t="str">
        <f>IF(B103="","",IF(COUNTBLANK(H103:BG103)=52,SUM('Capacity calculation (hide)'!H191:BG191),52-COUNTBLANK(H103:BG103)))</f>
        <v/>
      </c>
      <c r="F103" s="313" t="str">
        <f>'Capacity calculation (hide)'!BI191</f>
        <v/>
      </c>
      <c r="H103" s="368"/>
      <c r="I103" s="368"/>
      <c r="J103" s="368"/>
      <c r="K103" s="368"/>
      <c r="L103" s="368"/>
      <c r="M103" s="368"/>
      <c r="N103" s="368"/>
      <c r="O103" s="368"/>
      <c r="P103" s="368"/>
      <c r="Q103" s="368"/>
      <c r="R103" s="368"/>
      <c r="S103" s="368"/>
      <c r="T103" s="368"/>
      <c r="U103" s="368"/>
      <c r="V103" s="368"/>
      <c r="W103" s="368"/>
      <c r="X103" s="368"/>
      <c r="Y103" s="368"/>
      <c r="Z103" s="368"/>
      <c r="AA103" s="368"/>
      <c r="AB103" s="368"/>
      <c r="AC103" s="368"/>
      <c r="AD103" s="368"/>
      <c r="AE103" s="368"/>
      <c r="AF103" s="368"/>
      <c r="AG103" s="368"/>
      <c r="AH103" s="368"/>
      <c r="AI103" s="368"/>
      <c r="AJ103" s="368"/>
      <c r="AK103" s="368"/>
      <c r="AL103" s="368"/>
      <c r="AM103" s="368"/>
      <c r="AN103" s="368"/>
      <c r="AO103" s="368"/>
      <c r="AP103" s="368"/>
      <c r="AQ103" s="368"/>
      <c r="AR103" s="368"/>
      <c r="AS103" s="368"/>
      <c r="AT103" s="368"/>
      <c r="AU103" s="368"/>
      <c r="AV103" s="368"/>
      <c r="AW103" s="368"/>
      <c r="AX103" s="368"/>
      <c r="AY103" s="368"/>
      <c r="AZ103" s="368"/>
      <c r="BA103" s="368"/>
      <c r="BB103" s="368"/>
      <c r="BC103" s="368"/>
      <c r="BD103" s="368"/>
      <c r="BE103" s="368"/>
      <c r="BF103" s="368"/>
      <c r="BG103" s="368"/>
    </row>
    <row r="104" spans="2:59" hidden="1" x14ac:dyDescent="0.25">
      <c r="B104" s="220" t="str">
        <f>IF(Capacity!N97="","",Capacity!N97)</f>
        <v/>
      </c>
      <c r="C104" s="221" t="str">
        <f>IF(B104="","",Capacity!Q97)</f>
        <v/>
      </c>
      <c r="D104" s="312" t="str">
        <f>IF(B104="","",Capacity!R97)</f>
        <v/>
      </c>
      <c r="E104" s="221" t="str">
        <f>IF(B104="","",IF(COUNTBLANK(H104:BG104)=52,SUM('Capacity calculation (hide)'!H192:BG192),52-COUNTBLANK(H104:BG104)))</f>
        <v/>
      </c>
      <c r="F104" s="313" t="str">
        <f>'Capacity calculation (hide)'!BI192</f>
        <v/>
      </c>
      <c r="H104" s="368"/>
      <c r="I104" s="368"/>
      <c r="J104" s="368"/>
      <c r="K104" s="368"/>
      <c r="L104" s="368"/>
      <c r="M104" s="368"/>
      <c r="N104" s="368"/>
      <c r="O104" s="368"/>
      <c r="P104" s="368"/>
      <c r="Q104" s="368"/>
      <c r="R104" s="368"/>
      <c r="S104" s="368"/>
      <c r="T104" s="368"/>
      <c r="U104" s="368"/>
      <c r="V104" s="368"/>
      <c r="W104" s="368"/>
      <c r="X104" s="368"/>
      <c r="Y104" s="368"/>
      <c r="Z104" s="368"/>
      <c r="AA104" s="368"/>
      <c r="AB104" s="368"/>
      <c r="AC104" s="368"/>
      <c r="AD104" s="368"/>
      <c r="AE104" s="368"/>
      <c r="AF104" s="368"/>
      <c r="AG104" s="368"/>
      <c r="AH104" s="368"/>
      <c r="AI104" s="368"/>
      <c r="AJ104" s="368"/>
      <c r="AK104" s="368"/>
      <c r="AL104" s="368"/>
      <c r="AM104" s="368"/>
      <c r="AN104" s="368"/>
      <c r="AO104" s="368"/>
      <c r="AP104" s="368"/>
      <c r="AQ104" s="368"/>
      <c r="AR104" s="368"/>
      <c r="AS104" s="368"/>
      <c r="AT104" s="368"/>
      <c r="AU104" s="368"/>
      <c r="AV104" s="368"/>
      <c r="AW104" s="368"/>
      <c r="AX104" s="368"/>
      <c r="AY104" s="368"/>
      <c r="AZ104" s="368"/>
      <c r="BA104" s="368"/>
      <c r="BB104" s="368"/>
      <c r="BC104" s="368"/>
      <c r="BD104" s="368"/>
      <c r="BE104" s="368"/>
      <c r="BF104" s="368"/>
      <c r="BG104" s="368"/>
    </row>
    <row r="105" spans="2:59" hidden="1" x14ac:dyDescent="0.25">
      <c r="B105" s="220" t="str">
        <f>IF(Capacity!N98="","",Capacity!N98)</f>
        <v/>
      </c>
      <c r="C105" s="221" t="str">
        <f>IF(B105="","",Capacity!Q98)</f>
        <v/>
      </c>
      <c r="D105" s="312" t="str">
        <f>IF(B105="","",Capacity!R98)</f>
        <v/>
      </c>
      <c r="E105" s="221" t="str">
        <f>IF(B105="","",IF(COUNTBLANK(H105:BG105)=52,SUM('Capacity calculation (hide)'!H193:BG193),52-COUNTBLANK(H105:BG105)))</f>
        <v/>
      </c>
      <c r="F105" s="313" t="str">
        <f>'Capacity calculation (hide)'!BI193</f>
        <v/>
      </c>
      <c r="H105" s="368"/>
      <c r="I105" s="368"/>
      <c r="J105" s="368"/>
      <c r="K105" s="368"/>
      <c r="L105" s="368"/>
      <c r="M105" s="368"/>
      <c r="N105" s="368"/>
      <c r="O105" s="368"/>
      <c r="P105" s="368"/>
      <c r="Q105" s="368"/>
      <c r="R105" s="368"/>
      <c r="S105" s="368"/>
      <c r="T105" s="368"/>
      <c r="U105" s="368"/>
      <c r="V105" s="368"/>
      <c r="W105" s="368"/>
      <c r="X105" s="368"/>
      <c r="Y105" s="368"/>
      <c r="Z105" s="368"/>
      <c r="AA105" s="368"/>
      <c r="AB105" s="368"/>
      <c r="AC105" s="368"/>
      <c r="AD105" s="368"/>
      <c r="AE105" s="368"/>
      <c r="AF105" s="368"/>
      <c r="AG105" s="368"/>
      <c r="AH105" s="368"/>
      <c r="AI105" s="368"/>
      <c r="AJ105" s="368"/>
      <c r="AK105" s="368"/>
      <c r="AL105" s="368"/>
      <c r="AM105" s="368"/>
      <c r="AN105" s="368"/>
      <c r="AO105" s="368"/>
      <c r="AP105" s="368"/>
      <c r="AQ105" s="368"/>
      <c r="AR105" s="368"/>
      <c r="AS105" s="368"/>
      <c r="AT105" s="368"/>
      <c r="AU105" s="368"/>
      <c r="AV105" s="368"/>
      <c r="AW105" s="368"/>
      <c r="AX105" s="368"/>
      <c r="AY105" s="368"/>
      <c r="AZ105" s="368"/>
      <c r="BA105" s="368"/>
      <c r="BB105" s="368"/>
      <c r="BC105" s="368"/>
      <c r="BD105" s="368"/>
      <c r="BE105" s="368"/>
      <c r="BF105" s="368"/>
      <c r="BG105" s="368"/>
    </row>
    <row r="106" spans="2:59" hidden="1" x14ac:dyDescent="0.25">
      <c r="B106" s="220" t="str">
        <f>IF(Capacity!N99="","",Capacity!N99)</f>
        <v/>
      </c>
      <c r="C106" s="221" t="str">
        <f>IF(B106="","",Capacity!Q99)</f>
        <v/>
      </c>
      <c r="D106" s="312" t="str">
        <f>IF(B106="","",Capacity!R99)</f>
        <v/>
      </c>
      <c r="E106" s="221" t="str">
        <f>IF(B106="","",IF(COUNTBLANK(H106:BG106)=52,SUM('Capacity calculation (hide)'!H194:BG194),52-COUNTBLANK(H106:BG106)))</f>
        <v/>
      </c>
      <c r="F106" s="313" t="str">
        <f>'Capacity calculation (hide)'!BI194</f>
        <v/>
      </c>
      <c r="H106" s="368"/>
      <c r="I106" s="368"/>
      <c r="J106" s="368"/>
      <c r="K106" s="368"/>
      <c r="L106" s="368"/>
      <c r="M106" s="368"/>
      <c r="N106" s="368"/>
      <c r="O106" s="368"/>
      <c r="P106" s="368"/>
      <c r="Q106" s="368"/>
      <c r="R106" s="368"/>
      <c r="S106" s="368"/>
      <c r="T106" s="368"/>
      <c r="U106" s="368"/>
      <c r="V106" s="368"/>
      <c r="W106" s="368"/>
      <c r="X106" s="368"/>
      <c r="Y106" s="368"/>
      <c r="Z106" s="368"/>
      <c r="AA106" s="368"/>
      <c r="AB106" s="368"/>
      <c r="AC106" s="368"/>
      <c r="AD106" s="368"/>
      <c r="AE106" s="368"/>
      <c r="AF106" s="368"/>
      <c r="AG106" s="368"/>
      <c r="AH106" s="368"/>
      <c r="AI106" s="368"/>
      <c r="AJ106" s="368"/>
      <c r="AK106" s="368"/>
      <c r="AL106" s="368"/>
      <c r="AM106" s="368"/>
      <c r="AN106" s="368"/>
      <c r="AO106" s="368"/>
      <c r="AP106" s="368"/>
      <c r="AQ106" s="368"/>
      <c r="AR106" s="368"/>
      <c r="AS106" s="368"/>
      <c r="AT106" s="368"/>
      <c r="AU106" s="368"/>
      <c r="AV106" s="368"/>
      <c r="AW106" s="368"/>
      <c r="AX106" s="368"/>
      <c r="AY106" s="368"/>
      <c r="AZ106" s="368"/>
      <c r="BA106" s="368"/>
      <c r="BB106" s="368"/>
      <c r="BC106" s="368"/>
      <c r="BD106" s="368"/>
      <c r="BE106" s="368"/>
      <c r="BF106" s="368"/>
      <c r="BG106" s="368"/>
    </row>
    <row r="107" spans="2:59" hidden="1" x14ac:dyDescent="0.25">
      <c r="B107" s="220" t="str">
        <f>IF(Capacity!N100="","",Capacity!N100)</f>
        <v/>
      </c>
      <c r="C107" s="221" t="str">
        <f>IF(B107="","",Capacity!Q100)</f>
        <v/>
      </c>
      <c r="D107" s="312" t="str">
        <f>IF(B107="","",Capacity!R100)</f>
        <v/>
      </c>
      <c r="E107" s="221" t="str">
        <f>IF(B107="","",IF(COUNTBLANK(H107:BG107)=52,SUM('Capacity calculation (hide)'!H195:BG195),52-COUNTBLANK(H107:BG107)))</f>
        <v/>
      </c>
      <c r="F107" s="313" t="str">
        <f>'Capacity calculation (hide)'!BI195</f>
        <v/>
      </c>
      <c r="H107" s="368"/>
      <c r="I107" s="368"/>
      <c r="J107" s="368"/>
      <c r="K107" s="368"/>
      <c r="L107" s="368"/>
      <c r="M107" s="368"/>
      <c r="N107" s="368"/>
      <c r="O107" s="368"/>
      <c r="P107" s="368"/>
      <c r="Q107" s="368"/>
      <c r="R107" s="368"/>
      <c r="S107" s="368"/>
      <c r="T107" s="368"/>
      <c r="U107" s="368"/>
      <c r="V107" s="368"/>
      <c r="W107" s="368"/>
      <c r="X107" s="368"/>
      <c r="Y107" s="368"/>
      <c r="Z107" s="368"/>
      <c r="AA107" s="368"/>
      <c r="AB107" s="368"/>
      <c r="AC107" s="368"/>
      <c r="AD107" s="368"/>
      <c r="AE107" s="368"/>
      <c r="AF107" s="368"/>
      <c r="AG107" s="368"/>
      <c r="AH107" s="368"/>
      <c r="AI107" s="368"/>
      <c r="AJ107" s="368"/>
      <c r="AK107" s="368"/>
      <c r="AL107" s="368"/>
      <c r="AM107" s="368"/>
      <c r="AN107" s="368"/>
      <c r="AO107" s="368"/>
      <c r="AP107" s="368"/>
      <c r="AQ107" s="368"/>
      <c r="AR107" s="368"/>
      <c r="AS107" s="368"/>
      <c r="AT107" s="368"/>
      <c r="AU107" s="368"/>
      <c r="AV107" s="368"/>
      <c r="AW107" s="368"/>
      <c r="AX107" s="368"/>
      <c r="AY107" s="368"/>
      <c r="AZ107" s="368"/>
      <c r="BA107" s="368"/>
      <c r="BB107" s="368"/>
      <c r="BC107" s="368"/>
      <c r="BD107" s="368"/>
      <c r="BE107" s="368"/>
      <c r="BF107" s="368"/>
      <c r="BG107" s="368"/>
    </row>
    <row r="108" spans="2:59" hidden="1" x14ac:dyDescent="0.25">
      <c r="B108" s="220" t="str">
        <f>IF(Capacity!N101="","",Capacity!N101)</f>
        <v/>
      </c>
      <c r="C108" s="221" t="str">
        <f>IF(B108="","",Capacity!Q101)</f>
        <v/>
      </c>
      <c r="D108" s="312" t="str">
        <f>IF(B108="","",Capacity!R101)</f>
        <v/>
      </c>
      <c r="E108" s="221" t="str">
        <f>IF(B108="","",IF(COUNTBLANK(H108:BG108)=52,SUM('Capacity calculation (hide)'!H196:BG196),52-COUNTBLANK(H108:BG108)))</f>
        <v/>
      </c>
      <c r="F108" s="313" t="str">
        <f>'Capacity calculation (hide)'!BI196</f>
        <v/>
      </c>
      <c r="H108" s="368"/>
      <c r="I108" s="368"/>
      <c r="J108" s="368"/>
      <c r="K108" s="368"/>
      <c r="L108" s="368"/>
      <c r="M108" s="368"/>
      <c r="N108" s="368"/>
      <c r="O108" s="368"/>
      <c r="P108" s="368"/>
      <c r="Q108" s="368"/>
      <c r="R108" s="368"/>
      <c r="S108" s="368"/>
      <c r="T108" s="368"/>
      <c r="U108" s="368"/>
      <c r="V108" s="368"/>
      <c r="W108" s="368"/>
      <c r="X108" s="368"/>
      <c r="Y108" s="368"/>
      <c r="Z108" s="368"/>
      <c r="AA108" s="368"/>
      <c r="AB108" s="368"/>
      <c r="AC108" s="368"/>
      <c r="AD108" s="368"/>
      <c r="AE108" s="368"/>
      <c r="AF108" s="368"/>
      <c r="AG108" s="368"/>
      <c r="AH108" s="368"/>
      <c r="AI108" s="368"/>
      <c r="AJ108" s="368"/>
      <c r="AK108" s="368"/>
      <c r="AL108" s="368"/>
      <c r="AM108" s="368"/>
      <c r="AN108" s="368"/>
      <c r="AO108" s="368"/>
      <c r="AP108" s="368"/>
      <c r="AQ108" s="368"/>
      <c r="AR108" s="368"/>
      <c r="AS108" s="368"/>
      <c r="AT108" s="368"/>
      <c r="AU108" s="368"/>
      <c r="AV108" s="368"/>
      <c r="AW108" s="368"/>
      <c r="AX108" s="368"/>
      <c r="AY108" s="368"/>
      <c r="AZ108" s="368"/>
      <c r="BA108" s="368"/>
      <c r="BB108" s="368"/>
      <c r="BC108" s="368"/>
      <c r="BD108" s="368"/>
      <c r="BE108" s="368"/>
      <c r="BF108" s="368"/>
      <c r="BG108" s="368"/>
    </row>
    <row r="109" spans="2:59" hidden="1" x14ac:dyDescent="0.25">
      <c r="B109" s="220" t="str">
        <f>IF(Capacity!N102="","",Capacity!N102)</f>
        <v/>
      </c>
      <c r="C109" s="221" t="str">
        <f>IF(B109="","",Capacity!Q102)</f>
        <v/>
      </c>
      <c r="D109" s="312" t="str">
        <f>IF(B109="","",Capacity!R102)</f>
        <v/>
      </c>
      <c r="E109" s="221" t="str">
        <f>IF(B109="","",IF(COUNTBLANK(H109:BG109)=52,SUM('Capacity calculation (hide)'!H197:BG197),52-COUNTBLANK(H109:BG109)))</f>
        <v/>
      </c>
      <c r="F109" s="313" t="str">
        <f>'Capacity calculation (hide)'!BI197</f>
        <v/>
      </c>
      <c r="H109" s="368"/>
      <c r="I109" s="368"/>
      <c r="J109" s="368"/>
      <c r="K109" s="368"/>
      <c r="L109" s="368"/>
      <c r="M109" s="368"/>
      <c r="N109" s="368"/>
      <c r="O109" s="368"/>
      <c r="P109" s="368"/>
      <c r="Q109" s="368"/>
      <c r="R109" s="368"/>
      <c r="S109" s="368"/>
      <c r="T109" s="368"/>
      <c r="U109" s="368"/>
      <c r="V109" s="368"/>
      <c r="W109" s="368"/>
      <c r="X109" s="368"/>
      <c r="Y109" s="368"/>
      <c r="Z109" s="368"/>
      <c r="AA109" s="368"/>
      <c r="AB109" s="368"/>
      <c r="AC109" s="368"/>
      <c r="AD109" s="368"/>
      <c r="AE109" s="368"/>
      <c r="AF109" s="368"/>
      <c r="AG109" s="368"/>
      <c r="AH109" s="368"/>
      <c r="AI109" s="368"/>
      <c r="AJ109" s="368"/>
      <c r="AK109" s="368"/>
      <c r="AL109" s="368"/>
      <c r="AM109" s="368"/>
      <c r="AN109" s="368"/>
      <c r="AO109" s="368"/>
      <c r="AP109" s="368"/>
      <c r="AQ109" s="368"/>
      <c r="AR109" s="368"/>
      <c r="AS109" s="368"/>
      <c r="AT109" s="368"/>
      <c r="AU109" s="368"/>
      <c r="AV109" s="368"/>
      <c r="AW109" s="368"/>
      <c r="AX109" s="368"/>
      <c r="AY109" s="368"/>
      <c r="AZ109" s="368"/>
      <c r="BA109" s="368"/>
      <c r="BB109" s="368"/>
      <c r="BC109" s="368"/>
      <c r="BD109" s="368"/>
      <c r="BE109" s="368"/>
      <c r="BF109" s="368"/>
      <c r="BG109" s="368"/>
    </row>
    <row r="110" spans="2:59" hidden="1" x14ac:dyDescent="0.25">
      <c r="B110" s="220" t="str">
        <f>IF(Capacity!N103="","",Capacity!N103)</f>
        <v/>
      </c>
      <c r="C110" s="221" t="str">
        <f>IF(B110="","",Capacity!Q103)</f>
        <v/>
      </c>
      <c r="D110" s="312" t="str">
        <f>IF(B110="","",Capacity!R103)</f>
        <v/>
      </c>
      <c r="E110" s="221" t="str">
        <f>IF(B110="","",IF(COUNTBLANK(H110:BG110)=52,SUM('Capacity calculation (hide)'!H198:BG198),52-COUNTBLANK(H110:BG110)))</f>
        <v/>
      </c>
      <c r="F110" s="313" t="str">
        <f>'Capacity calculation (hide)'!BI198</f>
        <v/>
      </c>
      <c r="H110" s="368"/>
      <c r="I110" s="368"/>
      <c r="J110" s="368"/>
      <c r="K110" s="368"/>
      <c r="L110" s="368"/>
      <c r="M110" s="368"/>
      <c r="N110" s="368"/>
      <c r="O110" s="368"/>
      <c r="P110" s="368"/>
      <c r="Q110" s="368"/>
      <c r="R110" s="368"/>
      <c r="S110" s="368"/>
      <c r="T110" s="368"/>
      <c r="U110" s="368"/>
      <c r="V110" s="368"/>
      <c r="W110" s="368"/>
      <c r="X110" s="368"/>
      <c r="Y110" s="368"/>
      <c r="Z110" s="368"/>
      <c r="AA110" s="368"/>
      <c r="AB110" s="368"/>
      <c r="AC110" s="368"/>
      <c r="AD110" s="368"/>
      <c r="AE110" s="368"/>
      <c r="AF110" s="368"/>
      <c r="AG110" s="368"/>
      <c r="AH110" s="368"/>
      <c r="AI110" s="368"/>
      <c r="AJ110" s="368"/>
      <c r="AK110" s="368"/>
      <c r="AL110" s="368"/>
      <c r="AM110" s="368"/>
      <c r="AN110" s="368"/>
      <c r="AO110" s="368"/>
      <c r="AP110" s="368"/>
      <c r="AQ110" s="368"/>
      <c r="AR110" s="368"/>
      <c r="AS110" s="368"/>
      <c r="AT110" s="368"/>
      <c r="AU110" s="368"/>
      <c r="AV110" s="368"/>
      <c r="AW110" s="368"/>
      <c r="AX110" s="368"/>
      <c r="AY110" s="368"/>
      <c r="AZ110" s="368"/>
      <c r="BA110" s="368"/>
      <c r="BB110" s="368"/>
      <c r="BC110" s="368"/>
      <c r="BD110" s="368"/>
      <c r="BE110" s="368"/>
      <c r="BF110" s="368"/>
      <c r="BG110" s="368"/>
    </row>
    <row r="111" spans="2:59" hidden="1" x14ac:dyDescent="0.25">
      <c r="B111" s="220" t="str">
        <f>IF(Capacity!N104="","",Capacity!N104)</f>
        <v/>
      </c>
      <c r="C111" s="221" t="str">
        <f>IF(B111="","",Capacity!Q104)</f>
        <v/>
      </c>
      <c r="D111" s="312" t="str">
        <f>IF(B111="","",Capacity!R104)</f>
        <v/>
      </c>
      <c r="E111" s="221" t="str">
        <f>IF(B111="","",IF(COUNTBLANK(H111:BG111)=52,SUM('Capacity calculation (hide)'!H199:BG199),52-COUNTBLANK(H111:BG111)))</f>
        <v/>
      </c>
      <c r="F111" s="313" t="str">
        <f>'Capacity calculation (hide)'!BI199</f>
        <v/>
      </c>
      <c r="H111" s="368"/>
      <c r="I111" s="368"/>
      <c r="J111" s="368"/>
      <c r="K111" s="368"/>
      <c r="L111" s="368"/>
      <c r="M111" s="368"/>
      <c r="N111" s="368"/>
      <c r="O111" s="368"/>
      <c r="P111" s="368"/>
      <c r="Q111" s="368"/>
      <c r="R111" s="368"/>
      <c r="S111" s="368"/>
      <c r="T111" s="368"/>
      <c r="U111" s="368"/>
      <c r="V111" s="368"/>
      <c r="W111" s="368"/>
      <c r="X111" s="368"/>
      <c r="Y111" s="368"/>
      <c r="Z111" s="368"/>
      <c r="AA111" s="368"/>
      <c r="AB111" s="368"/>
      <c r="AC111" s="368"/>
      <c r="AD111" s="368"/>
      <c r="AE111" s="368"/>
      <c r="AF111" s="368"/>
      <c r="AG111" s="368"/>
      <c r="AH111" s="368"/>
      <c r="AI111" s="368"/>
      <c r="AJ111" s="368"/>
      <c r="AK111" s="368"/>
      <c r="AL111" s="368"/>
      <c r="AM111" s="368"/>
      <c r="AN111" s="368"/>
      <c r="AO111" s="368"/>
      <c r="AP111" s="368"/>
      <c r="AQ111" s="368"/>
      <c r="AR111" s="368"/>
      <c r="AS111" s="368"/>
      <c r="AT111" s="368"/>
      <c r="AU111" s="368"/>
      <c r="AV111" s="368"/>
      <c r="AW111" s="368"/>
      <c r="AX111" s="368"/>
      <c r="AY111" s="368"/>
      <c r="AZ111" s="368"/>
      <c r="BA111" s="368"/>
      <c r="BB111" s="368"/>
      <c r="BC111" s="368"/>
      <c r="BD111" s="368"/>
      <c r="BE111" s="368"/>
      <c r="BF111" s="368"/>
      <c r="BG111" s="368"/>
    </row>
    <row r="112" spans="2:59" hidden="1" x14ac:dyDescent="0.25">
      <c r="B112" s="220" t="str">
        <f>IF(Capacity!N105="","",Capacity!N105)</f>
        <v/>
      </c>
      <c r="C112" s="221" t="str">
        <f>IF(B112="","",Capacity!Q105)</f>
        <v/>
      </c>
      <c r="D112" s="312" t="str">
        <f>IF(B112="","",Capacity!R105)</f>
        <v/>
      </c>
      <c r="E112" s="221" t="str">
        <f>IF(B112="","",IF(COUNTBLANK(H112:BG112)=52,SUM('Capacity calculation (hide)'!H200:BG200),52-COUNTBLANK(H112:BG112)))</f>
        <v/>
      </c>
      <c r="F112" s="313" t="str">
        <f>'Capacity calculation (hide)'!BI200</f>
        <v/>
      </c>
      <c r="H112" s="368"/>
      <c r="I112" s="368"/>
      <c r="J112" s="368"/>
      <c r="K112" s="368"/>
      <c r="L112" s="368"/>
      <c r="M112" s="368"/>
      <c r="N112" s="368"/>
      <c r="O112" s="368"/>
      <c r="P112" s="368"/>
      <c r="Q112" s="368"/>
      <c r="R112" s="368"/>
      <c r="S112" s="368"/>
      <c r="T112" s="368"/>
      <c r="U112" s="368"/>
      <c r="V112" s="368"/>
      <c r="W112" s="368"/>
      <c r="X112" s="368"/>
      <c r="Y112" s="368"/>
      <c r="Z112" s="368"/>
      <c r="AA112" s="368"/>
      <c r="AB112" s="368"/>
      <c r="AC112" s="368"/>
      <c r="AD112" s="368"/>
      <c r="AE112" s="368"/>
      <c r="AF112" s="368"/>
      <c r="AG112" s="368"/>
      <c r="AH112" s="368"/>
      <c r="AI112" s="368"/>
      <c r="AJ112" s="368"/>
      <c r="AK112" s="368"/>
      <c r="AL112" s="368"/>
      <c r="AM112" s="368"/>
      <c r="AN112" s="368"/>
      <c r="AO112" s="368"/>
      <c r="AP112" s="368"/>
      <c r="AQ112" s="368"/>
      <c r="AR112" s="368"/>
      <c r="AS112" s="368"/>
      <c r="AT112" s="368"/>
      <c r="AU112" s="368"/>
      <c r="AV112" s="368"/>
      <c r="AW112" s="368"/>
      <c r="AX112" s="368"/>
      <c r="AY112" s="368"/>
      <c r="AZ112" s="368"/>
      <c r="BA112" s="368"/>
      <c r="BB112" s="368"/>
      <c r="BC112" s="368"/>
      <c r="BD112" s="368"/>
      <c r="BE112" s="368"/>
      <c r="BF112" s="368"/>
      <c r="BG112" s="368"/>
    </row>
    <row r="113" spans="2:59" hidden="1" x14ac:dyDescent="0.25">
      <c r="B113" s="220" t="str">
        <f>IF(Capacity!N106="","",Capacity!N106)</f>
        <v/>
      </c>
      <c r="C113" s="221" t="str">
        <f>IF(B113="","",Capacity!Q106)</f>
        <v/>
      </c>
      <c r="D113" s="312" t="str">
        <f>IF(B113="","",Capacity!R106)</f>
        <v/>
      </c>
      <c r="E113" s="221" t="str">
        <f>IF(B113="","",IF(COUNTBLANK(H113:BG113)=52,SUM('Capacity calculation (hide)'!H201:BG201),52-COUNTBLANK(H113:BG113)))</f>
        <v/>
      </c>
      <c r="F113" s="313" t="str">
        <f>'Capacity calculation (hide)'!BI201</f>
        <v/>
      </c>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row>
    <row r="114" spans="2:59" hidden="1" x14ac:dyDescent="0.25">
      <c r="B114" s="220" t="str">
        <f>IF(Capacity!N107="","",Capacity!N107)</f>
        <v/>
      </c>
      <c r="C114" s="221" t="str">
        <f>IF(B114="","",Capacity!Q107)</f>
        <v/>
      </c>
      <c r="D114" s="312" t="str">
        <f>IF(B114="","",Capacity!R107)</f>
        <v/>
      </c>
      <c r="E114" s="221" t="str">
        <f>IF(B114="","",IF(COUNTBLANK(H114:BG114)=52,SUM('Capacity calculation (hide)'!H202:BG202),52-COUNTBLANK(H114:BG114)))</f>
        <v/>
      </c>
      <c r="F114" s="313" t="str">
        <f>'Capacity calculation (hide)'!BI202</f>
        <v/>
      </c>
      <c r="H114" s="368"/>
      <c r="I114" s="368"/>
      <c r="J114" s="368"/>
      <c r="K114" s="368"/>
      <c r="L114" s="368"/>
      <c r="M114" s="368"/>
      <c r="N114" s="368"/>
      <c r="O114" s="368"/>
      <c r="P114" s="368"/>
      <c r="Q114" s="368"/>
      <c r="R114" s="368"/>
      <c r="S114" s="368"/>
      <c r="T114" s="368"/>
      <c r="U114" s="368"/>
      <c r="V114" s="368"/>
      <c r="W114" s="368"/>
      <c r="X114" s="368"/>
      <c r="Y114" s="368"/>
      <c r="Z114" s="368"/>
      <c r="AA114" s="368"/>
      <c r="AB114" s="368"/>
      <c r="AC114" s="368"/>
      <c r="AD114" s="368"/>
      <c r="AE114" s="368"/>
      <c r="AF114" s="368"/>
      <c r="AG114" s="368"/>
      <c r="AH114" s="368"/>
      <c r="AI114" s="368"/>
      <c r="AJ114" s="368"/>
      <c r="AK114" s="368"/>
      <c r="AL114" s="368"/>
      <c r="AM114" s="368"/>
      <c r="AN114" s="368"/>
      <c r="AO114" s="368"/>
      <c r="AP114" s="368"/>
      <c r="AQ114" s="368"/>
      <c r="AR114" s="368"/>
      <c r="AS114" s="368"/>
      <c r="AT114" s="368"/>
      <c r="AU114" s="368"/>
      <c r="AV114" s="368"/>
      <c r="AW114" s="368"/>
      <c r="AX114" s="368"/>
      <c r="AY114" s="368"/>
      <c r="AZ114" s="368"/>
      <c r="BA114" s="368"/>
      <c r="BB114" s="368"/>
      <c r="BC114" s="368"/>
      <c r="BD114" s="368"/>
      <c r="BE114" s="368"/>
      <c r="BF114" s="368"/>
      <c r="BG114" s="368"/>
    </row>
    <row r="115" spans="2:59" hidden="1" x14ac:dyDescent="0.25">
      <c r="B115" s="220" t="str">
        <f>IF(Capacity!N108="","",Capacity!N108)</f>
        <v/>
      </c>
      <c r="C115" s="221" t="str">
        <f>IF(B115="","",Capacity!Q108)</f>
        <v/>
      </c>
      <c r="D115" s="312" t="str">
        <f>IF(B115="","",Capacity!R108)</f>
        <v/>
      </c>
      <c r="E115" s="221" t="str">
        <f>IF(B115="","",IF(COUNTBLANK(H115:BG115)=52,SUM('Capacity calculation (hide)'!H203:BG203),52-COUNTBLANK(H115:BG115)))</f>
        <v/>
      </c>
      <c r="F115" s="313" t="str">
        <f>'Capacity calculation (hide)'!BI203</f>
        <v/>
      </c>
      <c r="H115" s="368"/>
      <c r="I115" s="368"/>
      <c r="J115" s="368"/>
      <c r="K115" s="368"/>
      <c r="L115" s="368"/>
      <c r="M115" s="368"/>
      <c r="N115" s="368"/>
      <c r="O115" s="368"/>
      <c r="P115" s="368"/>
      <c r="Q115" s="368"/>
      <c r="R115" s="368"/>
      <c r="S115" s="368"/>
      <c r="T115" s="368"/>
      <c r="U115" s="368"/>
      <c r="V115" s="368"/>
      <c r="W115" s="368"/>
      <c r="X115" s="368"/>
      <c r="Y115" s="368"/>
      <c r="Z115" s="368"/>
      <c r="AA115" s="368"/>
      <c r="AB115" s="368"/>
      <c r="AC115" s="368"/>
      <c r="AD115" s="368"/>
      <c r="AE115" s="368"/>
      <c r="AF115" s="368"/>
      <c r="AG115" s="368"/>
      <c r="AH115" s="368"/>
      <c r="AI115" s="368"/>
      <c r="AJ115" s="368"/>
      <c r="AK115" s="368"/>
      <c r="AL115" s="368"/>
      <c r="AM115" s="368"/>
      <c r="AN115" s="368"/>
      <c r="AO115" s="368"/>
      <c r="AP115" s="368"/>
      <c r="AQ115" s="368"/>
      <c r="AR115" s="368"/>
      <c r="AS115" s="368"/>
      <c r="AT115" s="368"/>
      <c r="AU115" s="368"/>
      <c r="AV115" s="368"/>
      <c r="AW115" s="368"/>
      <c r="AX115" s="368"/>
      <c r="AY115" s="368"/>
      <c r="AZ115" s="368"/>
      <c r="BA115" s="368"/>
      <c r="BB115" s="368"/>
      <c r="BC115" s="368"/>
      <c r="BD115" s="368"/>
      <c r="BE115" s="368"/>
      <c r="BF115" s="368"/>
      <c r="BG115" s="368"/>
    </row>
    <row r="116" spans="2:59" hidden="1" x14ac:dyDescent="0.25">
      <c r="B116" s="220" t="str">
        <f>IF(Capacity!N109="","",Capacity!N109)</f>
        <v/>
      </c>
      <c r="C116" s="221" t="str">
        <f>IF(B116="","",Capacity!Q109)</f>
        <v/>
      </c>
      <c r="D116" s="312" t="str">
        <f>IF(B116="","",Capacity!R109)</f>
        <v/>
      </c>
      <c r="E116" s="221" t="str">
        <f>IF(B116="","",IF(COUNTBLANK(H116:BG116)=52,SUM('Capacity calculation (hide)'!H204:BG204),52-COUNTBLANK(H116:BG116)))</f>
        <v/>
      </c>
      <c r="F116" s="313" t="str">
        <f>'Capacity calculation (hide)'!BI204</f>
        <v/>
      </c>
      <c r="H116" s="368"/>
      <c r="I116" s="368"/>
      <c r="J116" s="368"/>
      <c r="K116" s="368"/>
      <c r="L116" s="368"/>
      <c r="M116" s="368"/>
      <c r="N116" s="368"/>
      <c r="O116" s="368"/>
      <c r="P116" s="368"/>
      <c r="Q116" s="368"/>
      <c r="R116" s="368"/>
      <c r="S116" s="368"/>
      <c r="T116" s="368"/>
      <c r="U116" s="368"/>
      <c r="V116" s="368"/>
      <c r="W116" s="368"/>
      <c r="X116" s="368"/>
      <c r="Y116" s="368"/>
      <c r="Z116" s="368"/>
      <c r="AA116" s="368"/>
      <c r="AB116" s="368"/>
      <c r="AC116" s="368"/>
      <c r="AD116" s="368"/>
      <c r="AE116" s="368"/>
      <c r="AF116" s="368"/>
      <c r="AG116" s="368"/>
      <c r="AH116" s="368"/>
      <c r="AI116" s="368"/>
      <c r="AJ116" s="368"/>
      <c r="AK116" s="368"/>
      <c r="AL116" s="368"/>
      <c r="AM116" s="368"/>
      <c r="AN116" s="368"/>
      <c r="AO116" s="368"/>
      <c r="AP116" s="368"/>
      <c r="AQ116" s="368"/>
      <c r="AR116" s="368"/>
      <c r="AS116" s="368"/>
      <c r="AT116" s="368"/>
      <c r="AU116" s="368"/>
      <c r="AV116" s="368"/>
      <c r="AW116" s="368"/>
      <c r="AX116" s="368"/>
      <c r="AY116" s="368"/>
      <c r="AZ116" s="368"/>
      <c r="BA116" s="368"/>
      <c r="BB116" s="368"/>
      <c r="BC116" s="368"/>
      <c r="BD116" s="368"/>
      <c r="BE116" s="368"/>
      <c r="BF116" s="368"/>
      <c r="BG116" s="368"/>
    </row>
    <row r="117" spans="2:59" hidden="1" x14ac:dyDescent="0.25">
      <c r="B117" s="220" t="str">
        <f>IF(Capacity!N110="","",Capacity!N110)</f>
        <v/>
      </c>
      <c r="C117" s="221" t="str">
        <f>IF(B117="","",Capacity!Q110)</f>
        <v/>
      </c>
      <c r="D117" s="312" t="str">
        <f>IF(B117="","",Capacity!R110)</f>
        <v/>
      </c>
      <c r="E117" s="221" t="str">
        <f>IF(B117="","",IF(COUNTBLANK(H117:BG117)=52,SUM('Capacity calculation (hide)'!H205:BG205),52-COUNTBLANK(H117:BG117)))</f>
        <v/>
      </c>
      <c r="F117" s="313" t="str">
        <f>'Capacity calculation (hide)'!BI205</f>
        <v/>
      </c>
      <c r="H117" s="368"/>
      <c r="I117" s="368"/>
      <c r="J117" s="368"/>
      <c r="K117" s="368"/>
      <c r="L117" s="368"/>
      <c r="M117" s="368"/>
      <c r="N117" s="368"/>
      <c r="O117" s="368"/>
      <c r="P117" s="368"/>
      <c r="Q117" s="368"/>
      <c r="R117" s="368"/>
      <c r="S117" s="368"/>
      <c r="T117" s="368"/>
      <c r="U117" s="368"/>
      <c r="V117" s="368"/>
      <c r="W117" s="368"/>
      <c r="X117" s="368"/>
      <c r="Y117" s="368"/>
      <c r="Z117" s="368"/>
      <c r="AA117" s="368"/>
      <c r="AB117" s="368"/>
      <c r="AC117" s="368"/>
      <c r="AD117" s="368"/>
      <c r="AE117" s="368"/>
      <c r="AF117" s="368"/>
      <c r="AG117" s="368"/>
      <c r="AH117" s="368"/>
      <c r="AI117" s="368"/>
      <c r="AJ117" s="368"/>
      <c r="AK117" s="368"/>
      <c r="AL117" s="368"/>
      <c r="AM117" s="368"/>
      <c r="AN117" s="368"/>
      <c r="AO117" s="368"/>
      <c r="AP117" s="368"/>
      <c r="AQ117" s="368"/>
      <c r="AR117" s="368"/>
      <c r="AS117" s="368"/>
      <c r="AT117" s="368"/>
      <c r="AU117" s="368"/>
      <c r="AV117" s="368"/>
      <c r="AW117" s="368"/>
      <c r="AX117" s="368"/>
      <c r="AY117" s="368"/>
      <c r="AZ117" s="368"/>
      <c r="BA117" s="368"/>
      <c r="BB117" s="368"/>
      <c r="BC117" s="368"/>
      <c r="BD117" s="368"/>
      <c r="BE117" s="368"/>
      <c r="BF117" s="368"/>
      <c r="BG117" s="368"/>
    </row>
    <row r="118" spans="2:59" hidden="1" x14ac:dyDescent="0.25">
      <c r="B118" s="220" t="str">
        <f>IF(Capacity!N111="","",Capacity!N111)</f>
        <v/>
      </c>
      <c r="C118" s="221" t="str">
        <f>IF(B118="","",Capacity!Q111)</f>
        <v/>
      </c>
      <c r="D118" s="312" t="str">
        <f>IF(B118="","",Capacity!R111)</f>
        <v/>
      </c>
      <c r="E118" s="221" t="str">
        <f>IF(B118="","",IF(COUNTBLANK(H118:BG118)=52,SUM('Capacity calculation (hide)'!H206:BG206),52-COUNTBLANK(H118:BG118)))</f>
        <v/>
      </c>
      <c r="F118" s="313" t="str">
        <f>'Capacity calculation (hide)'!BI206</f>
        <v/>
      </c>
      <c r="H118" s="368"/>
      <c r="I118" s="368"/>
      <c r="J118" s="368"/>
      <c r="K118" s="368"/>
      <c r="L118" s="368"/>
      <c r="M118" s="368"/>
      <c r="N118" s="368"/>
      <c r="O118" s="368"/>
      <c r="P118" s="368"/>
      <c r="Q118" s="368"/>
      <c r="R118" s="368"/>
      <c r="S118" s="368"/>
      <c r="T118" s="368"/>
      <c r="U118" s="368"/>
      <c r="V118" s="368"/>
      <c r="W118" s="368"/>
      <c r="X118" s="368"/>
      <c r="Y118" s="368"/>
      <c r="Z118" s="368"/>
      <c r="AA118" s="368"/>
      <c r="AB118" s="368"/>
      <c r="AC118" s="368"/>
      <c r="AD118" s="368"/>
      <c r="AE118" s="368"/>
      <c r="AF118" s="368"/>
      <c r="AG118" s="368"/>
      <c r="AH118" s="368"/>
      <c r="AI118" s="368"/>
      <c r="AJ118" s="368"/>
      <c r="AK118" s="368"/>
      <c r="AL118" s="368"/>
      <c r="AM118" s="368"/>
      <c r="AN118" s="368"/>
      <c r="AO118" s="368"/>
      <c r="AP118" s="368"/>
      <c r="AQ118" s="368"/>
      <c r="AR118" s="368"/>
      <c r="AS118" s="368"/>
      <c r="AT118" s="368"/>
      <c r="AU118" s="368"/>
      <c r="AV118" s="368"/>
      <c r="AW118" s="368"/>
      <c r="AX118" s="368"/>
      <c r="AY118" s="368"/>
      <c r="AZ118" s="368"/>
      <c r="BA118" s="368"/>
      <c r="BB118" s="368"/>
      <c r="BC118" s="368"/>
      <c r="BD118" s="368"/>
      <c r="BE118" s="368"/>
      <c r="BF118" s="368"/>
      <c r="BG118" s="368"/>
    </row>
    <row r="119" spans="2:59" hidden="1" x14ac:dyDescent="0.25">
      <c r="B119" s="220" t="str">
        <f>IF(Capacity!N112="","",Capacity!N112)</f>
        <v/>
      </c>
      <c r="C119" s="221" t="str">
        <f>IF(B119="","",Capacity!Q112)</f>
        <v/>
      </c>
      <c r="D119" s="312" t="str">
        <f>IF(B119="","",Capacity!R112)</f>
        <v/>
      </c>
      <c r="E119" s="221" t="str">
        <f>IF(B119="","",IF(COUNTBLANK(H119:BG119)=52,SUM('Capacity calculation (hide)'!H207:BG207),52-COUNTBLANK(H119:BG119)))</f>
        <v/>
      </c>
      <c r="F119" s="313" t="str">
        <f>'Capacity calculation (hide)'!BI207</f>
        <v/>
      </c>
      <c r="H119" s="368"/>
      <c r="I119" s="368"/>
      <c r="J119" s="368"/>
      <c r="K119" s="368"/>
      <c r="L119" s="368"/>
      <c r="M119" s="368"/>
      <c r="N119" s="368"/>
      <c r="O119" s="368"/>
      <c r="P119" s="368"/>
      <c r="Q119" s="368"/>
      <c r="R119" s="368"/>
      <c r="S119" s="368"/>
      <c r="T119" s="368"/>
      <c r="U119" s="368"/>
      <c r="V119" s="368"/>
      <c r="W119" s="368"/>
      <c r="X119" s="368"/>
      <c r="Y119" s="368"/>
      <c r="Z119" s="368"/>
      <c r="AA119" s="368"/>
      <c r="AB119" s="368"/>
      <c r="AC119" s="368"/>
      <c r="AD119" s="368"/>
      <c r="AE119" s="368"/>
      <c r="AF119" s="368"/>
      <c r="AG119" s="368"/>
      <c r="AH119" s="368"/>
      <c r="AI119" s="368"/>
      <c r="AJ119" s="368"/>
      <c r="AK119" s="368"/>
      <c r="AL119" s="368"/>
      <c r="AM119" s="368"/>
      <c r="AN119" s="368"/>
      <c r="AO119" s="368"/>
      <c r="AP119" s="368"/>
      <c r="AQ119" s="368"/>
      <c r="AR119" s="368"/>
      <c r="AS119" s="368"/>
      <c r="AT119" s="368"/>
      <c r="AU119" s="368"/>
      <c r="AV119" s="368"/>
      <c r="AW119" s="368"/>
      <c r="AX119" s="368"/>
      <c r="AY119" s="368"/>
      <c r="AZ119" s="368"/>
      <c r="BA119" s="368"/>
      <c r="BB119" s="368"/>
      <c r="BC119" s="368"/>
      <c r="BD119" s="368"/>
      <c r="BE119" s="368"/>
      <c r="BF119" s="368"/>
      <c r="BG119" s="368"/>
    </row>
    <row r="120" spans="2:59" hidden="1" x14ac:dyDescent="0.25">
      <c r="B120" s="220" t="str">
        <f>IF(Capacity!N113="","",Capacity!N113)</f>
        <v/>
      </c>
      <c r="C120" s="221" t="str">
        <f>IF(B120="","",Capacity!Q113)</f>
        <v/>
      </c>
      <c r="D120" s="312" t="str">
        <f>IF(B120="","",Capacity!R113)</f>
        <v/>
      </c>
      <c r="E120" s="221" t="str">
        <f>IF(B120="","",IF(COUNTBLANK(H120:BG120)=52,SUM('Capacity calculation (hide)'!H208:BG208),52-COUNTBLANK(H120:BG120)))</f>
        <v/>
      </c>
      <c r="F120" s="313" t="str">
        <f>'Capacity calculation (hide)'!BI208</f>
        <v/>
      </c>
      <c r="H120" s="368"/>
      <c r="I120" s="368"/>
      <c r="J120" s="368"/>
      <c r="K120" s="368"/>
      <c r="L120" s="368"/>
      <c r="M120" s="368"/>
      <c r="N120" s="368"/>
      <c r="O120" s="368"/>
      <c r="P120" s="368"/>
      <c r="Q120" s="368"/>
      <c r="R120" s="368"/>
      <c r="S120" s="368"/>
      <c r="T120" s="368"/>
      <c r="U120" s="368"/>
      <c r="V120" s="368"/>
      <c r="W120" s="368"/>
      <c r="X120" s="368"/>
      <c r="Y120" s="368"/>
      <c r="Z120" s="368"/>
      <c r="AA120" s="368"/>
      <c r="AB120" s="368"/>
      <c r="AC120" s="368"/>
      <c r="AD120" s="368"/>
      <c r="AE120" s="368"/>
      <c r="AF120" s="368"/>
      <c r="AG120" s="368"/>
      <c r="AH120" s="368"/>
      <c r="AI120" s="368"/>
      <c r="AJ120" s="368"/>
      <c r="AK120" s="368"/>
      <c r="AL120" s="368"/>
      <c r="AM120" s="368"/>
      <c r="AN120" s="368"/>
      <c r="AO120" s="368"/>
      <c r="AP120" s="368"/>
      <c r="AQ120" s="368"/>
      <c r="AR120" s="368"/>
      <c r="AS120" s="368"/>
      <c r="AT120" s="368"/>
      <c r="AU120" s="368"/>
      <c r="AV120" s="368"/>
      <c r="AW120" s="368"/>
      <c r="AX120" s="368"/>
      <c r="AY120" s="368"/>
      <c r="AZ120" s="368"/>
      <c r="BA120" s="368"/>
      <c r="BB120" s="368"/>
      <c r="BC120" s="368"/>
      <c r="BD120" s="368"/>
      <c r="BE120" s="368"/>
      <c r="BF120" s="368"/>
      <c r="BG120" s="368"/>
    </row>
    <row r="121" spans="2:59" hidden="1" x14ac:dyDescent="0.25">
      <c r="B121" s="220" t="str">
        <f>IF(Capacity!N114="","",Capacity!N114)</f>
        <v/>
      </c>
      <c r="C121" s="221" t="str">
        <f>IF(B121="","",Capacity!Q114)</f>
        <v/>
      </c>
      <c r="D121" s="312" t="str">
        <f>IF(B121="","",Capacity!R114)</f>
        <v/>
      </c>
      <c r="E121" s="221" t="str">
        <f>IF(B121="","",IF(COUNTBLANK(H121:BG121)=52,SUM('Capacity calculation (hide)'!H209:BG209),52-COUNTBLANK(H121:BG121)))</f>
        <v/>
      </c>
      <c r="F121" s="313" t="str">
        <f>'Capacity calculation (hide)'!BI209</f>
        <v/>
      </c>
      <c r="H121" s="368"/>
      <c r="I121" s="368"/>
      <c r="J121" s="368"/>
      <c r="K121" s="368"/>
      <c r="L121" s="368"/>
      <c r="M121" s="368"/>
      <c r="N121" s="368"/>
      <c r="O121" s="368"/>
      <c r="P121" s="368"/>
      <c r="Q121" s="368"/>
      <c r="R121" s="368"/>
      <c r="S121" s="368"/>
      <c r="T121" s="368"/>
      <c r="U121" s="368"/>
      <c r="V121" s="368"/>
      <c r="W121" s="368"/>
      <c r="X121" s="368"/>
      <c r="Y121" s="368"/>
      <c r="Z121" s="368"/>
      <c r="AA121" s="368"/>
      <c r="AB121" s="368"/>
      <c r="AC121" s="368"/>
      <c r="AD121" s="368"/>
      <c r="AE121" s="368"/>
      <c r="AF121" s="368"/>
      <c r="AG121" s="368"/>
      <c r="AH121" s="368"/>
      <c r="AI121" s="368"/>
      <c r="AJ121" s="368"/>
      <c r="AK121" s="368"/>
      <c r="AL121" s="368"/>
      <c r="AM121" s="368"/>
      <c r="AN121" s="368"/>
      <c r="AO121" s="368"/>
      <c r="AP121" s="368"/>
      <c r="AQ121" s="368"/>
      <c r="AR121" s="368"/>
      <c r="AS121" s="368"/>
      <c r="AT121" s="368"/>
      <c r="AU121" s="368"/>
      <c r="AV121" s="368"/>
      <c r="AW121" s="368"/>
      <c r="AX121" s="368"/>
      <c r="AY121" s="368"/>
      <c r="AZ121" s="368"/>
      <c r="BA121" s="368"/>
      <c r="BB121" s="368"/>
      <c r="BC121" s="368"/>
      <c r="BD121" s="368"/>
      <c r="BE121" s="368"/>
      <c r="BF121" s="368"/>
      <c r="BG121" s="368"/>
    </row>
    <row r="122" spans="2:59" hidden="1" x14ac:dyDescent="0.25">
      <c r="B122" s="220" t="str">
        <f>IF(Capacity!N115="","",Capacity!N115)</f>
        <v/>
      </c>
      <c r="C122" s="221" t="str">
        <f>IF(B122="","",Capacity!Q115)</f>
        <v/>
      </c>
      <c r="D122" s="312" t="str">
        <f>IF(B122="","",Capacity!R115)</f>
        <v/>
      </c>
      <c r="E122" s="221" t="str">
        <f>IF(B122="","",IF(COUNTBLANK(H122:BG122)=52,SUM('Capacity calculation (hide)'!H210:BG210),52-COUNTBLANK(H122:BG122)))</f>
        <v/>
      </c>
      <c r="F122" s="313" t="str">
        <f>'Capacity calculation (hide)'!BI210</f>
        <v/>
      </c>
      <c r="H122" s="368"/>
      <c r="I122" s="368"/>
      <c r="J122" s="368"/>
      <c r="K122" s="368"/>
      <c r="L122" s="368"/>
      <c r="M122" s="368"/>
      <c r="N122" s="368"/>
      <c r="O122" s="368"/>
      <c r="P122" s="368"/>
      <c r="Q122" s="368"/>
      <c r="R122" s="368"/>
      <c r="S122" s="368"/>
      <c r="T122" s="368"/>
      <c r="U122" s="368"/>
      <c r="V122" s="368"/>
      <c r="W122" s="368"/>
      <c r="X122" s="368"/>
      <c r="Y122" s="368"/>
      <c r="Z122" s="368"/>
      <c r="AA122" s="368"/>
      <c r="AB122" s="368"/>
      <c r="AC122" s="368"/>
      <c r="AD122" s="368"/>
      <c r="AE122" s="368"/>
      <c r="AF122" s="368"/>
      <c r="AG122" s="368"/>
      <c r="AH122" s="368"/>
      <c r="AI122" s="368"/>
      <c r="AJ122" s="368"/>
      <c r="AK122" s="368"/>
      <c r="AL122" s="368"/>
      <c r="AM122" s="368"/>
      <c r="AN122" s="368"/>
      <c r="AO122" s="368"/>
      <c r="AP122" s="368"/>
      <c r="AQ122" s="368"/>
      <c r="AR122" s="368"/>
      <c r="AS122" s="368"/>
      <c r="AT122" s="368"/>
      <c r="AU122" s="368"/>
      <c r="AV122" s="368"/>
      <c r="AW122" s="368"/>
      <c r="AX122" s="368"/>
      <c r="AY122" s="368"/>
      <c r="AZ122" s="368"/>
      <c r="BA122" s="368"/>
      <c r="BB122" s="368"/>
      <c r="BC122" s="368"/>
      <c r="BD122" s="368"/>
      <c r="BE122" s="368"/>
      <c r="BF122" s="368"/>
      <c r="BG122" s="368"/>
    </row>
    <row r="123" spans="2:59" hidden="1" x14ac:dyDescent="0.25">
      <c r="B123" s="220" t="str">
        <f>IF(Capacity!N116="","",Capacity!N116)</f>
        <v/>
      </c>
      <c r="C123" s="221" t="str">
        <f>IF(B123="","",Capacity!Q116)</f>
        <v/>
      </c>
      <c r="D123" s="312" t="str">
        <f>IF(B123="","",Capacity!R116)</f>
        <v/>
      </c>
      <c r="E123" s="221" t="str">
        <f>IF(B123="","",IF(COUNTBLANK(H123:BG123)=52,SUM('Capacity calculation (hide)'!H211:BG211),52-COUNTBLANK(H123:BG123)))</f>
        <v/>
      </c>
      <c r="F123" s="313" t="str">
        <f>'Capacity calculation (hide)'!BI211</f>
        <v/>
      </c>
      <c r="H123" s="368"/>
      <c r="I123" s="368"/>
      <c r="J123" s="368"/>
      <c r="K123" s="368"/>
      <c r="L123" s="368"/>
      <c r="M123" s="368"/>
      <c r="N123" s="368"/>
      <c r="O123" s="368"/>
      <c r="P123" s="368"/>
      <c r="Q123" s="368"/>
      <c r="R123" s="368"/>
      <c r="S123" s="368"/>
      <c r="T123" s="368"/>
      <c r="U123" s="368"/>
      <c r="V123" s="368"/>
      <c r="W123" s="368"/>
      <c r="X123" s="368"/>
      <c r="Y123" s="368"/>
      <c r="Z123" s="368"/>
      <c r="AA123" s="368"/>
      <c r="AB123" s="368"/>
      <c r="AC123" s="368"/>
      <c r="AD123" s="368"/>
      <c r="AE123" s="368"/>
      <c r="AF123" s="368"/>
      <c r="AG123" s="368"/>
      <c r="AH123" s="368"/>
      <c r="AI123" s="368"/>
      <c r="AJ123" s="368"/>
      <c r="AK123" s="368"/>
      <c r="AL123" s="368"/>
      <c r="AM123" s="368"/>
      <c r="AN123" s="368"/>
      <c r="AO123" s="368"/>
      <c r="AP123" s="368"/>
      <c r="AQ123" s="368"/>
      <c r="AR123" s="368"/>
      <c r="AS123" s="368"/>
      <c r="AT123" s="368"/>
      <c r="AU123" s="368"/>
      <c r="AV123" s="368"/>
      <c r="AW123" s="368"/>
      <c r="AX123" s="368"/>
      <c r="AY123" s="368"/>
      <c r="AZ123" s="368"/>
      <c r="BA123" s="368"/>
      <c r="BB123" s="368"/>
      <c r="BC123" s="368"/>
      <c r="BD123" s="368"/>
      <c r="BE123" s="368"/>
      <c r="BF123" s="368"/>
      <c r="BG123" s="368"/>
    </row>
    <row r="124" spans="2:59" x14ac:dyDescent="0.25">
      <c r="B124" s="67" t="str">
        <f>IF(Capacity!B17="","",Capacity!B17)</f>
        <v>Clinic 1</v>
      </c>
      <c r="C124" s="221">
        <f>IF(B124="","",Capacity!E17)</f>
        <v>42</v>
      </c>
      <c r="D124" s="312">
        <f>IF(B124="","",Capacity!F17)</f>
        <v>200</v>
      </c>
      <c r="E124" s="221">
        <f>IF(B124="","",IF(COUNTBLANK(H124:BG124)=52,SUM('Capacity calculation (hide)'!H5:BG5),52-COUNTBLANK(H124:BG124)))</f>
        <v>52</v>
      </c>
      <c r="F124" s="313">
        <f>'Capacity calculation (hide)'!BI5</f>
        <v>161.53846153846155</v>
      </c>
      <c r="H124" s="368">
        <v>20</v>
      </c>
      <c r="I124" s="368">
        <v>20</v>
      </c>
      <c r="J124" s="368">
        <v>20</v>
      </c>
      <c r="K124" s="368">
        <v>20</v>
      </c>
      <c r="L124" s="368">
        <v>20</v>
      </c>
      <c r="M124" s="368">
        <v>20</v>
      </c>
      <c r="N124" s="368">
        <v>40</v>
      </c>
      <c r="O124" s="368">
        <v>80</v>
      </c>
      <c r="P124" s="368">
        <v>120</v>
      </c>
      <c r="Q124" s="368">
        <v>150</v>
      </c>
      <c r="R124" s="368">
        <v>180</v>
      </c>
      <c r="S124" s="368">
        <v>180</v>
      </c>
      <c r="T124" s="368" t="s">
        <v>1183</v>
      </c>
      <c r="U124" s="368" t="s">
        <v>1183</v>
      </c>
      <c r="V124" s="368" t="s">
        <v>1183</v>
      </c>
      <c r="W124" s="368" t="s">
        <v>1183</v>
      </c>
      <c r="X124" s="368" t="s">
        <v>1183</v>
      </c>
      <c r="Y124" s="368" t="s">
        <v>1183</v>
      </c>
      <c r="Z124" s="368" t="s">
        <v>1183</v>
      </c>
      <c r="AA124" s="368" t="s">
        <v>1183</v>
      </c>
      <c r="AB124" s="368" t="s">
        <v>1183</v>
      </c>
      <c r="AC124" s="368" t="s">
        <v>1183</v>
      </c>
      <c r="AD124" s="368" t="s">
        <v>1183</v>
      </c>
      <c r="AE124" s="368" t="s">
        <v>1183</v>
      </c>
      <c r="AF124" s="368" t="s">
        <v>1183</v>
      </c>
      <c r="AG124" s="368" t="s">
        <v>1183</v>
      </c>
      <c r="AH124" s="368" t="s">
        <v>1183</v>
      </c>
      <c r="AI124" s="368" t="s">
        <v>1183</v>
      </c>
      <c r="AJ124" s="368" t="s">
        <v>1183</v>
      </c>
      <c r="AK124" s="368" t="s">
        <v>1183</v>
      </c>
      <c r="AL124" s="368" t="s">
        <v>1183</v>
      </c>
      <c r="AM124" s="368" t="s">
        <v>1183</v>
      </c>
      <c r="AN124" s="368" t="s">
        <v>1183</v>
      </c>
      <c r="AO124" s="368" t="s">
        <v>1183</v>
      </c>
      <c r="AP124" s="368" t="s">
        <v>1183</v>
      </c>
      <c r="AQ124" s="368" t="s">
        <v>1183</v>
      </c>
      <c r="AR124" s="368" t="s">
        <v>1183</v>
      </c>
      <c r="AS124" s="368" t="s">
        <v>1183</v>
      </c>
      <c r="AT124" s="368" t="s">
        <v>1183</v>
      </c>
      <c r="AU124" s="368" t="s">
        <v>1183</v>
      </c>
      <c r="AV124" s="368" t="s">
        <v>1183</v>
      </c>
      <c r="AW124" s="368" t="s">
        <v>1183</v>
      </c>
      <c r="AX124" s="368" t="s">
        <v>1183</v>
      </c>
      <c r="AY124" s="368" t="s">
        <v>1183</v>
      </c>
      <c r="AZ124" s="368" t="s">
        <v>1183</v>
      </c>
      <c r="BA124" s="368" t="s">
        <v>1183</v>
      </c>
      <c r="BB124" s="368" t="s">
        <v>1183</v>
      </c>
      <c r="BC124" s="368" t="s">
        <v>1183</v>
      </c>
      <c r="BD124" s="368" t="s">
        <v>1183</v>
      </c>
      <c r="BE124" s="368" t="s">
        <v>1183</v>
      </c>
      <c r="BF124" s="368" t="s">
        <v>1183</v>
      </c>
      <c r="BG124" s="368" t="s">
        <v>1183</v>
      </c>
    </row>
    <row r="125" spans="2:59" x14ac:dyDescent="0.25">
      <c r="B125" s="67" t="str">
        <f>IF(Capacity!B18="","",Capacity!B18)</f>
        <v/>
      </c>
      <c r="C125" s="221" t="str">
        <f>IF(B125="","",Capacity!E18)</f>
        <v/>
      </c>
      <c r="D125" s="312" t="str">
        <f>IF(B125="","",Capacity!F18)</f>
        <v/>
      </c>
      <c r="E125" s="221" t="str">
        <f>IF(B125="","",IF(COUNTBLANK(H125:BG125)=52,SUM('Capacity calculation (hide)'!H6:BG6),52-COUNTBLANK(H125:BG125)))</f>
        <v/>
      </c>
      <c r="F125" s="313" t="str">
        <f>'Capacity calculation (hide)'!BI6</f>
        <v/>
      </c>
      <c r="H125" s="368"/>
      <c r="I125" s="368"/>
      <c r="J125" s="368"/>
      <c r="K125" s="368"/>
      <c r="L125" s="368"/>
      <c r="M125" s="368"/>
      <c r="N125" s="368"/>
      <c r="O125" s="368"/>
      <c r="P125" s="368"/>
      <c r="Q125" s="368"/>
      <c r="R125" s="368"/>
      <c r="S125" s="368"/>
      <c r="T125" s="368"/>
      <c r="U125" s="368"/>
      <c r="V125" s="368"/>
      <c r="W125" s="368"/>
      <c r="X125" s="368"/>
      <c r="Y125" s="368"/>
      <c r="Z125" s="368"/>
      <c r="AA125" s="368"/>
      <c r="AB125" s="368"/>
      <c r="AC125" s="368"/>
      <c r="AD125" s="368"/>
      <c r="AE125" s="368"/>
      <c r="AF125" s="368"/>
      <c r="AG125" s="368"/>
      <c r="AH125" s="368"/>
      <c r="AI125" s="368"/>
      <c r="AJ125" s="368"/>
      <c r="AK125" s="368"/>
      <c r="AL125" s="368"/>
      <c r="AM125" s="368"/>
      <c r="AN125" s="368"/>
      <c r="AO125" s="368"/>
      <c r="AP125" s="368"/>
      <c r="AQ125" s="368"/>
      <c r="AR125" s="368"/>
      <c r="AS125" s="368"/>
      <c r="AT125" s="368"/>
      <c r="AU125" s="368"/>
      <c r="AV125" s="368"/>
      <c r="AW125" s="368"/>
      <c r="AX125" s="368"/>
      <c r="AY125" s="368"/>
      <c r="AZ125" s="368"/>
      <c r="BA125" s="368"/>
      <c r="BB125" s="368"/>
      <c r="BC125" s="368"/>
      <c r="BD125" s="368"/>
      <c r="BE125" s="368"/>
      <c r="BF125" s="368"/>
      <c r="BG125" s="368"/>
    </row>
    <row r="126" spans="2:59" x14ac:dyDescent="0.25">
      <c r="B126" s="67" t="str">
        <f>IF(Capacity!B19="","",Capacity!B19)</f>
        <v/>
      </c>
      <c r="C126" s="221" t="str">
        <f>IF(B126="","",Capacity!E19)</f>
        <v/>
      </c>
      <c r="D126" s="312" t="str">
        <f>IF(B126="","",Capacity!F19)</f>
        <v/>
      </c>
      <c r="E126" s="221" t="str">
        <f>IF(B126="","",IF(COUNTBLANK(H126:BG126)=52,SUM('Capacity calculation (hide)'!H7:BG7),52-COUNTBLANK(H126:BG126)))</f>
        <v/>
      </c>
      <c r="F126" s="313" t="str">
        <f>'Capacity calculation (hide)'!BI7</f>
        <v/>
      </c>
      <c r="H126" s="368"/>
      <c r="I126" s="368"/>
      <c r="J126" s="368"/>
      <c r="K126" s="368"/>
      <c r="L126" s="368"/>
      <c r="M126" s="368"/>
      <c r="N126" s="368"/>
      <c r="O126" s="368"/>
      <c r="P126" s="368"/>
      <c r="Q126" s="368"/>
      <c r="R126" s="368"/>
      <c r="S126" s="368"/>
      <c r="T126" s="368"/>
      <c r="U126" s="368"/>
      <c r="V126" s="368"/>
      <c r="W126" s="368"/>
      <c r="X126" s="368"/>
      <c r="Y126" s="368"/>
      <c r="Z126" s="368"/>
      <c r="AA126" s="368"/>
      <c r="AB126" s="368"/>
      <c r="AC126" s="368"/>
      <c r="AD126" s="368"/>
      <c r="AE126" s="368"/>
      <c r="AF126" s="368"/>
      <c r="AG126" s="368"/>
      <c r="AH126" s="368"/>
      <c r="AI126" s="368"/>
      <c r="AJ126" s="368"/>
      <c r="AK126" s="368"/>
      <c r="AL126" s="368"/>
      <c r="AM126" s="368"/>
      <c r="AN126" s="368"/>
      <c r="AO126" s="368"/>
      <c r="AP126" s="368"/>
      <c r="AQ126" s="368"/>
      <c r="AR126" s="368"/>
      <c r="AS126" s="368"/>
      <c r="AT126" s="368"/>
      <c r="AU126" s="368"/>
      <c r="AV126" s="368"/>
      <c r="AW126" s="368"/>
      <c r="AX126" s="368"/>
      <c r="AY126" s="368"/>
      <c r="AZ126" s="368"/>
      <c r="BA126" s="368"/>
      <c r="BB126" s="368"/>
      <c r="BC126" s="368"/>
      <c r="BD126" s="368"/>
      <c r="BE126" s="368"/>
      <c r="BF126" s="368"/>
      <c r="BG126" s="368"/>
    </row>
    <row r="127" spans="2:59" x14ac:dyDescent="0.25">
      <c r="B127" s="67" t="str">
        <f>IF(Capacity!B20="","",Capacity!B20)</f>
        <v/>
      </c>
      <c r="C127" s="221" t="str">
        <f>IF(B127="","",Capacity!E20)</f>
        <v/>
      </c>
      <c r="D127" s="312" t="str">
        <f>IF(B127="","",Capacity!F20)</f>
        <v/>
      </c>
      <c r="E127" s="221" t="str">
        <f>IF(B127="","",IF(COUNTBLANK(H127:BG127)=52,SUM('Capacity calculation (hide)'!H8:BG8),52-COUNTBLANK(H127:BG127)))</f>
        <v/>
      </c>
      <c r="F127" s="313" t="str">
        <f>'Capacity calculation (hide)'!BI8</f>
        <v/>
      </c>
      <c r="H127" s="368"/>
      <c r="I127" s="368"/>
      <c r="J127" s="368"/>
      <c r="K127" s="368"/>
      <c r="L127" s="368"/>
      <c r="M127" s="368"/>
      <c r="N127" s="368"/>
      <c r="O127" s="368"/>
      <c r="P127" s="368"/>
      <c r="Q127" s="368"/>
      <c r="R127" s="368"/>
      <c r="S127" s="368"/>
      <c r="T127" s="368"/>
      <c r="U127" s="368"/>
      <c r="V127" s="368"/>
      <c r="W127" s="368"/>
      <c r="X127" s="368"/>
      <c r="Y127" s="368"/>
      <c r="Z127" s="368"/>
      <c r="AA127" s="368"/>
      <c r="AB127" s="368"/>
      <c r="AC127" s="368"/>
      <c r="AD127" s="368"/>
      <c r="AE127" s="368"/>
      <c r="AF127" s="368"/>
      <c r="AG127" s="368"/>
      <c r="AH127" s="368"/>
      <c r="AI127" s="368"/>
      <c r="AJ127" s="368"/>
      <c r="AK127" s="368"/>
      <c r="AL127" s="368"/>
      <c r="AM127" s="368"/>
      <c r="AN127" s="368"/>
      <c r="AO127" s="368"/>
      <c r="AP127" s="368"/>
      <c r="AQ127" s="368"/>
      <c r="AR127" s="368"/>
      <c r="AS127" s="368"/>
      <c r="AT127" s="368"/>
      <c r="AU127" s="368"/>
      <c r="AV127" s="368"/>
      <c r="AW127" s="368"/>
      <c r="AX127" s="368"/>
      <c r="AY127" s="368"/>
      <c r="AZ127" s="368"/>
      <c r="BA127" s="368"/>
      <c r="BB127" s="368"/>
      <c r="BC127" s="368"/>
      <c r="BD127" s="368"/>
      <c r="BE127" s="368"/>
      <c r="BF127" s="368"/>
      <c r="BG127" s="368"/>
    </row>
    <row r="128" spans="2:59" x14ac:dyDescent="0.25">
      <c r="B128" s="67" t="str">
        <f>IF(Capacity!B21="","",Capacity!B21)</f>
        <v/>
      </c>
      <c r="C128" s="221" t="str">
        <f>IF(B128="","",Capacity!E21)</f>
        <v/>
      </c>
      <c r="D128" s="312" t="str">
        <f>IF(B128="","",Capacity!F21)</f>
        <v/>
      </c>
      <c r="E128" s="221" t="str">
        <f>IF(B128="","",IF(COUNTBLANK(H128:BG128)=52,SUM('Capacity calculation (hide)'!H9:BG9),52-COUNTBLANK(H128:BG128)))</f>
        <v/>
      </c>
      <c r="F128" s="313" t="str">
        <f>'Capacity calculation (hide)'!BI9</f>
        <v/>
      </c>
      <c r="H128" s="368"/>
      <c r="I128" s="368"/>
      <c r="J128" s="368"/>
      <c r="K128" s="368"/>
      <c r="L128" s="368"/>
      <c r="M128" s="368"/>
      <c r="N128" s="368"/>
      <c r="O128" s="368"/>
      <c r="P128" s="368"/>
      <c r="Q128" s="368"/>
      <c r="R128" s="368"/>
      <c r="S128" s="368"/>
      <c r="T128" s="368"/>
      <c r="U128" s="368"/>
      <c r="V128" s="368"/>
      <c r="W128" s="368"/>
      <c r="X128" s="368"/>
      <c r="Y128" s="368"/>
      <c r="Z128" s="368"/>
      <c r="AA128" s="368"/>
      <c r="AB128" s="368"/>
      <c r="AC128" s="368"/>
      <c r="AD128" s="368"/>
      <c r="AE128" s="368"/>
      <c r="AF128" s="368"/>
      <c r="AG128" s="368"/>
      <c r="AH128" s="368"/>
      <c r="AI128" s="368"/>
      <c r="AJ128" s="368"/>
      <c r="AK128" s="368"/>
      <c r="AL128" s="368"/>
      <c r="AM128" s="368"/>
      <c r="AN128" s="368"/>
      <c r="AO128" s="368"/>
      <c r="AP128" s="368"/>
      <c r="AQ128" s="368"/>
      <c r="AR128" s="368"/>
      <c r="AS128" s="368"/>
      <c r="AT128" s="368"/>
      <c r="AU128" s="368"/>
      <c r="AV128" s="368"/>
      <c r="AW128" s="368"/>
      <c r="AX128" s="368"/>
      <c r="AY128" s="368"/>
      <c r="AZ128" s="368"/>
      <c r="BA128" s="368"/>
      <c r="BB128" s="368"/>
      <c r="BC128" s="368"/>
      <c r="BD128" s="368"/>
      <c r="BE128" s="368"/>
      <c r="BF128" s="368"/>
      <c r="BG128" s="368"/>
    </row>
    <row r="129" spans="2:59" x14ac:dyDescent="0.25">
      <c r="B129" s="67" t="str">
        <f>IF(Capacity!B22="","",Capacity!B22)</f>
        <v/>
      </c>
      <c r="C129" s="221" t="str">
        <f>IF(B129="","",Capacity!E22)</f>
        <v/>
      </c>
      <c r="D129" s="312" t="str">
        <f>IF(B129="","",Capacity!F22)</f>
        <v/>
      </c>
      <c r="E129" s="221" t="str">
        <f>IF(B129="","",IF(COUNTBLANK(H129:BG129)=52,SUM('Capacity calculation (hide)'!H10:BG10),52-COUNTBLANK(H129:BG129)))</f>
        <v/>
      </c>
      <c r="F129" s="313" t="str">
        <f>'Capacity calculation (hide)'!BI10</f>
        <v/>
      </c>
      <c r="H129" s="368"/>
      <c r="I129" s="368"/>
      <c r="J129" s="368"/>
      <c r="K129" s="368"/>
      <c r="L129" s="368"/>
      <c r="M129" s="368"/>
      <c r="N129" s="368"/>
      <c r="O129" s="368"/>
      <c r="P129" s="368"/>
      <c r="Q129" s="368"/>
      <c r="R129" s="368"/>
      <c r="S129" s="368"/>
      <c r="T129" s="368"/>
      <c r="U129" s="368"/>
      <c r="V129" s="368"/>
      <c r="W129" s="368"/>
      <c r="X129" s="368"/>
      <c r="Y129" s="368"/>
      <c r="Z129" s="368"/>
      <c r="AA129" s="368"/>
      <c r="AB129" s="368"/>
      <c r="AC129" s="368"/>
      <c r="AD129" s="368"/>
      <c r="AE129" s="368"/>
      <c r="AF129" s="368"/>
      <c r="AG129" s="368"/>
      <c r="AH129" s="368"/>
      <c r="AI129" s="368"/>
      <c r="AJ129" s="368"/>
      <c r="AK129" s="368"/>
      <c r="AL129" s="368"/>
      <c r="AM129" s="368"/>
      <c r="AN129" s="368"/>
      <c r="AO129" s="368"/>
      <c r="AP129" s="368"/>
      <c r="AQ129" s="368"/>
      <c r="AR129" s="368"/>
      <c r="AS129" s="368"/>
      <c r="AT129" s="368"/>
      <c r="AU129" s="368"/>
      <c r="AV129" s="368"/>
      <c r="AW129" s="368"/>
      <c r="AX129" s="368"/>
      <c r="AY129" s="368"/>
      <c r="AZ129" s="368"/>
      <c r="BA129" s="368"/>
      <c r="BB129" s="368"/>
      <c r="BC129" s="368"/>
      <c r="BD129" s="368"/>
      <c r="BE129" s="368"/>
      <c r="BF129" s="368"/>
      <c r="BG129" s="368"/>
    </row>
    <row r="130" spans="2:59" x14ac:dyDescent="0.25">
      <c r="B130" s="67" t="str">
        <f>IF(Capacity!B23="","",Capacity!B23)</f>
        <v/>
      </c>
      <c r="C130" s="221" t="str">
        <f>IF(B130="","",Capacity!E23)</f>
        <v/>
      </c>
      <c r="D130" s="312" t="str">
        <f>IF(B130="","",Capacity!F23)</f>
        <v/>
      </c>
      <c r="E130" s="221" t="str">
        <f>IF(B130="","",IF(COUNTBLANK(H130:BG130)=52,SUM('Capacity calculation (hide)'!H11:BG11),52-COUNTBLANK(H130:BG130)))</f>
        <v/>
      </c>
      <c r="F130" s="313" t="str">
        <f>'Capacity calculation (hide)'!BI11</f>
        <v/>
      </c>
      <c r="H130" s="368"/>
      <c r="I130" s="368"/>
      <c r="J130" s="368"/>
      <c r="K130" s="368"/>
      <c r="L130" s="368"/>
      <c r="M130" s="368"/>
      <c r="N130" s="368"/>
      <c r="O130" s="368"/>
      <c r="P130" s="368"/>
      <c r="Q130" s="368"/>
      <c r="R130" s="368"/>
      <c r="S130" s="368"/>
      <c r="T130" s="368"/>
      <c r="U130" s="368"/>
      <c r="V130" s="368"/>
      <c r="W130" s="368"/>
      <c r="X130" s="368"/>
      <c r="Y130" s="368"/>
      <c r="Z130" s="368"/>
      <c r="AA130" s="368"/>
      <c r="AB130" s="368"/>
      <c r="AC130" s="368"/>
      <c r="AD130" s="368"/>
      <c r="AE130" s="368"/>
      <c r="AF130" s="368"/>
      <c r="AG130" s="368"/>
      <c r="AH130" s="368"/>
      <c r="AI130" s="368"/>
      <c r="AJ130" s="368"/>
      <c r="AK130" s="368"/>
      <c r="AL130" s="368"/>
      <c r="AM130" s="368"/>
      <c r="AN130" s="368"/>
      <c r="AO130" s="368"/>
      <c r="AP130" s="368"/>
      <c r="AQ130" s="368"/>
      <c r="AR130" s="368"/>
      <c r="AS130" s="368"/>
      <c r="AT130" s="368"/>
      <c r="AU130" s="368"/>
      <c r="AV130" s="368"/>
      <c r="AW130" s="368"/>
      <c r="AX130" s="368"/>
      <c r="AY130" s="368"/>
      <c r="AZ130" s="368"/>
      <c r="BA130" s="368"/>
      <c r="BB130" s="368"/>
      <c r="BC130" s="368"/>
      <c r="BD130" s="368"/>
      <c r="BE130" s="368"/>
      <c r="BF130" s="368"/>
      <c r="BG130" s="368"/>
    </row>
    <row r="131" spans="2:59" x14ac:dyDescent="0.25">
      <c r="B131" s="67" t="str">
        <f>IF(Capacity!B24="","",Capacity!B24)</f>
        <v/>
      </c>
      <c r="C131" s="221" t="str">
        <f>IF(B131="","",Capacity!E24)</f>
        <v/>
      </c>
      <c r="D131" s="312" t="str">
        <f>IF(B131="","",Capacity!F24)</f>
        <v/>
      </c>
      <c r="E131" s="221" t="str">
        <f>IF(B131="","",IF(COUNTBLANK(H131:BG131)=52,SUM('Capacity calculation (hide)'!H12:BG12),52-COUNTBLANK(H131:BG131)))</f>
        <v/>
      </c>
      <c r="F131" s="313" t="str">
        <f>'Capacity calculation (hide)'!BI12</f>
        <v/>
      </c>
      <c r="H131" s="368"/>
      <c r="I131" s="368"/>
      <c r="J131" s="368"/>
      <c r="K131" s="368"/>
      <c r="L131" s="368"/>
      <c r="M131" s="368"/>
      <c r="N131" s="368"/>
      <c r="O131" s="368"/>
      <c r="P131" s="368"/>
      <c r="Q131" s="368"/>
      <c r="R131" s="368"/>
      <c r="S131" s="368"/>
      <c r="T131" s="368"/>
      <c r="U131" s="368"/>
      <c r="V131" s="368"/>
      <c r="W131" s="368"/>
      <c r="X131" s="368"/>
      <c r="Y131" s="368"/>
      <c r="Z131" s="368"/>
      <c r="AA131" s="368"/>
      <c r="AB131" s="368"/>
      <c r="AC131" s="368"/>
      <c r="AD131" s="368"/>
      <c r="AE131" s="368"/>
      <c r="AF131" s="368"/>
      <c r="AG131" s="368"/>
      <c r="AH131" s="368"/>
      <c r="AI131" s="368"/>
      <c r="AJ131" s="368"/>
      <c r="AK131" s="368"/>
      <c r="AL131" s="368"/>
      <c r="AM131" s="368"/>
      <c r="AN131" s="368"/>
      <c r="AO131" s="368"/>
      <c r="AP131" s="368"/>
      <c r="AQ131" s="368"/>
      <c r="AR131" s="368"/>
      <c r="AS131" s="368"/>
      <c r="AT131" s="368"/>
      <c r="AU131" s="368"/>
      <c r="AV131" s="368"/>
      <c r="AW131" s="368"/>
      <c r="AX131" s="368"/>
      <c r="AY131" s="368"/>
      <c r="AZ131" s="368"/>
      <c r="BA131" s="368"/>
      <c r="BB131" s="368"/>
      <c r="BC131" s="368"/>
      <c r="BD131" s="368"/>
      <c r="BE131" s="368"/>
      <c r="BF131" s="368"/>
      <c r="BG131" s="368"/>
    </row>
    <row r="132" spans="2:59" x14ac:dyDescent="0.25">
      <c r="B132" s="67" t="str">
        <f>IF(Capacity!B25="","",Capacity!B25)</f>
        <v/>
      </c>
      <c r="C132" s="221" t="str">
        <f>IF(B132="","",Capacity!E25)</f>
        <v/>
      </c>
      <c r="D132" s="312" t="str">
        <f>IF(B132="","",Capacity!F25)</f>
        <v/>
      </c>
      <c r="E132" s="221" t="str">
        <f>IF(B132="","",IF(COUNTBLANK(H132:BG132)=52,SUM('Capacity calculation (hide)'!H13:BG13),52-COUNTBLANK(H132:BG132)))</f>
        <v/>
      </c>
      <c r="F132" s="313" t="str">
        <f>'Capacity calculation (hide)'!BI13</f>
        <v/>
      </c>
      <c r="H132" s="368"/>
      <c r="I132" s="368"/>
      <c r="J132" s="368"/>
      <c r="K132" s="368"/>
      <c r="L132" s="368"/>
      <c r="M132" s="368"/>
      <c r="N132" s="368"/>
      <c r="O132" s="368"/>
      <c r="P132" s="368"/>
      <c r="Q132" s="368"/>
      <c r="R132" s="368"/>
      <c r="S132" s="368"/>
      <c r="T132" s="368"/>
      <c r="U132" s="368"/>
      <c r="V132" s="368"/>
      <c r="W132" s="368"/>
      <c r="X132" s="368"/>
      <c r="Y132" s="368"/>
      <c r="Z132" s="368"/>
      <c r="AA132" s="368"/>
      <c r="AB132" s="368"/>
      <c r="AC132" s="368"/>
      <c r="AD132" s="368"/>
      <c r="AE132" s="368"/>
      <c r="AF132" s="368"/>
      <c r="AG132" s="368"/>
      <c r="AH132" s="368"/>
      <c r="AI132" s="368"/>
      <c r="AJ132" s="368"/>
      <c r="AK132" s="368"/>
      <c r="AL132" s="368"/>
      <c r="AM132" s="368"/>
      <c r="AN132" s="368"/>
      <c r="AO132" s="368"/>
      <c r="AP132" s="368"/>
      <c r="AQ132" s="368"/>
      <c r="AR132" s="368"/>
      <c r="AS132" s="368"/>
      <c r="AT132" s="368"/>
      <c r="AU132" s="368"/>
      <c r="AV132" s="368"/>
      <c r="AW132" s="368"/>
      <c r="AX132" s="368"/>
      <c r="AY132" s="368"/>
      <c r="AZ132" s="368"/>
      <c r="BA132" s="368"/>
      <c r="BB132" s="368"/>
      <c r="BC132" s="368"/>
      <c r="BD132" s="368"/>
      <c r="BE132" s="368"/>
      <c r="BF132" s="368"/>
      <c r="BG132" s="368"/>
    </row>
    <row r="133" spans="2:59" x14ac:dyDescent="0.25">
      <c r="B133" s="67" t="str">
        <f>IF(Capacity!B26="","",Capacity!B26)</f>
        <v/>
      </c>
      <c r="C133" s="221" t="str">
        <f>IF(B133="","",Capacity!E26)</f>
        <v/>
      </c>
      <c r="D133" s="312" t="str">
        <f>IF(B133="","",Capacity!F26)</f>
        <v/>
      </c>
      <c r="E133" s="221" t="str">
        <f>IF(B133="","",IF(COUNTBLANK(H133:BG133)=52,SUM('Capacity calculation (hide)'!H14:BG14),52-COUNTBLANK(H133:BG133)))</f>
        <v/>
      </c>
      <c r="F133" s="313" t="str">
        <f>'Capacity calculation (hide)'!BI14</f>
        <v/>
      </c>
      <c r="H133" s="368"/>
      <c r="I133" s="368"/>
      <c r="J133" s="368"/>
      <c r="K133" s="368"/>
      <c r="L133" s="368"/>
      <c r="M133" s="368"/>
      <c r="N133" s="368"/>
      <c r="O133" s="368"/>
      <c r="P133" s="368"/>
      <c r="Q133" s="368"/>
      <c r="R133" s="368"/>
      <c r="S133" s="368"/>
      <c r="T133" s="368"/>
      <c r="U133" s="368"/>
      <c r="V133" s="368"/>
      <c r="W133" s="368"/>
      <c r="X133" s="368"/>
      <c r="Y133" s="368"/>
      <c r="Z133" s="368"/>
      <c r="AA133" s="368"/>
      <c r="AB133" s="368"/>
      <c r="AC133" s="368"/>
      <c r="AD133" s="368"/>
      <c r="AE133" s="368"/>
      <c r="AF133" s="368"/>
      <c r="AG133" s="368"/>
      <c r="AH133" s="368"/>
      <c r="AI133" s="368"/>
      <c r="AJ133" s="368"/>
      <c r="AK133" s="368"/>
      <c r="AL133" s="368"/>
      <c r="AM133" s="368"/>
      <c r="AN133" s="368"/>
      <c r="AO133" s="368"/>
      <c r="AP133" s="368"/>
      <c r="AQ133" s="368"/>
      <c r="AR133" s="368"/>
      <c r="AS133" s="368"/>
      <c r="AT133" s="368"/>
      <c r="AU133" s="368"/>
      <c r="AV133" s="368"/>
      <c r="AW133" s="368"/>
      <c r="AX133" s="368"/>
      <c r="AY133" s="368"/>
      <c r="AZ133" s="368"/>
      <c r="BA133" s="368"/>
      <c r="BB133" s="368"/>
      <c r="BC133" s="368"/>
      <c r="BD133" s="368"/>
      <c r="BE133" s="368"/>
      <c r="BF133" s="368"/>
      <c r="BG133" s="368"/>
    </row>
    <row r="134" spans="2:59" x14ac:dyDescent="0.25">
      <c r="B134" s="67" t="str">
        <f>IF(Capacity!B27="","",Capacity!B27)</f>
        <v/>
      </c>
      <c r="C134" s="221" t="str">
        <f>IF(B134="","",Capacity!E27)</f>
        <v/>
      </c>
      <c r="D134" s="312" t="str">
        <f>IF(B134="","",Capacity!F27)</f>
        <v/>
      </c>
      <c r="E134" s="221" t="str">
        <f>IF(B134="","",IF(COUNTBLANK(H134:BG134)=52,SUM('Capacity calculation (hide)'!H15:BG15),52-COUNTBLANK(H134:BG134)))</f>
        <v/>
      </c>
      <c r="F134" s="313" t="str">
        <f>'Capacity calculation (hide)'!BI15</f>
        <v/>
      </c>
      <c r="H134" s="368"/>
      <c r="I134" s="368"/>
      <c r="J134" s="368"/>
      <c r="K134" s="368"/>
      <c r="L134" s="368"/>
      <c r="M134" s="368"/>
      <c r="N134" s="368"/>
      <c r="O134" s="368"/>
      <c r="P134" s="368"/>
      <c r="Q134" s="368"/>
      <c r="R134" s="368"/>
      <c r="S134" s="368"/>
      <c r="T134" s="368"/>
      <c r="U134" s="368"/>
      <c r="V134" s="368"/>
      <c r="W134" s="368"/>
      <c r="X134" s="368"/>
      <c r="Y134" s="368"/>
      <c r="Z134" s="368"/>
      <c r="AA134" s="368"/>
      <c r="AB134" s="368"/>
      <c r="AC134" s="368"/>
      <c r="AD134" s="368"/>
      <c r="AE134" s="368"/>
      <c r="AF134" s="368"/>
      <c r="AG134" s="368"/>
      <c r="AH134" s="368"/>
      <c r="AI134" s="368"/>
      <c r="AJ134" s="368"/>
      <c r="AK134" s="368"/>
      <c r="AL134" s="368"/>
      <c r="AM134" s="368"/>
      <c r="AN134" s="368"/>
      <c r="AO134" s="368"/>
      <c r="AP134" s="368"/>
      <c r="AQ134" s="368"/>
      <c r="AR134" s="368"/>
      <c r="AS134" s="368"/>
      <c r="AT134" s="368"/>
      <c r="AU134" s="368"/>
      <c r="AV134" s="368"/>
      <c r="AW134" s="368"/>
      <c r="AX134" s="368"/>
      <c r="AY134" s="368"/>
      <c r="AZ134" s="368"/>
      <c r="BA134" s="368"/>
      <c r="BB134" s="368"/>
      <c r="BC134" s="368"/>
      <c r="BD134" s="368"/>
      <c r="BE134" s="368"/>
      <c r="BF134" s="368"/>
      <c r="BG134" s="368"/>
    </row>
    <row r="135" spans="2:59" x14ac:dyDescent="0.25">
      <c r="B135" s="67" t="str">
        <f>IF(Capacity!B28="","",Capacity!B28)</f>
        <v/>
      </c>
      <c r="C135" s="221" t="str">
        <f>IF(B135="","",Capacity!E28)</f>
        <v/>
      </c>
      <c r="D135" s="312" t="str">
        <f>IF(B135="","",Capacity!F28)</f>
        <v/>
      </c>
      <c r="E135" s="221" t="str">
        <f>IF(B135="","",IF(COUNTBLANK(H135:BG135)=52,SUM('Capacity calculation (hide)'!H16:BG16),52-COUNTBLANK(H135:BG135)))</f>
        <v/>
      </c>
      <c r="F135" s="313" t="str">
        <f>'Capacity calculation (hide)'!BI16</f>
        <v/>
      </c>
      <c r="H135" s="368"/>
      <c r="I135" s="368"/>
      <c r="J135" s="368"/>
      <c r="K135" s="368"/>
      <c r="L135" s="368"/>
      <c r="M135" s="368"/>
      <c r="N135" s="368"/>
      <c r="O135" s="368"/>
      <c r="P135" s="368"/>
      <c r="Q135" s="368"/>
      <c r="R135" s="368"/>
      <c r="S135" s="368"/>
      <c r="T135" s="368"/>
      <c r="U135" s="368"/>
      <c r="V135" s="368"/>
      <c r="W135" s="368"/>
      <c r="X135" s="368"/>
      <c r="Y135" s="368"/>
      <c r="Z135" s="368"/>
      <c r="AA135" s="368"/>
      <c r="AB135" s="368"/>
      <c r="AC135" s="368"/>
      <c r="AD135" s="368"/>
      <c r="AE135" s="368"/>
      <c r="AF135" s="368"/>
      <c r="AG135" s="368"/>
      <c r="AH135" s="368"/>
      <c r="AI135" s="368"/>
      <c r="AJ135" s="368"/>
      <c r="AK135" s="368"/>
      <c r="AL135" s="368"/>
      <c r="AM135" s="368"/>
      <c r="AN135" s="368"/>
      <c r="AO135" s="368"/>
      <c r="AP135" s="368"/>
      <c r="AQ135" s="368"/>
      <c r="AR135" s="368"/>
      <c r="AS135" s="368"/>
      <c r="AT135" s="368"/>
      <c r="AU135" s="368"/>
      <c r="AV135" s="368"/>
      <c r="AW135" s="368"/>
      <c r="AX135" s="368"/>
      <c r="AY135" s="368"/>
      <c r="AZ135" s="368"/>
      <c r="BA135" s="368"/>
      <c r="BB135" s="368"/>
      <c r="BC135" s="368"/>
      <c r="BD135" s="368"/>
      <c r="BE135" s="368"/>
      <c r="BF135" s="368"/>
      <c r="BG135" s="368"/>
    </row>
    <row r="136" spans="2:59" x14ac:dyDescent="0.25">
      <c r="B136" s="67" t="str">
        <f>IF(Capacity!B29="","",Capacity!B29)</f>
        <v/>
      </c>
      <c r="C136" s="221" t="str">
        <f>IF(B136="","",Capacity!E29)</f>
        <v/>
      </c>
      <c r="D136" s="312" t="str">
        <f>IF(B136="","",Capacity!F29)</f>
        <v/>
      </c>
      <c r="E136" s="221" t="str">
        <f>IF(B136="","",IF(COUNTBLANK(H136:BG136)=52,SUM('Capacity calculation (hide)'!H17:BG17),52-COUNTBLANK(H136:BG136)))</f>
        <v/>
      </c>
      <c r="F136" s="313" t="str">
        <f>'Capacity calculation (hide)'!BI17</f>
        <v/>
      </c>
      <c r="H136" s="368"/>
      <c r="I136" s="368"/>
      <c r="J136" s="368"/>
      <c r="K136" s="368"/>
      <c r="L136" s="368"/>
      <c r="M136" s="368"/>
      <c r="N136" s="368"/>
      <c r="O136" s="368"/>
      <c r="P136" s="368"/>
      <c r="Q136" s="368"/>
      <c r="R136" s="368"/>
      <c r="S136" s="368"/>
      <c r="T136" s="368"/>
      <c r="U136" s="368"/>
      <c r="V136" s="368"/>
      <c r="W136" s="368"/>
      <c r="X136" s="368"/>
      <c r="Y136" s="368"/>
      <c r="Z136" s="368"/>
      <c r="AA136" s="368"/>
      <c r="AB136" s="368"/>
      <c r="AC136" s="368"/>
      <c r="AD136" s="368"/>
      <c r="AE136" s="368"/>
      <c r="AF136" s="368"/>
      <c r="AG136" s="368"/>
      <c r="AH136" s="368"/>
      <c r="AI136" s="368"/>
      <c r="AJ136" s="368"/>
      <c r="AK136" s="368"/>
      <c r="AL136" s="368"/>
      <c r="AM136" s="368"/>
      <c r="AN136" s="368"/>
      <c r="AO136" s="368"/>
      <c r="AP136" s="368"/>
      <c r="AQ136" s="368"/>
      <c r="AR136" s="368"/>
      <c r="AS136" s="368"/>
      <c r="AT136" s="368"/>
      <c r="AU136" s="368"/>
      <c r="AV136" s="368"/>
      <c r="AW136" s="368"/>
      <c r="AX136" s="368"/>
      <c r="AY136" s="368"/>
      <c r="AZ136" s="368"/>
      <c r="BA136" s="368"/>
      <c r="BB136" s="368"/>
      <c r="BC136" s="368"/>
      <c r="BD136" s="368"/>
      <c r="BE136" s="368"/>
      <c r="BF136" s="368"/>
      <c r="BG136" s="368"/>
    </row>
    <row r="137" spans="2:59" x14ac:dyDescent="0.25">
      <c r="B137" s="67" t="str">
        <f>IF(Capacity!B30="","",Capacity!B30)</f>
        <v/>
      </c>
      <c r="C137" s="221" t="str">
        <f>IF(B137="","",Capacity!E30)</f>
        <v/>
      </c>
      <c r="D137" s="312" t="str">
        <f>IF(B137="","",Capacity!F30)</f>
        <v/>
      </c>
      <c r="E137" s="221" t="str">
        <f>IF(B137="","",IF(COUNTBLANK(H137:BG137)=52,SUM('Capacity calculation (hide)'!H18:BG18),52-COUNTBLANK(H137:BG137)))</f>
        <v/>
      </c>
      <c r="F137" s="313" t="str">
        <f>'Capacity calculation (hide)'!BI18</f>
        <v/>
      </c>
      <c r="H137" s="368"/>
      <c r="I137" s="368"/>
      <c r="J137" s="368"/>
      <c r="K137" s="368"/>
      <c r="L137" s="368"/>
      <c r="M137" s="368"/>
      <c r="N137" s="368"/>
      <c r="O137" s="368"/>
      <c r="P137" s="368"/>
      <c r="Q137" s="368"/>
      <c r="R137" s="368"/>
      <c r="S137" s="368"/>
      <c r="T137" s="368"/>
      <c r="U137" s="368"/>
      <c r="V137" s="368"/>
      <c r="W137" s="368"/>
      <c r="X137" s="368"/>
      <c r="Y137" s="368"/>
      <c r="Z137" s="368"/>
      <c r="AA137" s="368"/>
      <c r="AB137" s="368"/>
      <c r="AC137" s="368"/>
      <c r="AD137" s="368"/>
      <c r="AE137" s="368"/>
      <c r="AF137" s="368"/>
      <c r="AG137" s="368"/>
      <c r="AH137" s="368"/>
      <c r="AI137" s="368"/>
      <c r="AJ137" s="368"/>
      <c r="AK137" s="368"/>
      <c r="AL137" s="368"/>
      <c r="AM137" s="368"/>
      <c r="AN137" s="368"/>
      <c r="AO137" s="368"/>
      <c r="AP137" s="368"/>
      <c r="AQ137" s="368"/>
      <c r="AR137" s="368"/>
      <c r="AS137" s="368"/>
      <c r="AT137" s="368"/>
      <c r="AU137" s="368"/>
      <c r="AV137" s="368"/>
      <c r="AW137" s="368"/>
      <c r="AX137" s="368"/>
      <c r="AY137" s="368"/>
      <c r="AZ137" s="368"/>
      <c r="BA137" s="368"/>
      <c r="BB137" s="368"/>
      <c r="BC137" s="368"/>
      <c r="BD137" s="368"/>
      <c r="BE137" s="368"/>
      <c r="BF137" s="368"/>
      <c r="BG137" s="368"/>
    </row>
    <row r="138" spans="2:59" x14ac:dyDescent="0.25">
      <c r="B138" s="67" t="str">
        <f>IF(Capacity!B31="","",Capacity!B31)</f>
        <v/>
      </c>
      <c r="C138" s="221" t="str">
        <f>IF(B138="","",Capacity!E31)</f>
        <v/>
      </c>
      <c r="D138" s="312" t="str">
        <f>IF(B138="","",Capacity!F31)</f>
        <v/>
      </c>
      <c r="E138" s="221" t="str">
        <f>IF(B138="","",IF(COUNTBLANK(H138:BG138)=52,SUM('Capacity calculation (hide)'!H19:BG19),52-COUNTBLANK(H138:BG138)))</f>
        <v/>
      </c>
      <c r="F138" s="313" t="str">
        <f>'Capacity calculation (hide)'!BI19</f>
        <v/>
      </c>
      <c r="H138" s="368"/>
      <c r="I138" s="368"/>
      <c r="J138" s="368"/>
      <c r="K138" s="368"/>
      <c r="L138" s="368"/>
      <c r="M138" s="368"/>
      <c r="N138" s="368"/>
      <c r="O138" s="368"/>
      <c r="P138" s="368"/>
      <c r="Q138" s="368"/>
      <c r="R138" s="368"/>
      <c r="S138" s="368"/>
      <c r="T138" s="368"/>
      <c r="U138" s="368"/>
      <c r="V138" s="368"/>
      <c r="W138" s="368"/>
      <c r="X138" s="368"/>
      <c r="Y138" s="368"/>
      <c r="Z138" s="368"/>
      <c r="AA138" s="368"/>
      <c r="AB138" s="368"/>
      <c r="AC138" s="368"/>
      <c r="AD138" s="368"/>
      <c r="AE138" s="368"/>
      <c r="AF138" s="368"/>
      <c r="AG138" s="368"/>
      <c r="AH138" s="368"/>
      <c r="AI138" s="368"/>
      <c r="AJ138" s="368"/>
      <c r="AK138" s="368"/>
      <c r="AL138" s="368"/>
      <c r="AM138" s="368"/>
      <c r="AN138" s="368"/>
      <c r="AO138" s="368"/>
      <c r="AP138" s="368"/>
      <c r="AQ138" s="368"/>
      <c r="AR138" s="368"/>
      <c r="AS138" s="368"/>
      <c r="AT138" s="368"/>
      <c r="AU138" s="368"/>
      <c r="AV138" s="368"/>
      <c r="AW138" s="368"/>
      <c r="AX138" s="368"/>
      <c r="AY138" s="368"/>
      <c r="AZ138" s="368"/>
      <c r="BA138" s="368"/>
      <c r="BB138" s="368"/>
      <c r="BC138" s="368"/>
      <c r="BD138" s="368"/>
      <c r="BE138" s="368"/>
      <c r="BF138" s="368"/>
      <c r="BG138" s="368"/>
    </row>
    <row r="139" spans="2:59" x14ac:dyDescent="0.25">
      <c r="B139" s="67" t="str">
        <f>IF(Capacity!B32="","",Capacity!B32)</f>
        <v/>
      </c>
      <c r="C139" s="221" t="str">
        <f>IF(B139="","",Capacity!E32)</f>
        <v/>
      </c>
      <c r="D139" s="312" t="str">
        <f>IF(B139="","",Capacity!F32)</f>
        <v/>
      </c>
      <c r="E139" s="221" t="str">
        <f>IF(B139="","",IF(COUNTBLANK(H139:BG139)=52,SUM('Capacity calculation (hide)'!H20:BG20),52-COUNTBLANK(H139:BG139)))</f>
        <v/>
      </c>
      <c r="F139" s="313" t="str">
        <f>'Capacity calculation (hide)'!BI20</f>
        <v/>
      </c>
      <c r="H139" s="368"/>
      <c r="I139" s="368"/>
      <c r="J139" s="368"/>
      <c r="K139" s="368"/>
      <c r="L139" s="368"/>
      <c r="M139" s="368"/>
      <c r="N139" s="368"/>
      <c r="O139" s="368"/>
      <c r="P139" s="368"/>
      <c r="Q139" s="368"/>
      <c r="R139" s="368"/>
      <c r="S139" s="368"/>
      <c r="T139" s="368"/>
      <c r="U139" s="368"/>
      <c r="V139" s="368"/>
      <c r="W139" s="368"/>
      <c r="X139" s="368"/>
      <c r="Y139" s="368"/>
      <c r="Z139" s="368"/>
      <c r="AA139" s="368"/>
      <c r="AB139" s="368"/>
      <c r="AC139" s="368"/>
      <c r="AD139" s="368"/>
      <c r="AE139" s="368"/>
      <c r="AF139" s="368"/>
      <c r="AG139" s="368"/>
      <c r="AH139" s="368"/>
      <c r="AI139" s="368"/>
      <c r="AJ139" s="368"/>
      <c r="AK139" s="368"/>
      <c r="AL139" s="368"/>
      <c r="AM139" s="368"/>
      <c r="AN139" s="368"/>
      <c r="AO139" s="368"/>
      <c r="AP139" s="368"/>
      <c r="AQ139" s="368"/>
      <c r="AR139" s="368"/>
      <c r="AS139" s="368"/>
      <c r="AT139" s="368"/>
      <c r="AU139" s="368"/>
      <c r="AV139" s="368"/>
      <c r="AW139" s="368"/>
      <c r="AX139" s="368"/>
      <c r="AY139" s="368"/>
      <c r="AZ139" s="368"/>
      <c r="BA139" s="368"/>
      <c r="BB139" s="368"/>
      <c r="BC139" s="368"/>
      <c r="BD139" s="368"/>
      <c r="BE139" s="368"/>
      <c r="BF139" s="368"/>
      <c r="BG139" s="368"/>
    </row>
    <row r="140" spans="2:59" x14ac:dyDescent="0.25">
      <c r="B140" s="67" t="str">
        <f>IF(Capacity!B33="","",Capacity!B33)</f>
        <v/>
      </c>
      <c r="C140" s="221" t="str">
        <f>IF(B140="","",Capacity!E33)</f>
        <v/>
      </c>
      <c r="D140" s="312" t="str">
        <f>IF(B140="","",Capacity!F33)</f>
        <v/>
      </c>
      <c r="E140" s="221" t="str">
        <f>IF(B140="","",IF(COUNTBLANK(H140:BG140)=52,SUM('Capacity calculation (hide)'!H21:BG21),52-COUNTBLANK(H140:BG140)))</f>
        <v/>
      </c>
      <c r="F140" s="313" t="str">
        <f>'Capacity calculation (hide)'!BI21</f>
        <v/>
      </c>
      <c r="H140" s="368"/>
      <c r="I140" s="368"/>
      <c r="J140" s="368"/>
      <c r="K140" s="368"/>
      <c r="L140" s="368"/>
      <c r="M140" s="368"/>
      <c r="N140" s="368"/>
      <c r="O140" s="368"/>
      <c r="P140" s="368"/>
      <c r="Q140" s="368"/>
      <c r="R140" s="368"/>
      <c r="S140" s="368"/>
      <c r="T140" s="368"/>
      <c r="U140" s="368"/>
      <c r="V140" s="368"/>
      <c r="W140" s="368"/>
      <c r="X140" s="368"/>
      <c r="Y140" s="368"/>
      <c r="Z140" s="368"/>
      <c r="AA140" s="368"/>
      <c r="AB140" s="368"/>
      <c r="AC140" s="368"/>
      <c r="AD140" s="368"/>
      <c r="AE140" s="368"/>
      <c r="AF140" s="368"/>
      <c r="AG140" s="368"/>
      <c r="AH140" s="368"/>
      <c r="AI140" s="368"/>
      <c r="AJ140" s="368"/>
      <c r="AK140" s="368"/>
      <c r="AL140" s="368"/>
      <c r="AM140" s="368"/>
      <c r="AN140" s="368"/>
      <c r="AO140" s="368"/>
      <c r="AP140" s="368"/>
      <c r="AQ140" s="368"/>
      <c r="AR140" s="368"/>
      <c r="AS140" s="368"/>
      <c r="AT140" s="368"/>
      <c r="AU140" s="368"/>
      <c r="AV140" s="368"/>
      <c r="AW140" s="368"/>
      <c r="AX140" s="368"/>
      <c r="AY140" s="368"/>
      <c r="AZ140" s="368"/>
      <c r="BA140" s="368"/>
      <c r="BB140" s="368"/>
      <c r="BC140" s="368"/>
      <c r="BD140" s="368"/>
      <c r="BE140" s="368"/>
      <c r="BF140" s="368"/>
      <c r="BG140" s="368"/>
    </row>
    <row r="141" spans="2:59" x14ac:dyDescent="0.25">
      <c r="B141" s="67" t="str">
        <f>IF(Capacity!B34="","",Capacity!B34)</f>
        <v/>
      </c>
      <c r="C141" s="221" t="str">
        <f>IF(B141="","",Capacity!E34)</f>
        <v/>
      </c>
      <c r="D141" s="312" t="str">
        <f>IF(B141="","",Capacity!F34)</f>
        <v/>
      </c>
      <c r="E141" s="221" t="str">
        <f>IF(B141="","",IF(COUNTBLANK(H141:BG141)=52,SUM('Capacity calculation (hide)'!H22:BG22),52-COUNTBLANK(H141:BG141)))</f>
        <v/>
      </c>
      <c r="F141" s="313" t="str">
        <f>'Capacity calculation (hide)'!BI22</f>
        <v/>
      </c>
      <c r="H141" s="368"/>
      <c r="I141" s="368"/>
      <c r="J141" s="368"/>
      <c r="K141" s="368"/>
      <c r="L141" s="368"/>
      <c r="M141" s="368"/>
      <c r="N141" s="368"/>
      <c r="O141" s="368"/>
      <c r="P141" s="368"/>
      <c r="Q141" s="368"/>
      <c r="R141" s="368"/>
      <c r="S141" s="368"/>
      <c r="T141" s="368"/>
      <c r="U141" s="368"/>
      <c r="V141" s="368"/>
      <c r="W141" s="368"/>
      <c r="X141" s="368"/>
      <c r="Y141" s="368"/>
      <c r="Z141" s="368"/>
      <c r="AA141" s="368"/>
      <c r="AB141" s="368"/>
      <c r="AC141" s="368"/>
      <c r="AD141" s="368"/>
      <c r="AE141" s="368"/>
      <c r="AF141" s="368"/>
      <c r="AG141" s="368"/>
      <c r="AH141" s="368"/>
      <c r="AI141" s="368"/>
      <c r="AJ141" s="368"/>
      <c r="AK141" s="368"/>
      <c r="AL141" s="368"/>
      <c r="AM141" s="368"/>
      <c r="AN141" s="368"/>
      <c r="AO141" s="368"/>
      <c r="AP141" s="368"/>
      <c r="AQ141" s="368"/>
      <c r="AR141" s="368"/>
      <c r="AS141" s="368"/>
      <c r="AT141" s="368"/>
      <c r="AU141" s="368"/>
      <c r="AV141" s="368"/>
      <c r="AW141" s="368"/>
      <c r="AX141" s="368"/>
      <c r="AY141" s="368"/>
      <c r="AZ141" s="368"/>
      <c r="BA141" s="368"/>
      <c r="BB141" s="368"/>
      <c r="BC141" s="368"/>
      <c r="BD141" s="368"/>
      <c r="BE141" s="368"/>
      <c r="BF141" s="368"/>
      <c r="BG141" s="368"/>
    </row>
    <row r="142" spans="2:59" x14ac:dyDescent="0.25">
      <c r="B142" s="67" t="str">
        <f>IF(Capacity!B35="","",Capacity!B35)</f>
        <v/>
      </c>
      <c r="C142" s="221" t="str">
        <f>IF(B142="","",Capacity!E35)</f>
        <v/>
      </c>
      <c r="D142" s="312" t="str">
        <f>IF(B142="","",Capacity!F35)</f>
        <v/>
      </c>
      <c r="E142" s="221" t="str">
        <f>IF(B142="","",IF(COUNTBLANK(H142:BG142)=52,SUM('Capacity calculation (hide)'!H23:BG23),52-COUNTBLANK(H142:BG142)))</f>
        <v/>
      </c>
      <c r="F142" s="313" t="str">
        <f>'Capacity calculation (hide)'!BI23</f>
        <v/>
      </c>
      <c r="H142" s="368"/>
      <c r="I142" s="368"/>
      <c r="J142" s="368"/>
      <c r="K142" s="368"/>
      <c r="L142" s="368"/>
      <c r="M142" s="368"/>
      <c r="N142" s="368"/>
      <c r="O142" s="368"/>
      <c r="P142" s="368"/>
      <c r="Q142" s="368"/>
      <c r="R142" s="368"/>
      <c r="S142" s="368"/>
      <c r="T142" s="368"/>
      <c r="U142" s="368"/>
      <c r="V142" s="368"/>
      <c r="W142" s="368"/>
      <c r="X142" s="368"/>
      <c r="Y142" s="368"/>
      <c r="Z142" s="368"/>
      <c r="AA142" s="368"/>
      <c r="AB142" s="368"/>
      <c r="AC142" s="368"/>
      <c r="AD142" s="368"/>
      <c r="AE142" s="368"/>
      <c r="AF142" s="368"/>
      <c r="AG142" s="368"/>
      <c r="AH142" s="368"/>
      <c r="AI142" s="368"/>
      <c r="AJ142" s="368"/>
      <c r="AK142" s="368"/>
      <c r="AL142" s="368"/>
      <c r="AM142" s="368"/>
      <c r="AN142" s="368"/>
      <c r="AO142" s="368"/>
      <c r="AP142" s="368"/>
      <c r="AQ142" s="368"/>
      <c r="AR142" s="368"/>
      <c r="AS142" s="368"/>
      <c r="AT142" s="368"/>
      <c r="AU142" s="368"/>
      <c r="AV142" s="368"/>
      <c r="AW142" s="368"/>
      <c r="AX142" s="368"/>
      <c r="AY142" s="368"/>
      <c r="AZ142" s="368"/>
      <c r="BA142" s="368"/>
      <c r="BB142" s="368"/>
      <c r="BC142" s="368"/>
      <c r="BD142" s="368"/>
      <c r="BE142" s="368"/>
      <c r="BF142" s="368"/>
      <c r="BG142" s="368"/>
    </row>
    <row r="143" spans="2:59" x14ac:dyDescent="0.25">
      <c r="B143" s="67" t="str">
        <f>IF(Capacity!B36="","",Capacity!B36)</f>
        <v/>
      </c>
      <c r="C143" s="221" t="str">
        <f>IF(B143="","",Capacity!E36)</f>
        <v/>
      </c>
      <c r="D143" s="312" t="str">
        <f>IF(B143="","",Capacity!F36)</f>
        <v/>
      </c>
      <c r="E143" s="221" t="str">
        <f>IF(B143="","",IF(COUNTBLANK(H143:BG143)=52,SUM('Capacity calculation (hide)'!H24:BG24),52-COUNTBLANK(H143:BG143)))</f>
        <v/>
      </c>
      <c r="F143" s="313" t="str">
        <f>'Capacity calculation (hide)'!BI24</f>
        <v/>
      </c>
      <c r="H143" s="368"/>
      <c r="I143" s="368"/>
      <c r="J143" s="368"/>
      <c r="K143" s="368"/>
      <c r="L143" s="368"/>
      <c r="M143" s="368"/>
      <c r="N143" s="368"/>
      <c r="O143" s="368"/>
      <c r="P143" s="368"/>
      <c r="Q143" s="368"/>
      <c r="R143" s="368"/>
      <c r="S143" s="368"/>
      <c r="T143" s="368"/>
      <c r="U143" s="368"/>
      <c r="V143" s="368"/>
      <c r="W143" s="368"/>
      <c r="X143" s="368"/>
      <c r="Y143" s="368"/>
      <c r="Z143" s="368"/>
      <c r="AA143" s="368"/>
      <c r="AB143" s="368"/>
      <c r="AC143" s="368"/>
      <c r="AD143" s="368"/>
      <c r="AE143" s="368"/>
      <c r="AF143" s="368"/>
      <c r="AG143" s="368"/>
      <c r="AH143" s="368"/>
      <c r="AI143" s="368"/>
      <c r="AJ143" s="368"/>
      <c r="AK143" s="368"/>
      <c r="AL143" s="368"/>
      <c r="AM143" s="368"/>
      <c r="AN143" s="368"/>
      <c r="AO143" s="368"/>
      <c r="AP143" s="368"/>
      <c r="AQ143" s="368"/>
      <c r="AR143" s="368"/>
      <c r="AS143" s="368"/>
      <c r="AT143" s="368"/>
      <c r="AU143" s="368"/>
      <c r="AV143" s="368"/>
      <c r="AW143" s="368"/>
      <c r="AX143" s="368"/>
      <c r="AY143" s="368"/>
      <c r="AZ143" s="368"/>
      <c r="BA143" s="368"/>
      <c r="BB143" s="368"/>
      <c r="BC143" s="368"/>
      <c r="BD143" s="368"/>
      <c r="BE143" s="368"/>
      <c r="BF143" s="368"/>
      <c r="BG143" s="368"/>
    </row>
    <row r="144" spans="2:59" x14ac:dyDescent="0.25">
      <c r="B144" s="67" t="str">
        <f>IF(Capacity!B37="","",Capacity!B37)</f>
        <v/>
      </c>
      <c r="C144" s="221" t="str">
        <f>IF(B144="","",Capacity!E37)</f>
        <v/>
      </c>
      <c r="D144" s="312" t="str">
        <f>IF(B144="","",Capacity!F37)</f>
        <v/>
      </c>
      <c r="E144" s="221" t="str">
        <f>IF(B144="","",IF(COUNTBLANK(H144:BG144)=52,SUM('Capacity calculation (hide)'!H25:BG25),52-COUNTBLANK(H144:BG144)))</f>
        <v/>
      </c>
      <c r="F144" s="313" t="str">
        <f>'Capacity calculation (hide)'!BI25</f>
        <v/>
      </c>
      <c r="H144" s="368"/>
      <c r="I144" s="368"/>
      <c r="J144" s="368"/>
      <c r="K144" s="368"/>
      <c r="L144" s="368"/>
      <c r="M144" s="368"/>
      <c r="N144" s="368"/>
      <c r="O144" s="368"/>
      <c r="P144" s="368"/>
      <c r="Q144" s="368"/>
      <c r="R144" s="368"/>
      <c r="S144" s="368"/>
      <c r="T144" s="368"/>
      <c r="U144" s="368"/>
      <c r="V144" s="368"/>
      <c r="W144" s="368"/>
      <c r="X144" s="368"/>
      <c r="Y144" s="368"/>
      <c r="Z144" s="368"/>
      <c r="AA144" s="368"/>
      <c r="AB144" s="368"/>
      <c r="AC144" s="368"/>
      <c r="AD144" s="368"/>
      <c r="AE144" s="368"/>
      <c r="AF144" s="368"/>
      <c r="AG144" s="368"/>
      <c r="AH144" s="368"/>
      <c r="AI144" s="368"/>
      <c r="AJ144" s="368"/>
      <c r="AK144" s="368"/>
      <c r="AL144" s="368"/>
      <c r="AM144" s="368"/>
      <c r="AN144" s="368"/>
      <c r="AO144" s="368"/>
      <c r="AP144" s="368"/>
      <c r="AQ144" s="368"/>
      <c r="AR144" s="368"/>
      <c r="AS144" s="368"/>
      <c r="AT144" s="368"/>
      <c r="AU144" s="368"/>
      <c r="AV144" s="368"/>
      <c r="AW144" s="368"/>
      <c r="AX144" s="368"/>
      <c r="AY144" s="368"/>
      <c r="AZ144" s="368"/>
      <c r="BA144" s="368"/>
      <c r="BB144" s="368"/>
      <c r="BC144" s="368"/>
      <c r="BD144" s="368"/>
      <c r="BE144" s="368"/>
      <c r="BF144" s="368"/>
      <c r="BG144" s="368"/>
    </row>
    <row r="145" spans="2:59" x14ac:dyDescent="0.25">
      <c r="B145" s="67" t="str">
        <f>IF(Capacity!B38="","",Capacity!B38)</f>
        <v/>
      </c>
      <c r="C145" s="221" t="str">
        <f>IF(B145="","",Capacity!E38)</f>
        <v/>
      </c>
      <c r="D145" s="312" t="str">
        <f>IF(B145="","",Capacity!F38)</f>
        <v/>
      </c>
      <c r="E145" s="221" t="str">
        <f>IF(B145="","",IF(COUNTBLANK(H145:BG145)=52,SUM('Capacity calculation (hide)'!H26:BG26),52-COUNTBLANK(H145:BG145)))</f>
        <v/>
      </c>
      <c r="F145" s="313" t="str">
        <f>'Capacity calculation (hide)'!BI26</f>
        <v/>
      </c>
      <c r="H145" s="368"/>
      <c r="I145" s="368"/>
      <c r="J145" s="368"/>
      <c r="K145" s="368"/>
      <c r="L145" s="368"/>
      <c r="M145" s="368"/>
      <c r="N145" s="368"/>
      <c r="O145" s="368"/>
      <c r="P145" s="368"/>
      <c r="Q145" s="368"/>
      <c r="R145" s="368"/>
      <c r="S145" s="368"/>
      <c r="T145" s="368"/>
      <c r="U145" s="368"/>
      <c r="V145" s="368"/>
      <c r="W145" s="368"/>
      <c r="X145" s="368"/>
      <c r="Y145" s="368"/>
      <c r="Z145" s="368"/>
      <c r="AA145" s="368"/>
      <c r="AB145" s="368"/>
      <c r="AC145" s="368"/>
      <c r="AD145" s="368"/>
      <c r="AE145" s="368"/>
      <c r="AF145" s="368"/>
      <c r="AG145" s="368"/>
      <c r="AH145" s="368"/>
      <c r="AI145" s="368"/>
      <c r="AJ145" s="368"/>
      <c r="AK145" s="368"/>
      <c r="AL145" s="368"/>
      <c r="AM145" s="368"/>
      <c r="AN145" s="368"/>
      <c r="AO145" s="368"/>
      <c r="AP145" s="368"/>
      <c r="AQ145" s="368"/>
      <c r="AR145" s="368"/>
      <c r="AS145" s="368"/>
      <c r="AT145" s="368"/>
      <c r="AU145" s="368"/>
      <c r="AV145" s="368"/>
      <c r="AW145" s="368"/>
      <c r="AX145" s="368"/>
      <c r="AY145" s="368"/>
      <c r="AZ145" s="368"/>
      <c r="BA145" s="368"/>
      <c r="BB145" s="368"/>
      <c r="BC145" s="368"/>
      <c r="BD145" s="368"/>
      <c r="BE145" s="368"/>
      <c r="BF145" s="368"/>
      <c r="BG145" s="368"/>
    </row>
    <row r="146" spans="2:59" x14ac:dyDescent="0.25">
      <c r="B146" s="67" t="str">
        <f>IF(Capacity!B39="","",Capacity!B39)</f>
        <v/>
      </c>
      <c r="C146" s="221" t="str">
        <f>IF(B146="","",Capacity!E39)</f>
        <v/>
      </c>
      <c r="D146" s="312" t="str">
        <f>IF(B146="","",Capacity!F39)</f>
        <v/>
      </c>
      <c r="E146" s="221" t="str">
        <f>IF(B146="","",IF(COUNTBLANK(H146:BG146)=52,SUM('Capacity calculation (hide)'!H27:BG27),52-COUNTBLANK(H146:BG146)))</f>
        <v/>
      </c>
      <c r="F146" s="313" t="str">
        <f>'Capacity calculation (hide)'!BI27</f>
        <v/>
      </c>
      <c r="H146" s="368"/>
      <c r="I146" s="368"/>
      <c r="J146" s="368"/>
      <c r="K146" s="368"/>
      <c r="L146" s="368"/>
      <c r="M146" s="368"/>
      <c r="N146" s="368"/>
      <c r="O146" s="368"/>
      <c r="P146" s="368"/>
      <c r="Q146" s="368"/>
      <c r="R146" s="368"/>
      <c r="S146" s="368"/>
      <c r="T146" s="368"/>
      <c r="U146" s="368"/>
      <c r="V146" s="368"/>
      <c r="W146" s="368"/>
      <c r="X146" s="368"/>
      <c r="Y146" s="368"/>
      <c r="Z146" s="368"/>
      <c r="AA146" s="368"/>
      <c r="AB146" s="368"/>
      <c r="AC146" s="368"/>
      <c r="AD146" s="368"/>
      <c r="AE146" s="368"/>
      <c r="AF146" s="368"/>
      <c r="AG146" s="368"/>
      <c r="AH146" s="368"/>
      <c r="AI146" s="368"/>
      <c r="AJ146" s="368"/>
      <c r="AK146" s="368"/>
      <c r="AL146" s="368"/>
      <c r="AM146" s="368"/>
      <c r="AN146" s="368"/>
      <c r="AO146" s="368"/>
      <c r="AP146" s="368"/>
      <c r="AQ146" s="368"/>
      <c r="AR146" s="368"/>
      <c r="AS146" s="368"/>
      <c r="AT146" s="368"/>
      <c r="AU146" s="368"/>
      <c r="AV146" s="368"/>
      <c r="AW146" s="368"/>
      <c r="AX146" s="368"/>
      <c r="AY146" s="368"/>
      <c r="AZ146" s="368"/>
      <c r="BA146" s="368"/>
      <c r="BB146" s="368"/>
      <c r="BC146" s="368"/>
      <c r="BD146" s="368"/>
      <c r="BE146" s="368"/>
      <c r="BF146" s="368"/>
      <c r="BG146" s="368"/>
    </row>
    <row r="147" spans="2:59" x14ac:dyDescent="0.25">
      <c r="B147" s="67" t="str">
        <f>IF(Capacity!B40="","",Capacity!B40)</f>
        <v/>
      </c>
      <c r="C147" s="221" t="str">
        <f>IF(B147="","",Capacity!E40)</f>
        <v/>
      </c>
      <c r="D147" s="312" t="str">
        <f>IF(B147="","",Capacity!F40)</f>
        <v/>
      </c>
      <c r="E147" s="221" t="str">
        <f>IF(B147="","",IF(COUNTBLANK(H147:BG147)=52,SUM('Capacity calculation (hide)'!H28:BG28),52-COUNTBLANK(H147:BG147)))</f>
        <v/>
      </c>
      <c r="F147" s="313" t="str">
        <f>'Capacity calculation (hide)'!BI28</f>
        <v/>
      </c>
      <c r="H147" s="368"/>
      <c r="I147" s="368"/>
      <c r="J147" s="368"/>
      <c r="K147" s="368"/>
      <c r="L147" s="368"/>
      <c r="M147" s="368"/>
      <c r="N147" s="368"/>
      <c r="O147" s="368"/>
      <c r="P147" s="368"/>
      <c r="Q147" s="368"/>
      <c r="R147" s="368"/>
      <c r="S147" s="368"/>
      <c r="T147" s="368"/>
      <c r="U147" s="368"/>
      <c r="V147" s="368"/>
      <c r="W147" s="368"/>
      <c r="X147" s="368"/>
      <c r="Y147" s="368"/>
      <c r="Z147" s="368"/>
      <c r="AA147" s="368"/>
      <c r="AB147" s="368"/>
      <c r="AC147" s="368"/>
      <c r="AD147" s="368"/>
      <c r="AE147" s="368"/>
      <c r="AF147" s="368"/>
      <c r="AG147" s="368"/>
      <c r="AH147" s="368"/>
      <c r="AI147" s="368"/>
      <c r="AJ147" s="368"/>
      <c r="AK147" s="368"/>
      <c r="AL147" s="368"/>
      <c r="AM147" s="368"/>
      <c r="AN147" s="368"/>
      <c r="AO147" s="368"/>
      <c r="AP147" s="368"/>
      <c r="AQ147" s="368"/>
      <c r="AR147" s="368"/>
      <c r="AS147" s="368"/>
      <c r="AT147" s="368"/>
      <c r="AU147" s="368"/>
      <c r="AV147" s="368"/>
      <c r="AW147" s="368"/>
      <c r="AX147" s="368"/>
      <c r="AY147" s="368"/>
      <c r="AZ147" s="368"/>
      <c r="BA147" s="368"/>
      <c r="BB147" s="368"/>
      <c r="BC147" s="368"/>
      <c r="BD147" s="368"/>
      <c r="BE147" s="368"/>
      <c r="BF147" s="368"/>
      <c r="BG147" s="368"/>
    </row>
    <row r="148" spans="2:59" x14ac:dyDescent="0.25">
      <c r="B148" s="67" t="str">
        <f>IF(Capacity!B41="","",Capacity!B41)</f>
        <v/>
      </c>
      <c r="C148" s="221" t="str">
        <f>IF(B148="","",Capacity!E41)</f>
        <v/>
      </c>
      <c r="D148" s="312" t="str">
        <f>IF(B148="","",Capacity!F41)</f>
        <v/>
      </c>
      <c r="E148" s="221" t="str">
        <f>IF(B148="","",IF(COUNTBLANK(H148:BG148)=52,SUM('Capacity calculation (hide)'!H29:BG29),52-COUNTBLANK(H148:BG148)))</f>
        <v/>
      </c>
      <c r="F148" s="313" t="str">
        <f>'Capacity calculation (hide)'!BI29</f>
        <v/>
      </c>
      <c r="H148" s="368"/>
      <c r="I148" s="368"/>
      <c r="J148" s="368"/>
      <c r="K148" s="368"/>
      <c r="L148" s="368"/>
      <c r="M148" s="368"/>
      <c r="N148" s="368"/>
      <c r="O148" s="368"/>
      <c r="P148" s="368"/>
      <c r="Q148" s="368"/>
      <c r="R148" s="368"/>
      <c r="S148" s="368"/>
      <c r="T148" s="368"/>
      <c r="U148" s="368"/>
      <c r="V148" s="368"/>
      <c r="W148" s="368"/>
      <c r="X148" s="368"/>
      <c r="Y148" s="368"/>
      <c r="Z148" s="368"/>
      <c r="AA148" s="368"/>
      <c r="AB148" s="368"/>
      <c r="AC148" s="368"/>
      <c r="AD148" s="368"/>
      <c r="AE148" s="368"/>
      <c r="AF148" s="368"/>
      <c r="AG148" s="368"/>
      <c r="AH148" s="368"/>
      <c r="AI148" s="368"/>
      <c r="AJ148" s="368"/>
      <c r="AK148" s="368"/>
      <c r="AL148" s="368"/>
      <c r="AM148" s="368"/>
      <c r="AN148" s="368"/>
      <c r="AO148" s="368"/>
      <c r="AP148" s="368"/>
      <c r="AQ148" s="368"/>
      <c r="AR148" s="368"/>
      <c r="AS148" s="368"/>
      <c r="AT148" s="368"/>
      <c r="AU148" s="368"/>
      <c r="AV148" s="368"/>
      <c r="AW148" s="368"/>
      <c r="AX148" s="368"/>
      <c r="AY148" s="368"/>
      <c r="AZ148" s="368"/>
      <c r="BA148" s="368"/>
      <c r="BB148" s="368"/>
      <c r="BC148" s="368"/>
      <c r="BD148" s="368"/>
      <c r="BE148" s="368"/>
      <c r="BF148" s="368"/>
      <c r="BG148" s="368"/>
    </row>
    <row r="149" spans="2:59" x14ac:dyDescent="0.25">
      <c r="B149" s="67" t="str">
        <f>IF(Capacity!B42="","",Capacity!B42)</f>
        <v/>
      </c>
      <c r="C149" s="221" t="str">
        <f>IF(B149="","",Capacity!E42)</f>
        <v/>
      </c>
      <c r="D149" s="312" t="str">
        <f>IF(B149="","",Capacity!F42)</f>
        <v/>
      </c>
      <c r="E149" s="221" t="str">
        <f>IF(B149="","",IF(COUNTBLANK(H149:BG149)=52,SUM('Capacity calculation (hide)'!H30:BG30),52-COUNTBLANK(H149:BG149)))</f>
        <v/>
      </c>
      <c r="F149" s="313" t="str">
        <f>'Capacity calculation (hide)'!BI30</f>
        <v/>
      </c>
      <c r="H149" s="368"/>
      <c r="I149" s="368"/>
      <c r="J149" s="368"/>
      <c r="K149" s="368"/>
      <c r="L149" s="368"/>
      <c r="M149" s="368"/>
      <c r="N149" s="368"/>
      <c r="O149" s="368"/>
      <c r="P149" s="368"/>
      <c r="Q149" s="368"/>
      <c r="R149" s="368"/>
      <c r="S149" s="368"/>
      <c r="T149" s="368"/>
      <c r="U149" s="368"/>
      <c r="V149" s="368"/>
      <c r="W149" s="368"/>
      <c r="X149" s="368"/>
      <c r="Y149" s="368"/>
      <c r="Z149" s="368"/>
      <c r="AA149" s="368"/>
      <c r="AB149" s="368"/>
      <c r="AC149" s="368"/>
      <c r="AD149" s="368"/>
      <c r="AE149" s="368"/>
      <c r="AF149" s="368"/>
      <c r="AG149" s="368"/>
      <c r="AH149" s="368"/>
      <c r="AI149" s="368"/>
      <c r="AJ149" s="368"/>
      <c r="AK149" s="368"/>
      <c r="AL149" s="368"/>
      <c r="AM149" s="368"/>
      <c r="AN149" s="368"/>
      <c r="AO149" s="368"/>
      <c r="AP149" s="368"/>
      <c r="AQ149" s="368"/>
      <c r="AR149" s="368"/>
      <c r="AS149" s="368"/>
      <c r="AT149" s="368"/>
      <c r="AU149" s="368"/>
      <c r="AV149" s="368"/>
      <c r="AW149" s="368"/>
      <c r="AX149" s="368"/>
      <c r="AY149" s="368"/>
      <c r="AZ149" s="368"/>
      <c r="BA149" s="368"/>
      <c r="BB149" s="368"/>
      <c r="BC149" s="368"/>
      <c r="BD149" s="368"/>
      <c r="BE149" s="368"/>
      <c r="BF149" s="368"/>
      <c r="BG149" s="368"/>
    </row>
    <row r="150" spans="2:59" x14ac:dyDescent="0.25">
      <c r="B150" s="67" t="str">
        <f>IF(Capacity!B43="","",Capacity!B43)</f>
        <v/>
      </c>
      <c r="C150" s="221" t="str">
        <f>IF(B150="","",Capacity!E43)</f>
        <v/>
      </c>
      <c r="D150" s="312" t="str">
        <f>IF(B150="","",Capacity!F43)</f>
        <v/>
      </c>
      <c r="E150" s="221" t="str">
        <f>IF(B150="","",IF(COUNTBLANK(H150:BG150)=52,SUM('Capacity calculation (hide)'!H31:BG31),52-COUNTBLANK(H150:BG150)))</f>
        <v/>
      </c>
      <c r="F150" s="313" t="str">
        <f>'Capacity calculation (hide)'!BI31</f>
        <v/>
      </c>
      <c r="H150" s="368"/>
      <c r="I150" s="368"/>
      <c r="J150" s="368"/>
      <c r="K150" s="368"/>
      <c r="L150" s="368"/>
      <c r="M150" s="368"/>
      <c r="N150" s="368"/>
      <c r="O150" s="368"/>
      <c r="P150" s="368"/>
      <c r="Q150" s="368"/>
      <c r="R150" s="368"/>
      <c r="S150" s="368"/>
      <c r="T150" s="368"/>
      <c r="U150" s="368"/>
      <c r="V150" s="368"/>
      <c r="W150" s="368"/>
      <c r="X150" s="368"/>
      <c r="Y150" s="368"/>
      <c r="Z150" s="368"/>
      <c r="AA150" s="368"/>
      <c r="AB150" s="368"/>
      <c r="AC150" s="368"/>
      <c r="AD150" s="368"/>
      <c r="AE150" s="368"/>
      <c r="AF150" s="368"/>
      <c r="AG150" s="368"/>
      <c r="AH150" s="368"/>
      <c r="AI150" s="368"/>
      <c r="AJ150" s="368"/>
      <c r="AK150" s="368"/>
      <c r="AL150" s="368"/>
      <c r="AM150" s="368"/>
      <c r="AN150" s="368"/>
      <c r="AO150" s="368"/>
      <c r="AP150" s="368"/>
      <c r="AQ150" s="368"/>
      <c r="AR150" s="368"/>
      <c r="AS150" s="368"/>
      <c r="AT150" s="368"/>
      <c r="AU150" s="368"/>
      <c r="AV150" s="368"/>
      <c r="AW150" s="368"/>
      <c r="AX150" s="368"/>
      <c r="AY150" s="368"/>
      <c r="AZ150" s="368"/>
      <c r="BA150" s="368"/>
      <c r="BB150" s="368"/>
      <c r="BC150" s="368"/>
      <c r="BD150" s="368"/>
      <c r="BE150" s="368"/>
      <c r="BF150" s="368"/>
      <c r="BG150" s="368"/>
    </row>
    <row r="151" spans="2:59" x14ac:dyDescent="0.25">
      <c r="B151" s="67" t="str">
        <f>IF(Capacity!B44="","",Capacity!B44)</f>
        <v/>
      </c>
      <c r="C151" s="221" t="str">
        <f>IF(B151="","",Capacity!E44)</f>
        <v/>
      </c>
      <c r="D151" s="312" t="str">
        <f>IF(B151="","",Capacity!F44)</f>
        <v/>
      </c>
      <c r="E151" s="221" t="str">
        <f>IF(B151="","",IF(COUNTBLANK(H151:BG151)=52,SUM('Capacity calculation (hide)'!H32:BG32),52-COUNTBLANK(H151:BG151)))</f>
        <v/>
      </c>
      <c r="F151" s="313" t="str">
        <f>'Capacity calculation (hide)'!BI32</f>
        <v/>
      </c>
      <c r="H151" s="368"/>
      <c r="I151" s="368"/>
      <c r="J151" s="368"/>
      <c r="K151" s="368"/>
      <c r="L151" s="368"/>
      <c r="M151" s="368"/>
      <c r="N151" s="368"/>
      <c r="O151" s="368"/>
      <c r="P151" s="368"/>
      <c r="Q151" s="368"/>
      <c r="R151" s="368"/>
      <c r="S151" s="368"/>
      <c r="T151" s="368"/>
      <c r="U151" s="368"/>
      <c r="V151" s="368"/>
      <c r="W151" s="368"/>
      <c r="X151" s="368"/>
      <c r="Y151" s="368"/>
      <c r="Z151" s="368"/>
      <c r="AA151" s="368"/>
      <c r="AB151" s="368"/>
      <c r="AC151" s="368"/>
      <c r="AD151" s="368"/>
      <c r="AE151" s="368"/>
      <c r="AF151" s="368"/>
      <c r="AG151" s="368"/>
      <c r="AH151" s="368"/>
      <c r="AI151" s="368"/>
      <c r="AJ151" s="368"/>
      <c r="AK151" s="368"/>
      <c r="AL151" s="368"/>
      <c r="AM151" s="368"/>
      <c r="AN151" s="368"/>
      <c r="AO151" s="368"/>
      <c r="AP151" s="368"/>
      <c r="AQ151" s="368"/>
      <c r="AR151" s="368"/>
      <c r="AS151" s="368"/>
      <c r="AT151" s="368"/>
      <c r="AU151" s="368"/>
      <c r="AV151" s="368"/>
      <c r="AW151" s="368"/>
      <c r="AX151" s="368"/>
      <c r="AY151" s="368"/>
      <c r="AZ151" s="368"/>
      <c r="BA151" s="368"/>
      <c r="BB151" s="368"/>
      <c r="BC151" s="368"/>
      <c r="BD151" s="368"/>
      <c r="BE151" s="368"/>
      <c r="BF151" s="368"/>
      <c r="BG151" s="368"/>
    </row>
    <row r="152" spans="2:59" x14ac:dyDescent="0.25">
      <c r="B152" s="67" t="str">
        <f>IF(Capacity!B45="","",Capacity!B45)</f>
        <v/>
      </c>
      <c r="C152" s="221" t="str">
        <f>IF(B152="","",Capacity!E45)</f>
        <v/>
      </c>
      <c r="D152" s="312" t="str">
        <f>IF(B152="","",Capacity!F45)</f>
        <v/>
      </c>
      <c r="E152" s="221" t="str">
        <f>IF(B152="","",IF(COUNTBLANK(H152:BG152)=52,SUM('Capacity calculation (hide)'!H33:BG33),52-COUNTBLANK(H152:BG152)))</f>
        <v/>
      </c>
      <c r="F152" s="313" t="str">
        <f>'Capacity calculation (hide)'!BI33</f>
        <v/>
      </c>
      <c r="H152" s="368"/>
      <c r="I152" s="368"/>
      <c r="J152" s="368"/>
      <c r="K152" s="368"/>
      <c r="L152" s="368"/>
      <c r="M152" s="368"/>
      <c r="N152" s="368"/>
      <c r="O152" s="368"/>
      <c r="P152" s="368"/>
      <c r="Q152" s="368"/>
      <c r="R152" s="368"/>
      <c r="S152" s="368"/>
      <c r="T152" s="368"/>
      <c r="U152" s="368"/>
      <c r="V152" s="368"/>
      <c r="W152" s="368"/>
      <c r="X152" s="368"/>
      <c r="Y152" s="368"/>
      <c r="Z152" s="368"/>
      <c r="AA152" s="368"/>
      <c r="AB152" s="368"/>
      <c r="AC152" s="368"/>
      <c r="AD152" s="368"/>
      <c r="AE152" s="368"/>
      <c r="AF152" s="368"/>
      <c r="AG152" s="368"/>
      <c r="AH152" s="368"/>
      <c r="AI152" s="368"/>
      <c r="AJ152" s="368"/>
      <c r="AK152" s="368"/>
      <c r="AL152" s="368"/>
      <c r="AM152" s="368"/>
      <c r="AN152" s="368"/>
      <c r="AO152" s="368"/>
      <c r="AP152" s="368"/>
      <c r="AQ152" s="368"/>
      <c r="AR152" s="368"/>
      <c r="AS152" s="368"/>
      <c r="AT152" s="368"/>
      <c r="AU152" s="368"/>
      <c r="AV152" s="368"/>
      <c r="AW152" s="368"/>
      <c r="AX152" s="368"/>
      <c r="AY152" s="368"/>
      <c r="AZ152" s="368"/>
      <c r="BA152" s="368"/>
      <c r="BB152" s="368"/>
      <c r="BC152" s="368"/>
      <c r="BD152" s="368"/>
      <c r="BE152" s="368"/>
      <c r="BF152" s="368"/>
      <c r="BG152" s="368"/>
    </row>
    <row r="153" spans="2:59" x14ac:dyDescent="0.25">
      <c r="B153" s="67" t="str">
        <f>IF(Capacity!B46="","",Capacity!B46)</f>
        <v/>
      </c>
      <c r="C153" s="221" t="str">
        <f>IF(B153="","",Capacity!E46)</f>
        <v/>
      </c>
      <c r="D153" s="312" t="str">
        <f>IF(B153="","",Capacity!F46)</f>
        <v/>
      </c>
      <c r="E153" s="221" t="str">
        <f>IF(B153="","",IF(COUNTBLANK(H153:BG153)=52,SUM('Capacity calculation (hide)'!H34:BG34),52-COUNTBLANK(H153:BG153)))</f>
        <v/>
      </c>
      <c r="F153" s="313" t="str">
        <f>'Capacity calculation (hide)'!BI34</f>
        <v/>
      </c>
      <c r="H153" s="368"/>
      <c r="I153" s="368"/>
      <c r="J153" s="368"/>
      <c r="K153" s="368"/>
      <c r="L153" s="368"/>
      <c r="M153" s="368"/>
      <c r="N153" s="368"/>
      <c r="O153" s="368"/>
      <c r="P153" s="368"/>
      <c r="Q153" s="368"/>
      <c r="R153" s="368"/>
      <c r="S153" s="368"/>
      <c r="T153" s="368"/>
      <c r="U153" s="368"/>
      <c r="V153" s="368"/>
      <c r="W153" s="368"/>
      <c r="X153" s="368"/>
      <c r="Y153" s="368"/>
      <c r="Z153" s="368"/>
      <c r="AA153" s="368"/>
      <c r="AB153" s="368"/>
      <c r="AC153" s="368"/>
      <c r="AD153" s="368"/>
      <c r="AE153" s="368"/>
      <c r="AF153" s="368"/>
      <c r="AG153" s="368"/>
      <c r="AH153" s="368"/>
      <c r="AI153" s="368"/>
      <c r="AJ153" s="368"/>
      <c r="AK153" s="368"/>
      <c r="AL153" s="368"/>
      <c r="AM153" s="368"/>
      <c r="AN153" s="368"/>
      <c r="AO153" s="368"/>
      <c r="AP153" s="368"/>
      <c r="AQ153" s="368"/>
      <c r="AR153" s="368"/>
      <c r="AS153" s="368"/>
      <c r="AT153" s="368"/>
      <c r="AU153" s="368"/>
      <c r="AV153" s="368"/>
      <c r="AW153" s="368"/>
      <c r="AX153" s="368"/>
      <c r="AY153" s="368"/>
      <c r="AZ153" s="368"/>
      <c r="BA153" s="368"/>
      <c r="BB153" s="368"/>
      <c r="BC153" s="368"/>
      <c r="BD153" s="368"/>
      <c r="BE153" s="368"/>
      <c r="BF153" s="368"/>
      <c r="BG153" s="368"/>
    </row>
    <row r="154" spans="2:59" x14ac:dyDescent="0.25">
      <c r="B154" s="67" t="str">
        <f>IF(Capacity!B47="","",Capacity!B47)</f>
        <v/>
      </c>
      <c r="C154" s="221" t="str">
        <f>IF(B154="","",Capacity!E47)</f>
        <v/>
      </c>
      <c r="D154" s="312" t="str">
        <f>IF(B154="","",Capacity!F47)</f>
        <v/>
      </c>
      <c r="E154" s="221" t="str">
        <f>IF(B154="","",IF(COUNTBLANK(H154:BG154)=52,SUM('Capacity calculation (hide)'!H35:BG35),52-COUNTBLANK(H154:BG154)))</f>
        <v/>
      </c>
      <c r="F154" s="313" t="str">
        <f>'Capacity calculation (hide)'!BI35</f>
        <v/>
      </c>
      <c r="H154" s="368"/>
      <c r="I154" s="368"/>
      <c r="J154" s="368"/>
      <c r="K154" s="368"/>
      <c r="L154" s="368"/>
      <c r="M154" s="368"/>
      <c r="N154" s="368"/>
      <c r="O154" s="368"/>
      <c r="P154" s="368"/>
      <c r="Q154" s="368"/>
      <c r="R154" s="368"/>
      <c r="S154" s="368"/>
      <c r="T154" s="368"/>
      <c r="U154" s="368"/>
      <c r="V154" s="368"/>
      <c r="W154" s="368"/>
      <c r="X154" s="368"/>
      <c r="Y154" s="368"/>
      <c r="Z154" s="368"/>
      <c r="AA154" s="368"/>
      <c r="AB154" s="368"/>
      <c r="AC154" s="368"/>
      <c r="AD154" s="368"/>
      <c r="AE154" s="368"/>
      <c r="AF154" s="368"/>
      <c r="AG154" s="368"/>
      <c r="AH154" s="368"/>
      <c r="AI154" s="368"/>
      <c r="AJ154" s="368"/>
      <c r="AK154" s="368"/>
      <c r="AL154" s="368"/>
      <c r="AM154" s="368"/>
      <c r="AN154" s="368"/>
      <c r="AO154" s="368"/>
      <c r="AP154" s="368"/>
      <c r="AQ154" s="368"/>
      <c r="AR154" s="368"/>
      <c r="AS154" s="368"/>
      <c r="AT154" s="368"/>
      <c r="AU154" s="368"/>
      <c r="AV154" s="368"/>
      <c r="AW154" s="368"/>
      <c r="AX154" s="368"/>
      <c r="AY154" s="368"/>
      <c r="AZ154" s="368"/>
      <c r="BA154" s="368"/>
      <c r="BB154" s="368"/>
      <c r="BC154" s="368"/>
      <c r="BD154" s="368"/>
      <c r="BE154" s="368"/>
      <c r="BF154" s="368"/>
      <c r="BG154" s="368"/>
    </row>
    <row r="155" spans="2:59" x14ac:dyDescent="0.25">
      <c r="B155" s="67" t="str">
        <f>IF(Capacity!B48="","",Capacity!B48)</f>
        <v/>
      </c>
      <c r="C155" s="221" t="str">
        <f>IF(B155="","",Capacity!E48)</f>
        <v/>
      </c>
      <c r="D155" s="312" t="str">
        <f>IF(B155="","",Capacity!F48)</f>
        <v/>
      </c>
      <c r="E155" s="221" t="str">
        <f>IF(B155="","",IF(COUNTBLANK(H155:BG155)=52,SUM('Capacity calculation (hide)'!H36:BG36),52-COUNTBLANK(H155:BG155)))</f>
        <v/>
      </c>
      <c r="F155" s="313" t="str">
        <f>'Capacity calculation (hide)'!BI36</f>
        <v/>
      </c>
      <c r="H155" s="368"/>
      <c r="I155" s="368"/>
      <c r="J155" s="368"/>
      <c r="K155" s="368"/>
      <c r="L155" s="368"/>
      <c r="M155" s="368"/>
      <c r="N155" s="368"/>
      <c r="O155" s="368"/>
      <c r="P155" s="368"/>
      <c r="Q155" s="368"/>
      <c r="R155" s="368"/>
      <c r="S155" s="368"/>
      <c r="T155" s="368"/>
      <c r="U155" s="368"/>
      <c r="V155" s="368"/>
      <c r="W155" s="368"/>
      <c r="X155" s="368"/>
      <c r="Y155" s="368"/>
      <c r="Z155" s="368"/>
      <c r="AA155" s="368"/>
      <c r="AB155" s="368"/>
      <c r="AC155" s="368"/>
      <c r="AD155" s="368"/>
      <c r="AE155" s="368"/>
      <c r="AF155" s="368"/>
      <c r="AG155" s="368"/>
      <c r="AH155" s="368"/>
      <c r="AI155" s="368"/>
      <c r="AJ155" s="368"/>
      <c r="AK155" s="368"/>
      <c r="AL155" s="368"/>
      <c r="AM155" s="368"/>
      <c r="AN155" s="368"/>
      <c r="AO155" s="368"/>
      <c r="AP155" s="368"/>
      <c r="AQ155" s="368"/>
      <c r="AR155" s="368"/>
      <c r="AS155" s="368"/>
      <c r="AT155" s="368"/>
      <c r="AU155" s="368"/>
      <c r="AV155" s="368"/>
      <c r="AW155" s="368"/>
      <c r="AX155" s="368"/>
      <c r="AY155" s="368"/>
      <c r="AZ155" s="368"/>
      <c r="BA155" s="368"/>
      <c r="BB155" s="368"/>
      <c r="BC155" s="368"/>
      <c r="BD155" s="368"/>
      <c r="BE155" s="368"/>
      <c r="BF155" s="368"/>
      <c r="BG155" s="368"/>
    </row>
    <row r="156" spans="2:59" x14ac:dyDescent="0.25">
      <c r="B156" s="67" t="str">
        <f>IF(Capacity!B49="","",Capacity!B49)</f>
        <v/>
      </c>
      <c r="C156" s="221" t="str">
        <f>IF(B156="","",Capacity!E49)</f>
        <v/>
      </c>
      <c r="D156" s="312" t="str">
        <f>IF(B156="","",Capacity!F49)</f>
        <v/>
      </c>
      <c r="E156" s="221" t="str">
        <f>IF(B156="","",IF(COUNTBLANK(H156:BG156)=52,SUM('Capacity calculation (hide)'!H37:BG37),52-COUNTBLANK(H156:BG156)))</f>
        <v/>
      </c>
      <c r="F156" s="313" t="str">
        <f>'Capacity calculation (hide)'!BI37</f>
        <v/>
      </c>
      <c r="H156" s="368"/>
      <c r="I156" s="368"/>
      <c r="J156" s="368"/>
      <c r="K156" s="368"/>
      <c r="L156" s="368"/>
      <c r="M156" s="368"/>
      <c r="N156" s="368"/>
      <c r="O156" s="368"/>
      <c r="P156" s="368"/>
      <c r="Q156" s="368"/>
      <c r="R156" s="368"/>
      <c r="S156" s="368"/>
      <c r="T156" s="368"/>
      <c r="U156" s="368"/>
      <c r="V156" s="368"/>
      <c r="W156" s="368"/>
      <c r="X156" s="368"/>
      <c r="Y156" s="368"/>
      <c r="Z156" s="368"/>
      <c r="AA156" s="368"/>
      <c r="AB156" s="368"/>
      <c r="AC156" s="368"/>
      <c r="AD156" s="368"/>
      <c r="AE156" s="368"/>
      <c r="AF156" s="368"/>
      <c r="AG156" s="368"/>
      <c r="AH156" s="368"/>
      <c r="AI156" s="368"/>
      <c r="AJ156" s="368"/>
      <c r="AK156" s="368"/>
      <c r="AL156" s="368"/>
      <c r="AM156" s="368"/>
      <c r="AN156" s="368"/>
      <c r="AO156" s="368"/>
      <c r="AP156" s="368"/>
      <c r="AQ156" s="368"/>
      <c r="AR156" s="368"/>
      <c r="AS156" s="368"/>
      <c r="AT156" s="368"/>
      <c r="AU156" s="368"/>
      <c r="AV156" s="368"/>
      <c r="AW156" s="368"/>
      <c r="AX156" s="368"/>
      <c r="AY156" s="368"/>
      <c r="AZ156" s="368"/>
      <c r="BA156" s="368"/>
      <c r="BB156" s="368"/>
      <c r="BC156" s="368"/>
      <c r="BD156" s="368"/>
      <c r="BE156" s="368"/>
      <c r="BF156" s="368"/>
      <c r="BG156" s="368"/>
    </row>
    <row r="157" spans="2:59" x14ac:dyDescent="0.25">
      <c r="B157" s="67" t="str">
        <f>IF(Capacity!B50="","",Capacity!B50)</f>
        <v/>
      </c>
      <c r="C157" s="221" t="str">
        <f>IF(B157="","",Capacity!E50)</f>
        <v/>
      </c>
      <c r="D157" s="312" t="str">
        <f>IF(B157="","",Capacity!F50)</f>
        <v/>
      </c>
      <c r="E157" s="221" t="str">
        <f>IF(B157="","",IF(COUNTBLANK(H157:BG157)=52,SUM('Capacity calculation (hide)'!H38:BG38),52-COUNTBLANK(H157:BG157)))</f>
        <v/>
      </c>
      <c r="F157" s="313" t="str">
        <f>'Capacity calculation (hide)'!BI38</f>
        <v/>
      </c>
      <c r="H157" s="368"/>
      <c r="I157" s="368"/>
      <c r="J157" s="368"/>
      <c r="K157" s="368"/>
      <c r="L157" s="368"/>
      <c r="M157" s="368"/>
      <c r="N157" s="368"/>
      <c r="O157" s="368"/>
      <c r="P157" s="368"/>
      <c r="Q157" s="368"/>
      <c r="R157" s="368"/>
      <c r="S157" s="368"/>
      <c r="T157" s="368"/>
      <c r="U157" s="368"/>
      <c r="V157" s="368"/>
      <c r="W157" s="368"/>
      <c r="X157" s="368"/>
      <c r="Y157" s="368"/>
      <c r="Z157" s="368"/>
      <c r="AA157" s="368"/>
      <c r="AB157" s="368"/>
      <c r="AC157" s="368"/>
      <c r="AD157" s="368"/>
      <c r="AE157" s="368"/>
      <c r="AF157" s="368"/>
      <c r="AG157" s="368"/>
      <c r="AH157" s="368"/>
      <c r="AI157" s="368"/>
      <c r="AJ157" s="368"/>
      <c r="AK157" s="368"/>
      <c r="AL157" s="368"/>
      <c r="AM157" s="368"/>
      <c r="AN157" s="368"/>
      <c r="AO157" s="368"/>
      <c r="AP157" s="368"/>
      <c r="AQ157" s="368"/>
      <c r="AR157" s="368"/>
      <c r="AS157" s="368"/>
      <c r="AT157" s="368"/>
      <c r="AU157" s="368"/>
      <c r="AV157" s="368"/>
      <c r="AW157" s="368"/>
      <c r="AX157" s="368"/>
      <c r="AY157" s="368"/>
      <c r="AZ157" s="368"/>
      <c r="BA157" s="368"/>
      <c r="BB157" s="368"/>
      <c r="BC157" s="368"/>
      <c r="BD157" s="368"/>
      <c r="BE157" s="368"/>
      <c r="BF157" s="368"/>
      <c r="BG157" s="368"/>
    </row>
    <row r="158" spans="2:59" x14ac:dyDescent="0.25">
      <c r="B158" s="67" t="str">
        <f>IF(Capacity!B51="","",Capacity!B51)</f>
        <v/>
      </c>
      <c r="C158" s="221" t="str">
        <f>IF(B158="","",Capacity!E51)</f>
        <v/>
      </c>
      <c r="D158" s="312" t="str">
        <f>IF(B158="","",Capacity!F51)</f>
        <v/>
      </c>
      <c r="E158" s="221" t="str">
        <f>IF(B158="","",IF(COUNTBLANK(H158:BG158)=52,SUM('Capacity calculation (hide)'!H39:BG39),52-COUNTBLANK(H158:BG158)))</f>
        <v/>
      </c>
      <c r="F158" s="313" t="str">
        <f>'Capacity calculation (hide)'!BI39</f>
        <v/>
      </c>
      <c r="H158" s="368"/>
      <c r="I158" s="368"/>
      <c r="J158" s="368"/>
      <c r="K158" s="368"/>
      <c r="L158" s="368"/>
      <c r="M158" s="368"/>
      <c r="N158" s="368"/>
      <c r="O158" s="368"/>
      <c r="P158" s="368"/>
      <c r="Q158" s="368"/>
      <c r="R158" s="368"/>
      <c r="S158" s="368"/>
      <c r="T158" s="368"/>
      <c r="U158" s="368"/>
      <c r="V158" s="368"/>
      <c r="W158" s="368"/>
      <c r="X158" s="368"/>
      <c r="Y158" s="368"/>
      <c r="Z158" s="368"/>
      <c r="AA158" s="368"/>
      <c r="AB158" s="368"/>
      <c r="AC158" s="368"/>
      <c r="AD158" s="368"/>
      <c r="AE158" s="368"/>
      <c r="AF158" s="368"/>
      <c r="AG158" s="368"/>
      <c r="AH158" s="368"/>
      <c r="AI158" s="368"/>
      <c r="AJ158" s="368"/>
      <c r="AK158" s="368"/>
      <c r="AL158" s="368"/>
      <c r="AM158" s="368"/>
      <c r="AN158" s="368"/>
      <c r="AO158" s="368"/>
      <c r="AP158" s="368"/>
      <c r="AQ158" s="368"/>
      <c r="AR158" s="368"/>
      <c r="AS158" s="368"/>
      <c r="AT158" s="368"/>
      <c r="AU158" s="368"/>
      <c r="AV158" s="368"/>
      <c r="AW158" s="368"/>
      <c r="AX158" s="368"/>
      <c r="AY158" s="368"/>
      <c r="AZ158" s="368"/>
      <c r="BA158" s="368"/>
      <c r="BB158" s="368"/>
      <c r="BC158" s="368"/>
      <c r="BD158" s="368"/>
      <c r="BE158" s="368"/>
      <c r="BF158" s="368"/>
      <c r="BG158" s="368"/>
    </row>
    <row r="159" spans="2:59" x14ac:dyDescent="0.25">
      <c r="B159" s="67" t="str">
        <f>IF(Capacity!B52="","",Capacity!B52)</f>
        <v/>
      </c>
      <c r="C159" s="221" t="str">
        <f>IF(B159="","",Capacity!E52)</f>
        <v/>
      </c>
      <c r="D159" s="312" t="str">
        <f>IF(B159="","",Capacity!F52)</f>
        <v/>
      </c>
      <c r="E159" s="221" t="str">
        <f>IF(B159="","",IF(COUNTBLANK(H159:BG159)=52,SUM('Capacity calculation (hide)'!H40:BG40),52-COUNTBLANK(H159:BG159)))</f>
        <v/>
      </c>
      <c r="F159" s="313" t="str">
        <f>'Capacity calculation (hide)'!BI40</f>
        <v/>
      </c>
      <c r="H159" s="368"/>
      <c r="I159" s="368"/>
      <c r="J159" s="368"/>
      <c r="K159" s="368"/>
      <c r="L159" s="368"/>
      <c r="M159" s="368"/>
      <c r="N159" s="368"/>
      <c r="O159" s="368"/>
      <c r="P159" s="368"/>
      <c r="Q159" s="368"/>
      <c r="R159" s="368"/>
      <c r="S159" s="368"/>
      <c r="T159" s="368"/>
      <c r="U159" s="368"/>
      <c r="V159" s="368"/>
      <c r="W159" s="368"/>
      <c r="X159" s="368"/>
      <c r="Y159" s="368"/>
      <c r="Z159" s="368"/>
      <c r="AA159" s="368"/>
      <c r="AB159" s="368"/>
      <c r="AC159" s="368"/>
      <c r="AD159" s="368"/>
      <c r="AE159" s="368"/>
      <c r="AF159" s="368"/>
      <c r="AG159" s="368"/>
      <c r="AH159" s="368"/>
      <c r="AI159" s="368"/>
      <c r="AJ159" s="368"/>
      <c r="AK159" s="368"/>
      <c r="AL159" s="368"/>
      <c r="AM159" s="368"/>
      <c r="AN159" s="368"/>
      <c r="AO159" s="368"/>
      <c r="AP159" s="368"/>
      <c r="AQ159" s="368"/>
      <c r="AR159" s="368"/>
      <c r="AS159" s="368"/>
      <c r="AT159" s="368"/>
      <c r="AU159" s="368"/>
      <c r="AV159" s="368"/>
      <c r="AW159" s="368"/>
      <c r="AX159" s="368"/>
      <c r="AY159" s="368"/>
      <c r="AZ159" s="368"/>
      <c r="BA159" s="368"/>
      <c r="BB159" s="368"/>
      <c r="BC159" s="368"/>
      <c r="BD159" s="368"/>
      <c r="BE159" s="368"/>
      <c r="BF159" s="368"/>
      <c r="BG159" s="368"/>
    </row>
    <row r="160" spans="2:59" x14ac:dyDescent="0.25">
      <c r="B160" s="67" t="str">
        <f>IF(Capacity!B53="","",Capacity!B53)</f>
        <v/>
      </c>
      <c r="C160" s="221" t="str">
        <f>IF(B160="","",Capacity!E53)</f>
        <v/>
      </c>
      <c r="D160" s="312" t="str">
        <f>IF(B160="","",Capacity!F53)</f>
        <v/>
      </c>
      <c r="E160" s="221" t="str">
        <f>IF(B160="","",IF(COUNTBLANK(H160:BG160)=52,SUM('Capacity calculation (hide)'!H41:BG41),52-COUNTBLANK(H160:BG160)))</f>
        <v/>
      </c>
      <c r="F160" s="313" t="str">
        <f>'Capacity calculation (hide)'!BI41</f>
        <v/>
      </c>
      <c r="H160" s="368"/>
      <c r="I160" s="368"/>
      <c r="J160" s="368"/>
      <c r="K160" s="368"/>
      <c r="L160" s="368"/>
      <c r="M160" s="368"/>
      <c r="N160" s="368"/>
      <c r="O160" s="368"/>
      <c r="P160" s="368"/>
      <c r="Q160" s="368"/>
      <c r="R160" s="368"/>
      <c r="S160" s="368"/>
      <c r="T160" s="368"/>
      <c r="U160" s="368"/>
      <c r="V160" s="368"/>
      <c r="W160" s="368"/>
      <c r="X160" s="368"/>
      <c r="Y160" s="368"/>
      <c r="Z160" s="368"/>
      <c r="AA160" s="368"/>
      <c r="AB160" s="368"/>
      <c r="AC160" s="368"/>
      <c r="AD160" s="368"/>
      <c r="AE160" s="368"/>
      <c r="AF160" s="368"/>
      <c r="AG160" s="368"/>
      <c r="AH160" s="368"/>
      <c r="AI160" s="368"/>
      <c r="AJ160" s="368"/>
      <c r="AK160" s="368"/>
      <c r="AL160" s="368"/>
      <c r="AM160" s="368"/>
      <c r="AN160" s="368"/>
      <c r="AO160" s="368"/>
      <c r="AP160" s="368"/>
      <c r="AQ160" s="368"/>
      <c r="AR160" s="368"/>
      <c r="AS160" s="368"/>
      <c r="AT160" s="368"/>
      <c r="AU160" s="368"/>
      <c r="AV160" s="368"/>
      <c r="AW160" s="368"/>
      <c r="AX160" s="368"/>
      <c r="AY160" s="368"/>
      <c r="AZ160" s="368"/>
      <c r="BA160" s="368"/>
      <c r="BB160" s="368"/>
      <c r="BC160" s="368"/>
      <c r="BD160" s="368"/>
      <c r="BE160" s="368"/>
      <c r="BF160" s="368"/>
      <c r="BG160" s="368"/>
    </row>
    <row r="161" spans="2:59" x14ac:dyDescent="0.25">
      <c r="B161" s="67" t="str">
        <f>IF(Capacity!B54="","",Capacity!B54)</f>
        <v/>
      </c>
      <c r="C161" s="221" t="str">
        <f>IF(B161="","",Capacity!E54)</f>
        <v/>
      </c>
      <c r="D161" s="312" t="str">
        <f>IF(B161="","",Capacity!F54)</f>
        <v/>
      </c>
      <c r="E161" s="221" t="str">
        <f>IF(B161="","",IF(COUNTBLANK(H161:BG161)=52,SUM('Capacity calculation (hide)'!H42:BG42),52-COUNTBLANK(H161:BG161)))</f>
        <v/>
      </c>
      <c r="F161" s="313" t="str">
        <f>'Capacity calculation (hide)'!BI42</f>
        <v/>
      </c>
      <c r="H161" s="368"/>
      <c r="I161" s="368"/>
      <c r="J161" s="368"/>
      <c r="K161" s="368"/>
      <c r="L161" s="368"/>
      <c r="M161" s="368"/>
      <c r="N161" s="368"/>
      <c r="O161" s="368"/>
      <c r="P161" s="368"/>
      <c r="Q161" s="368"/>
      <c r="R161" s="368"/>
      <c r="S161" s="368"/>
      <c r="T161" s="368"/>
      <c r="U161" s="368"/>
      <c r="V161" s="368"/>
      <c r="W161" s="368"/>
      <c r="X161" s="368"/>
      <c r="Y161" s="368"/>
      <c r="Z161" s="368"/>
      <c r="AA161" s="368"/>
      <c r="AB161" s="368"/>
      <c r="AC161" s="368"/>
      <c r="AD161" s="368"/>
      <c r="AE161" s="368"/>
      <c r="AF161" s="368"/>
      <c r="AG161" s="368"/>
      <c r="AH161" s="368"/>
      <c r="AI161" s="368"/>
      <c r="AJ161" s="368"/>
      <c r="AK161" s="368"/>
      <c r="AL161" s="368"/>
      <c r="AM161" s="368"/>
      <c r="AN161" s="368"/>
      <c r="AO161" s="368"/>
      <c r="AP161" s="368"/>
      <c r="AQ161" s="368"/>
      <c r="AR161" s="368"/>
      <c r="AS161" s="368"/>
      <c r="AT161" s="368"/>
      <c r="AU161" s="368"/>
      <c r="AV161" s="368"/>
      <c r="AW161" s="368"/>
      <c r="AX161" s="368"/>
      <c r="AY161" s="368"/>
      <c r="AZ161" s="368"/>
      <c r="BA161" s="368"/>
      <c r="BB161" s="368"/>
      <c r="BC161" s="368"/>
      <c r="BD161" s="368"/>
      <c r="BE161" s="368"/>
      <c r="BF161" s="368"/>
      <c r="BG161" s="368"/>
    </row>
    <row r="162" spans="2:59" x14ac:dyDescent="0.25">
      <c r="B162" s="67" t="str">
        <f>IF(Capacity!B55="","",Capacity!B55)</f>
        <v/>
      </c>
      <c r="C162" s="221" t="str">
        <f>IF(B162="","",Capacity!E55)</f>
        <v/>
      </c>
      <c r="D162" s="312" t="str">
        <f>IF(B162="","",Capacity!F55)</f>
        <v/>
      </c>
      <c r="E162" s="221" t="str">
        <f>IF(B162="","",IF(COUNTBLANK(H162:BG162)=52,SUM('Capacity calculation (hide)'!H43:BG43),52-COUNTBLANK(H162:BG162)))</f>
        <v/>
      </c>
      <c r="F162" s="313" t="str">
        <f>'Capacity calculation (hide)'!BI43</f>
        <v/>
      </c>
      <c r="H162" s="368"/>
      <c r="I162" s="368"/>
      <c r="J162" s="368"/>
      <c r="K162" s="368"/>
      <c r="L162" s="368"/>
      <c r="M162" s="368"/>
      <c r="N162" s="368"/>
      <c r="O162" s="368"/>
      <c r="P162" s="368"/>
      <c r="Q162" s="368"/>
      <c r="R162" s="368"/>
      <c r="S162" s="368"/>
      <c r="T162" s="368"/>
      <c r="U162" s="368"/>
      <c r="V162" s="368"/>
      <c r="W162" s="368"/>
      <c r="X162" s="368"/>
      <c r="Y162" s="368"/>
      <c r="Z162" s="368"/>
      <c r="AA162" s="368"/>
      <c r="AB162" s="368"/>
      <c r="AC162" s="368"/>
      <c r="AD162" s="368"/>
      <c r="AE162" s="368"/>
      <c r="AF162" s="368"/>
      <c r="AG162" s="368"/>
      <c r="AH162" s="368"/>
      <c r="AI162" s="368"/>
      <c r="AJ162" s="368"/>
      <c r="AK162" s="368"/>
      <c r="AL162" s="368"/>
      <c r="AM162" s="368"/>
      <c r="AN162" s="368"/>
      <c r="AO162" s="368"/>
      <c r="AP162" s="368"/>
      <c r="AQ162" s="368"/>
      <c r="AR162" s="368"/>
      <c r="AS162" s="368"/>
      <c r="AT162" s="368"/>
      <c r="AU162" s="368"/>
      <c r="AV162" s="368"/>
      <c r="AW162" s="368"/>
      <c r="AX162" s="368"/>
      <c r="AY162" s="368"/>
      <c r="AZ162" s="368"/>
      <c r="BA162" s="368"/>
      <c r="BB162" s="368"/>
      <c r="BC162" s="368"/>
      <c r="BD162" s="368"/>
      <c r="BE162" s="368"/>
      <c r="BF162" s="368"/>
      <c r="BG162" s="368"/>
    </row>
    <row r="163" spans="2:59" x14ac:dyDescent="0.25">
      <c r="B163" s="67" t="str">
        <f>IF(Capacity!B56="","",Capacity!B56)</f>
        <v/>
      </c>
      <c r="C163" s="221" t="str">
        <f>IF(B163="","",Capacity!E56)</f>
        <v/>
      </c>
      <c r="D163" s="312" t="str">
        <f>IF(B163="","",Capacity!F56)</f>
        <v/>
      </c>
      <c r="E163" s="221" t="str">
        <f>IF(B163="","",IF(COUNTBLANK(H163:BG163)=52,SUM('Capacity calculation (hide)'!H44:BG44),52-COUNTBLANK(H163:BG163)))</f>
        <v/>
      </c>
      <c r="F163" s="313" t="str">
        <f>'Capacity calculation (hide)'!BI44</f>
        <v/>
      </c>
      <c r="H163" s="368"/>
      <c r="I163" s="368"/>
      <c r="J163" s="368"/>
      <c r="K163" s="368"/>
      <c r="L163" s="368"/>
      <c r="M163" s="368"/>
      <c r="N163" s="368"/>
      <c r="O163" s="368"/>
      <c r="P163" s="368"/>
      <c r="Q163" s="368"/>
      <c r="R163" s="368"/>
      <c r="S163" s="368"/>
      <c r="T163" s="368"/>
      <c r="U163" s="368"/>
      <c r="V163" s="368"/>
      <c r="W163" s="368"/>
      <c r="X163" s="368"/>
      <c r="Y163" s="368"/>
      <c r="Z163" s="368"/>
      <c r="AA163" s="368"/>
      <c r="AB163" s="368"/>
      <c r="AC163" s="368"/>
      <c r="AD163" s="368"/>
      <c r="AE163" s="368"/>
      <c r="AF163" s="368"/>
      <c r="AG163" s="368"/>
      <c r="AH163" s="368"/>
      <c r="AI163" s="368"/>
      <c r="AJ163" s="368"/>
      <c r="AK163" s="368"/>
      <c r="AL163" s="368"/>
      <c r="AM163" s="368"/>
      <c r="AN163" s="368"/>
      <c r="AO163" s="368"/>
      <c r="AP163" s="368"/>
      <c r="AQ163" s="368"/>
      <c r="AR163" s="368"/>
      <c r="AS163" s="368"/>
      <c r="AT163" s="368"/>
      <c r="AU163" s="368"/>
      <c r="AV163" s="368"/>
      <c r="AW163" s="368"/>
      <c r="AX163" s="368"/>
      <c r="AY163" s="368"/>
      <c r="AZ163" s="368"/>
      <c r="BA163" s="368"/>
      <c r="BB163" s="368"/>
      <c r="BC163" s="368"/>
      <c r="BD163" s="368"/>
      <c r="BE163" s="368"/>
      <c r="BF163" s="368"/>
      <c r="BG163" s="368"/>
    </row>
    <row r="164" spans="2:59" x14ac:dyDescent="0.25">
      <c r="B164" s="67" t="str">
        <f>IF(Capacity!B57="","",Capacity!B57)</f>
        <v/>
      </c>
      <c r="C164" s="221" t="str">
        <f>IF(B164="","",Capacity!E57)</f>
        <v/>
      </c>
      <c r="D164" s="312" t="str">
        <f>IF(B164="","",Capacity!F57)</f>
        <v/>
      </c>
      <c r="E164" s="221" t="str">
        <f>IF(B164="","",IF(COUNTBLANK(H164:BG164)=52,SUM('Capacity calculation (hide)'!H45:BG45),52-COUNTBLANK(H164:BG164)))</f>
        <v/>
      </c>
      <c r="F164" s="313" t="str">
        <f>'Capacity calculation (hide)'!BI45</f>
        <v/>
      </c>
      <c r="H164" s="368"/>
      <c r="I164" s="368"/>
      <c r="J164" s="368"/>
      <c r="K164" s="368"/>
      <c r="L164" s="368"/>
      <c r="M164" s="368"/>
      <c r="N164" s="368"/>
      <c r="O164" s="368"/>
      <c r="P164" s="368"/>
      <c r="Q164" s="368"/>
      <c r="R164" s="368"/>
      <c r="S164" s="368"/>
      <c r="T164" s="368"/>
      <c r="U164" s="368"/>
      <c r="V164" s="368"/>
      <c r="W164" s="368"/>
      <c r="X164" s="368"/>
      <c r="Y164" s="368"/>
      <c r="Z164" s="368"/>
      <c r="AA164" s="368"/>
      <c r="AB164" s="368"/>
      <c r="AC164" s="368"/>
      <c r="AD164" s="368"/>
      <c r="AE164" s="368"/>
      <c r="AF164" s="368"/>
      <c r="AG164" s="368"/>
      <c r="AH164" s="368"/>
      <c r="AI164" s="368"/>
      <c r="AJ164" s="368"/>
      <c r="AK164" s="368"/>
      <c r="AL164" s="368"/>
      <c r="AM164" s="368"/>
      <c r="AN164" s="368"/>
      <c r="AO164" s="368"/>
      <c r="AP164" s="368"/>
      <c r="AQ164" s="368"/>
      <c r="AR164" s="368"/>
      <c r="AS164" s="368"/>
      <c r="AT164" s="368"/>
      <c r="AU164" s="368"/>
      <c r="AV164" s="368"/>
      <c r="AW164" s="368"/>
      <c r="AX164" s="368"/>
      <c r="AY164" s="368"/>
      <c r="AZ164" s="368"/>
      <c r="BA164" s="368"/>
      <c r="BB164" s="368"/>
      <c r="BC164" s="368"/>
      <c r="BD164" s="368"/>
      <c r="BE164" s="368"/>
      <c r="BF164" s="368"/>
      <c r="BG164" s="368"/>
    </row>
    <row r="165" spans="2:59" x14ac:dyDescent="0.25">
      <c r="B165" s="67" t="str">
        <f>IF(Capacity!B58="","",Capacity!B58)</f>
        <v/>
      </c>
      <c r="C165" s="221" t="str">
        <f>IF(B165="","",Capacity!E58)</f>
        <v/>
      </c>
      <c r="D165" s="312" t="str">
        <f>IF(B165="","",Capacity!F58)</f>
        <v/>
      </c>
      <c r="E165" s="221" t="str">
        <f>IF(B165="","",IF(COUNTBLANK(H165:BG165)=52,SUM('Capacity calculation (hide)'!H46:BG46),52-COUNTBLANK(H165:BG165)))</f>
        <v/>
      </c>
      <c r="F165" s="313" t="str">
        <f>'Capacity calculation (hide)'!BI46</f>
        <v/>
      </c>
      <c r="H165" s="368"/>
      <c r="I165" s="368"/>
      <c r="J165" s="368"/>
      <c r="K165" s="368"/>
      <c r="L165" s="368"/>
      <c r="M165" s="368"/>
      <c r="N165" s="368"/>
      <c r="O165" s="368"/>
      <c r="P165" s="368"/>
      <c r="Q165" s="368"/>
      <c r="R165" s="368"/>
      <c r="S165" s="368"/>
      <c r="T165" s="368"/>
      <c r="U165" s="368"/>
      <c r="V165" s="368"/>
      <c r="W165" s="368"/>
      <c r="X165" s="368"/>
      <c r="Y165" s="368"/>
      <c r="Z165" s="368"/>
      <c r="AA165" s="368"/>
      <c r="AB165" s="368"/>
      <c r="AC165" s="368"/>
      <c r="AD165" s="368"/>
      <c r="AE165" s="368"/>
      <c r="AF165" s="368"/>
      <c r="AG165" s="368"/>
      <c r="AH165" s="368"/>
      <c r="AI165" s="368"/>
      <c r="AJ165" s="368"/>
      <c r="AK165" s="368"/>
      <c r="AL165" s="368"/>
      <c r="AM165" s="368"/>
      <c r="AN165" s="368"/>
      <c r="AO165" s="368"/>
      <c r="AP165" s="368"/>
      <c r="AQ165" s="368"/>
      <c r="AR165" s="368"/>
      <c r="AS165" s="368"/>
      <c r="AT165" s="368"/>
      <c r="AU165" s="368"/>
      <c r="AV165" s="368"/>
      <c r="AW165" s="368"/>
      <c r="AX165" s="368"/>
      <c r="AY165" s="368"/>
      <c r="AZ165" s="368"/>
      <c r="BA165" s="368"/>
      <c r="BB165" s="368"/>
      <c r="BC165" s="368"/>
      <c r="BD165" s="368"/>
      <c r="BE165" s="368"/>
      <c r="BF165" s="368"/>
      <c r="BG165" s="368"/>
    </row>
    <row r="166" spans="2:59" x14ac:dyDescent="0.25">
      <c r="B166" s="67" t="str">
        <f>IF(Capacity!B59="","",Capacity!B59)</f>
        <v/>
      </c>
      <c r="C166" s="221" t="str">
        <f>IF(B166="","",Capacity!E59)</f>
        <v/>
      </c>
      <c r="D166" s="312" t="str">
        <f>IF(B166="","",Capacity!F59)</f>
        <v/>
      </c>
      <c r="E166" s="221" t="str">
        <f>IF(B166="","",IF(COUNTBLANK(H166:BG166)=52,SUM('Capacity calculation (hide)'!H47:BG47),52-COUNTBLANK(H166:BG166)))</f>
        <v/>
      </c>
      <c r="F166" s="313" t="str">
        <f>'Capacity calculation (hide)'!BI47</f>
        <v/>
      </c>
      <c r="H166" s="368"/>
      <c r="I166" s="368"/>
      <c r="J166" s="368"/>
      <c r="K166" s="368"/>
      <c r="L166" s="368"/>
      <c r="M166" s="368"/>
      <c r="N166" s="368"/>
      <c r="O166" s="368"/>
      <c r="P166" s="368"/>
      <c r="Q166" s="368"/>
      <c r="R166" s="368"/>
      <c r="S166" s="368"/>
      <c r="T166" s="368"/>
      <c r="U166" s="368"/>
      <c r="V166" s="368"/>
      <c r="W166" s="368"/>
      <c r="X166" s="368"/>
      <c r="Y166" s="368"/>
      <c r="Z166" s="368"/>
      <c r="AA166" s="368"/>
      <c r="AB166" s="368"/>
      <c r="AC166" s="368"/>
      <c r="AD166" s="368"/>
      <c r="AE166" s="368"/>
      <c r="AF166" s="368"/>
      <c r="AG166" s="368"/>
      <c r="AH166" s="368"/>
      <c r="AI166" s="368"/>
      <c r="AJ166" s="368"/>
      <c r="AK166" s="368"/>
      <c r="AL166" s="368"/>
      <c r="AM166" s="368"/>
      <c r="AN166" s="368"/>
      <c r="AO166" s="368"/>
      <c r="AP166" s="368"/>
      <c r="AQ166" s="368"/>
      <c r="AR166" s="368"/>
      <c r="AS166" s="368"/>
      <c r="AT166" s="368"/>
      <c r="AU166" s="368"/>
      <c r="AV166" s="368"/>
      <c r="AW166" s="368"/>
      <c r="AX166" s="368"/>
      <c r="AY166" s="368"/>
      <c r="AZ166" s="368"/>
      <c r="BA166" s="368"/>
      <c r="BB166" s="368"/>
      <c r="BC166" s="368"/>
      <c r="BD166" s="368"/>
      <c r="BE166" s="368"/>
      <c r="BF166" s="368"/>
      <c r="BG166" s="368"/>
    </row>
    <row r="167" spans="2:59" x14ac:dyDescent="0.25">
      <c r="B167" s="67" t="str">
        <f>IF(Capacity!B60="","",Capacity!B60)</f>
        <v/>
      </c>
      <c r="C167" s="221" t="str">
        <f>IF(B167="","",Capacity!E60)</f>
        <v/>
      </c>
      <c r="D167" s="312" t="str">
        <f>IF(B167="","",Capacity!F60)</f>
        <v/>
      </c>
      <c r="E167" s="221" t="str">
        <f>IF(B167="","",IF(COUNTBLANK(H167:BG167)=52,SUM('Capacity calculation (hide)'!H48:BG48),52-COUNTBLANK(H167:BG167)))</f>
        <v/>
      </c>
      <c r="F167" s="313" t="str">
        <f>'Capacity calculation (hide)'!BI48</f>
        <v/>
      </c>
      <c r="H167" s="368"/>
      <c r="I167" s="368"/>
      <c r="J167" s="368"/>
      <c r="K167" s="368"/>
      <c r="L167" s="368"/>
      <c r="M167" s="368"/>
      <c r="N167" s="368"/>
      <c r="O167" s="368"/>
      <c r="P167" s="368"/>
      <c r="Q167" s="368"/>
      <c r="R167" s="368"/>
      <c r="S167" s="368"/>
      <c r="T167" s="368"/>
      <c r="U167" s="368"/>
      <c r="V167" s="368"/>
      <c r="W167" s="368"/>
      <c r="X167" s="368"/>
      <c r="Y167" s="368"/>
      <c r="Z167" s="368"/>
      <c r="AA167" s="368"/>
      <c r="AB167" s="368"/>
      <c r="AC167" s="368"/>
      <c r="AD167" s="368"/>
      <c r="AE167" s="368"/>
      <c r="AF167" s="368"/>
      <c r="AG167" s="368"/>
      <c r="AH167" s="368"/>
      <c r="AI167" s="368"/>
      <c r="AJ167" s="368"/>
      <c r="AK167" s="368"/>
      <c r="AL167" s="368"/>
      <c r="AM167" s="368"/>
      <c r="AN167" s="368"/>
      <c r="AO167" s="368"/>
      <c r="AP167" s="368"/>
      <c r="AQ167" s="368"/>
      <c r="AR167" s="368"/>
      <c r="AS167" s="368"/>
      <c r="AT167" s="368"/>
      <c r="AU167" s="368"/>
      <c r="AV167" s="368"/>
      <c r="AW167" s="368"/>
      <c r="AX167" s="368"/>
      <c r="AY167" s="368"/>
      <c r="AZ167" s="368"/>
      <c r="BA167" s="368"/>
      <c r="BB167" s="368"/>
      <c r="BC167" s="368"/>
      <c r="BD167" s="368"/>
      <c r="BE167" s="368"/>
      <c r="BF167" s="368"/>
      <c r="BG167" s="368"/>
    </row>
    <row r="168" spans="2:59" x14ac:dyDescent="0.25">
      <c r="B168" s="67" t="str">
        <f>IF(Capacity!B61="","",Capacity!B61)</f>
        <v/>
      </c>
      <c r="C168" s="221" t="str">
        <f>IF(B168="","",Capacity!E61)</f>
        <v/>
      </c>
      <c r="D168" s="312" t="str">
        <f>IF(B168="","",Capacity!F61)</f>
        <v/>
      </c>
      <c r="E168" s="221" t="str">
        <f>IF(B168="","",IF(COUNTBLANK(H168:BG168)=52,SUM('Capacity calculation (hide)'!H49:BG49),52-COUNTBLANK(H168:BG168)))</f>
        <v/>
      </c>
      <c r="F168" s="313" t="str">
        <f>'Capacity calculation (hide)'!BI49</f>
        <v/>
      </c>
      <c r="H168" s="368"/>
      <c r="I168" s="368"/>
      <c r="J168" s="368"/>
      <c r="K168" s="368"/>
      <c r="L168" s="368"/>
      <c r="M168" s="368"/>
      <c r="N168" s="368"/>
      <c r="O168" s="368"/>
      <c r="P168" s="368"/>
      <c r="Q168" s="368"/>
      <c r="R168" s="368"/>
      <c r="S168" s="368"/>
      <c r="T168" s="368"/>
      <c r="U168" s="368"/>
      <c r="V168" s="368"/>
      <c r="W168" s="368"/>
      <c r="X168" s="368"/>
      <c r="Y168" s="368"/>
      <c r="Z168" s="368"/>
      <c r="AA168" s="368"/>
      <c r="AB168" s="368"/>
      <c r="AC168" s="368"/>
      <c r="AD168" s="368"/>
      <c r="AE168" s="368"/>
      <c r="AF168" s="368"/>
      <c r="AG168" s="368"/>
      <c r="AH168" s="368"/>
      <c r="AI168" s="368"/>
      <c r="AJ168" s="368"/>
      <c r="AK168" s="368"/>
      <c r="AL168" s="368"/>
      <c r="AM168" s="368"/>
      <c r="AN168" s="368"/>
      <c r="AO168" s="368"/>
      <c r="AP168" s="368"/>
      <c r="AQ168" s="368"/>
      <c r="AR168" s="368"/>
      <c r="AS168" s="368"/>
      <c r="AT168" s="368"/>
      <c r="AU168" s="368"/>
      <c r="AV168" s="368"/>
      <c r="AW168" s="368"/>
      <c r="AX168" s="368"/>
      <c r="AY168" s="368"/>
      <c r="AZ168" s="368"/>
      <c r="BA168" s="368"/>
      <c r="BB168" s="368"/>
      <c r="BC168" s="368"/>
      <c r="BD168" s="368"/>
      <c r="BE168" s="368"/>
      <c r="BF168" s="368"/>
      <c r="BG168" s="368"/>
    </row>
    <row r="169" spans="2:59" x14ac:dyDescent="0.25">
      <c r="B169" s="67" t="str">
        <f>IF(Capacity!B62="","",Capacity!B62)</f>
        <v/>
      </c>
      <c r="C169" s="221" t="str">
        <f>IF(B169="","",Capacity!E62)</f>
        <v/>
      </c>
      <c r="D169" s="312" t="str">
        <f>IF(B169="","",Capacity!F62)</f>
        <v/>
      </c>
      <c r="E169" s="221" t="str">
        <f>IF(B169="","",IF(COUNTBLANK(H169:BG169)=52,SUM('Capacity calculation (hide)'!H50:BG50),52-COUNTBLANK(H169:BG169)))</f>
        <v/>
      </c>
      <c r="F169" s="313" t="str">
        <f>'Capacity calculation (hide)'!BI50</f>
        <v/>
      </c>
      <c r="H169" s="368"/>
      <c r="I169" s="368"/>
      <c r="J169" s="368"/>
      <c r="K169" s="368"/>
      <c r="L169" s="368"/>
      <c r="M169" s="368"/>
      <c r="N169" s="368"/>
      <c r="O169" s="368"/>
      <c r="P169" s="368"/>
      <c r="Q169" s="368"/>
      <c r="R169" s="368"/>
      <c r="S169" s="368"/>
      <c r="T169" s="368"/>
      <c r="U169" s="368"/>
      <c r="V169" s="368"/>
      <c r="W169" s="368"/>
      <c r="X169" s="368"/>
      <c r="Y169" s="368"/>
      <c r="Z169" s="368"/>
      <c r="AA169" s="368"/>
      <c r="AB169" s="368"/>
      <c r="AC169" s="368"/>
      <c r="AD169" s="368"/>
      <c r="AE169" s="368"/>
      <c r="AF169" s="368"/>
      <c r="AG169" s="368"/>
      <c r="AH169" s="368"/>
      <c r="AI169" s="368"/>
      <c r="AJ169" s="368"/>
      <c r="AK169" s="368"/>
      <c r="AL169" s="368"/>
      <c r="AM169" s="368"/>
      <c r="AN169" s="368"/>
      <c r="AO169" s="368"/>
      <c r="AP169" s="368"/>
      <c r="AQ169" s="368"/>
      <c r="AR169" s="368"/>
      <c r="AS169" s="368"/>
      <c r="AT169" s="368"/>
      <c r="AU169" s="368"/>
      <c r="AV169" s="368"/>
      <c r="AW169" s="368"/>
      <c r="AX169" s="368"/>
      <c r="AY169" s="368"/>
      <c r="AZ169" s="368"/>
      <c r="BA169" s="368"/>
      <c r="BB169" s="368"/>
      <c r="BC169" s="368"/>
      <c r="BD169" s="368"/>
      <c r="BE169" s="368"/>
      <c r="BF169" s="368"/>
      <c r="BG169" s="368"/>
    </row>
    <row r="170" spans="2:59" x14ac:dyDescent="0.25">
      <c r="B170" s="67" t="str">
        <f>IF(Capacity!B63="","",Capacity!B63)</f>
        <v/>
      </c>
      <c r="C170" s="221" t="str">
        <f>IF(B170="","",Capacity!E63)</f>
        <v/>
      </c>
      <c r="D170" s="312" t="str">
        <f>IF(B170="","",Capacity!F63)</f>
        <v/>
      </c>
      <c r="E170" s="221" t="str">
        <f>IF(B170="","",IF(COUNTBLANK(H170:BG170)=52,SUM('Capacity calculation (hide)'!H51:BG51),52-COUNTBLANK(H170:BG170)))</f>
        <v/>
      </c>
      <c r="F170" s="313" t="str">
        <f>'Capacity calculation (hide)'!BI51</f>
        <v/>
      </c>
      <c r="H170" s="368"/>
      <c r="I170" s="368"/>
      <c r="J170" s="368"/>
      <c r="K170" s="368"/>
      <c r="L170" s="368"/>
      <c r="M170" s="368"/>
      <c r="N170" s="368"/>
      <c r="O170" s="368"/>
      <c r="P170" s="368"/>
      <c r="Q170" s="368"/>
      <c r="R170" s="368"/>
      <c r="S170" s="368"/>
      <c r="T170" s="368"/>
      <c r="U170" s="368"/>
      <c r="V170" s="368"/>
      <c r="W170" s="368"/>
      <c r="X170" s="368"/>
      <c r="Y170" s="368"/>
      <c r="Z170" s="368"/>
      <c r="AA170" s="368"/>
      <c r="AB170" s="368"/>
      <c r="AC170" s="368"/>
      <c r="AD170" s="368"/>
      <c r="AE170" s="368"/>
      <c r="AF170" s="368"/>
      <c r="AG170" s="368"/>
      <c r="AH170" s="368"/>
      <c r="AI170" s="368"/>
      <c r="AJ170" s="368"/>
      <c r="AK170" s="368"/>
      <c r="AL170" s="368"/>
      <c r="AM170" s="368"/>
      <c r="AN170" s="368"/>
      <c r="AO170" s="368"/>
      <c r="AP170" s="368"/>
      <c r="AQ170" s="368"/>
      <c r="AR170" s="368"/>
      <c r="AS170" s="368"/>
      <c r="AT170" s="368"/>
      <c r="AU170" s="368"/>
      <c r="AV170" s="368"/>
      <c r="AW170" s="368"/>
      <c r="AX170" s="368"/>
      <c r="AY170" s="368"/>
      <c r="AZ170" s="368"/>
      <c r="BA170" s="368"/>
      <c r="BB170" s="368"/>
      <c r="BC170" s="368"/>
      <c r="BD170" s="368"/>
      <c r="BE170" s="368"/>
      <c r="BF170" s="368"/>
      <c r="BG170" s="368"/>
    </row>
    <row r="171" spans="2:59" x14ac:dyDescent="0.25">
      <c r="B171" s="67" t="str">
        <f>IF(Capacity!B64="","",Capacity!B64)</f>
        <v/>
      </c>
      <c r="C171" s="221" t="str">
        <f>IF(B171="","",Capacity!E64)</f>
        <v/>
      </c>
      <c r="D171" s="312" t="str">
        <f>IF(B171="","",Capacity!F64)</f>
        <v/>
      </c>
      <c r="E171" s="221" t="str">
        <f>IF(B171="","",IF(COUNTBLANK(H171:BG171)=52,SUM('Capacity calculation (hide)'!H52:BG52),52-COUNTBLANK(H171:BG171)))</f>
        <v/>
      </c>
      <c r="F171" s="313" t="str">
        <f>'Capacity calculation (hide)'!BI52</f>
        <v/>
      </c>
      <c r="H171" s="368"/>
      <c r="I171" s="368"/>
      <c r="J171" s="368"/>
      <c r="K171" s="368"/>
      <c r="L171" s="368"/>
      <c r="M171" s="368"/>
      <c r="N171" s="368"/>
      <c r="O171" s="368"/>
      <c r="P171" s="368"/>
      <c r="Q171" s="368"/>
      <c r="R171" s="368"/>
      <c r="S171" s="368"/>
      <c r="T171" s="368"/>
      <c r="U171" s="368"/>
      <c r="V171" s="368"/>
      <c r="W171" s="368"/>
      <c r="X171" s="368"/>
      <c r="Y171" s="368"/>
      <c r="Z171" s="368"/>
      <c r="AA171" s="368"/>
      <c r="AB171" s="368"/>
      <c r="AC171" s="368"/>
      <c r="AD171" s="368"/>
      <c r="AE171" s="368"/>
      <c r="AF171" s="368"/>
      <c r="AG171" s="368"/>
      <c r="AH171" s="368"/>
      <c r="AI171" s="368"/>
      <c r="AJ171" s="368"/>
      <c r="AK171" s="368"/>
      <c r="AL171" s="368"/>
      <c r="AM171" s="368"/>
      <c r="AN171" s="368"/>
      <c r="AO171" s="368"/>
      <c r="AP171" s="368"/>
      <c r="AQ171" s="368"/>
      <c r="AR171" s="368"/>
      <c r="AS171" s="368"/>
      <c r="AT171" s="368"/>
      <c r="AU171" s="368"/>
      <c r="AV171" s="368"/>
      <c r="AW171" s="368"/>
      <c r="AX171" s="368"/>
      <c r="AY171" s="368"/>
      <c r="AZ171" s="368"/>
      <c r="BA171" s="368"/>
      <c r="BB171" s="368"/>
      <c r="BC171" s="368"/>
      <c r="BD171" s="368"/>
      <c r="BE171" s="368"/>
      <c r="BF171" s="368"/>
      <c r="BG171" s="368"/>
    </row>
    <row r="172" spans="2:59" x14ac:dyDescent="0.25">
      <c r="B172" s="67" t="str">
        <f>IF(Capacity!B65="","",Capacity!B65)</f>
        <v/>
      </c>
      <c r="C172" s="221" t="str">
        <f>IF(B172="","",Capacity!E65)</f>
        <v/>
      </c>
      <c r="D172" s="312" t="str">
        <f>IF(B172="","",Capacity!F65)</f>
        <v/>
      </c>
      <c r="E172" s="221" t="str">
        <f>IF(B172="","",IF(COUNTBLANK(H172:BG172)=52,SUM('Capacity calculation (hide)'!H53:BG53),52-COUNTBLANK(H172:BG172)))</f>
        <v/>
      </c>
      <c r="F172" s="313" t="str">
        <f>'Capacity calculation (hide)'!BI53</f>
        <v/>
      </c>
      <c r="H172" s="368"/>
      <c r="I172" s="368"/>
      <c r="J172" s="368"/>
      <c r="K172" s="368"/>
      <c r="L172" s="368"/>
      <c r="M172" s="368"/>
      <c r="N172" s="368"/>
      <c r="O172" s="368"/>
      <c r="P172" s="368"/>
      <c r="Q172" s="368"/>
      <c r="R172" s="368"/>
      <c r="S172" s="368"/>
      <c r="T172" s="368"/>
      <c r="U172" s="368"/>
      <c r="V172" s="368"/>
      <c r="W172" s="368"/>
      <c r="X172" s="368"/>
      <c r="Y172" s="368"/>
      <c r="Z172" s="368"/>
      <c r="AA172" s="368"/>
      <c r="AB172" s="368"/>
      <c r="AC172" s="368"/>
      <c r="AD172" s="368"/>
      <c r="AE172" s="368"/>
      <c r="AF172" s="368"/>
      <c r="AG172" s="368"/>
      <c r="AH172" s="368"/>
      <c r="AI172" s="368"/>
      <c r="AJ172" s="368"/>
      <c r="AK172" s="368"/>
      <c r="AL172" s="368"/>
      <c r="AM172" s="368"/>
      <c r="AN172" s="368"/>
      <c r="AO172" s="368"/>
      <c r="AP172" s="368"/>
      <c r="AQ172" s="368"/>
      <c r="AR172" s="368"/>
      <c r="AS172" s="368"/>
      <c r="AT172" s="368"/>
      <c r="AU172" s="368"/>
      <c r="AV172" s="368"/>
      <c r="AW172" s="368"/>
      <c r="AX172" s="368"/>
      <c r="AY172" s="368"/>
      <c r="AZ172" s="368"/>
      <c r="BA172" s="368"/>
      <c r="BB172" s="368"/>
      <c r="BC172" s="368"/>
      <c r="BD172" s="368"/>
      <c r="BE172" s="368"/>
      <c r="BF172" s="368"/>
      <c r="BG172" s="368"/>
    </row>
    <row r="173" spans="2:59" x14ac:dyDescent="0.25">
      <c r="B173" s="67" t="str">
        <f>IF(Capacity!B66="","",Capacity!B66)</f>
        <v/>
      </c>
      <c r="C173" s="221" t="str">
        <f>IF(B173="","",Capacity!E66)</f>
        <v/>
      </c>
      <c r="D173" s="312" t="str">
        <f>IF(B173="","",Capacity!F66)</f>
        <v/>
      </c>
      <c r="E173" s="221" t="str">
        <f>IF(B173="","",IF(COUNTBLANK(H173:BG173)=52,SUM('Capacity calculation (hide)'!H54:BG54),52-COUNTBLANK(H173:BG173)))</f>
        <v/>
      </c>
      <c r="F173" s="313" t="str">
        <f>'Capacity calculation (hide)'!BI54</f>
        <v/>
      </c>
      <c r="H173" s="368"/>
      <c r="I173" s="368"/>
      <c r="J173" s="368"/>
      <c r="K173" s="368"/>
      <c r="L173" s="368"/>
      <c r="M173" s="368"/>
      <c r="N173" s="368"/>
      <c r="O173" s="368"/>
      <c r="P173" s="368"/>
      <c r="Q173" s="368"/>
      <c r="R173" s="368"/>
      <c r="S173" s="368"/>
      <c r="T173" s="368"/>
      <c r="U173" s="368"/>
      <c r="V173" s="368"/>
      <c r="W173" s="368"/>
      <c r="X173" s="368"/>
      <c r="Y173" s="368"/>
      <c r="Z173" s="368"/>
      <c r="AA173" s="368"/>
      <c r="AB173" s="368"/>
      <c r="AC173" s="368"/>
      <c r="AD173" s="368"/>
      <c r="AE173" s="368"/>
      <c r="AF173" s="368"/>
      <c r="AG173" s="368"/>
      <c r="AH173" s="368"/>
      <c r="AI173" s="368"/>
      <c r="AJ173" s="368"/>
      <c r="AK173" s="368"/>
      <c r="AL173" s="368"/>
      <c r="AM173" s="368"/>
      <c r="AN173" s="368"/>
      <c r="AO173" s="368"/>
      <c r="AP173" s="368"/>
      <c r="AQ173" s="368"/>
      <c r="AR173" s="368"/>
      <c r="AS173" s="368"/>
      <c r="AT173" s="368"/>
      <c r="AU173" s="368"/>
      <c r="AV173" s="368"/>
      <c r="AW173" s="368"/>
      <c r="AX173" s="368"/>
      <c r="AY173" s="368"/>
      <c r="AZ173" s="368"/>
      <c r="BA173" s="368"/>
      <c r="BB173" s="368"/>
      <c r="BC173" s="368"/>
      <c r="BD173" s="368"/>
      <c r="BE173" s="368"/>
      <c r="BF173" s="368"/>
      <c r="BG173" s="368"/>
    </row>
    <row r="174" spans="2:59" x14ac:dyDescent="0.25">
      <c r="B174" s="67" t="str">
        <f>IF(Capacity!B67="","",Capacity!B67)</f>
        <v/>
      </c>
      <c r="C174" s="221" t="str">
        <f>IF(B174="","",Capacity!E67)</f>
        <v/>
      </c>
      <c r="D174" s="312" t="str">
        <f>IF(B174="","",Capacity!F67)</f>
        <v/>
      </c>
      <c r="E174" s="221" t="str">
        <f>IF(B174="","",IF(COUNTBLANK(H174:BG174)=52,SUM('Capacity calculation (hide)'!H55:BG55),52-COUNTBLANK(H174:BG174)))</f>
        <v/>
      </c>
      <c r="F174" s="313" t="str">
        <f>'Capacity calculation (hide)'!BI55</f>
        <v/>
      </c>
      <c r="H174" s="368"/>
      <c r="I174" s="368"/>
      <c r="J174" s="368"/>
      <c r="K174" s="368"/>
      <c r="L174" s="368"/>
      <c r="M174" s="368"/>
      <c r="N174" s="368"/>
      <c r="O174" s="368"/>
      <c r="P174" s="368"/>
      <c r="Q174" s="368"/>
      <c r="R174" s="368"/>
      <c r="S174" s="368"/>
      <c r="T174" s="368"/>
      <c r="U174" s="368"/>
      <c r="V174" s="368"/>
      <c r="W174" s="368"/>
      <c r="X174" s="368"/>
      <c r="Y174" s="368"/>
      <c r="Z174" s="368"/>
      <c r="AA174" s="368"/>
      <c r="AB174" s="368"/>
      <c r="AC174" s="368"/>
      <c r="AD174" s="368"/>
      <c r="AE174" s="368"/>
      <c r="AF174" s="368"/>
      <c r="AG174" s="368"/>
      <c r="AH174" s="368"/>
      <c r="AI174" s="368"/>
      <c r="AJ174" s="368"/>
      <c r="AK174" s="368"/>
      <c r="AL174" s="368"/>
      <c r="AM174" s="368"/>
      <c r="AN174" s="368"/>
      <c r="AO174" s="368"/>
      <c r="AP174" s="368"/>
      <c r="AQ174" s="368"/>
      <c r="AR174" s="368"/>
      <c r="AS174" s="368"/>
      <c r="AT174" s="368"/>
      <c r="AU174" s="368"/>
      <c r="AV174" s="368"/>
      <c r="AW174" s="368"/>
      <c r="AX174" s="368"/>
      <c r="AY174" s="368"/>
      <c r="AZ174" s="368"/>
      <c r="BA174" s="368"/>
      <c r="BB174" s="368"/>
      <c r="BC174" s="368"/>
      <c r="BD174" s="368"/>
      <c r="BE174" s="368"/>
      <c r="BF174" s="368"/>
      <c r="BG174" s="368"/>
    </row>
    <row r="175" spans="2:59" x14ac:dyDescent="0.25">
      <c r="B175" s="67" t="str">
        <f>IF(Capacity!B68="","",Capacity!B68)</f>
        <v/>
      </c>
      <c r="C175" s="221" t="str">
        <f>IF(B175="","",Capacity!E68)</f>
        <v/>
      </c>
      <c r="D175" s="312" t="str">
        <f>IF(B175="","",Capacity!F68)</f>
        <v/>
      </c>
      <c r="E175" s="221" t="str">
        <f>IF(B175="","",IF(COUNTBLANK(H175:BG175)=52,SUM('Capacity calculation (hide)'!H56:BG56),52-COUNTBLANK(H175:BG175)))</f>
        <v/>
      </c>
      <c r="F175" s="313" t="str">
        <f>'Capacity calculation (hide)'!BI56</f>
        <v/>
      </c>
      <c r="H175" s="368"/>
      <c r="I175" s="368"/>
      <c r="J175" s="368"/>
      <c r="K175" s="368"/>
      <c r="L175" s="368"/>
      <c r="M175" s="368"/>
      <c r="N175" s="368"/>
      <c r="O175" s="368"/>
      <c r="P175" s="368"/>
      <c r="Q175" s="368"/>
      <c r="R175" s="368"/>
      <c r="S175" s="368"/>
      <c r="T175" s="368"/>
      <c r="U175" s="368"/>
      <c r="V175" s="368"/>
      <c r="W175" s="368"/>
      <c r="X175" s="368"/>
      <c r="Y175" s="368"/>
      <c r="Z175" s="368"/>
      <c r="AA175" s="368"/>
      <c r="AB175" s="368"/>
      <c r="AC175" s="368"/>
      <c r="AD175" s="368"/>
      <c r="AE175" s="368"/>
      <c r="AF175" s="368"/>
      <c r="AG175" s="368"/>
      <c r="AH175" s="368"/>
      <c r="AI175" s="368"/>
      <c r="AJ175" s="368"/>
      <c r="AK175" s="368"/>
      <c r="AL175" s="368"/>
      <c r="AM175" s="368"/>
      <c r="AN175" s="368"/>
      <c r="AO175" s="368"/>
      <c r="AP175" s="368"/>
      <c r="AQ175" s="368"/>
      <c r="AR175" s="368"/>
      <c r="AS175" s="368"/>
      <c r="AT175" s="368"/>
      <c r="AU175" s="368"/>
      <c r="AV175" s="368"/>
      <c r="AW175" s="368"/>
      <c r="AX175" s="368"/>
      <c r="AY175" s="368"/>
      <c r="AZ175" s="368"/>
      <c r="BA175" s="368"/>
      <c r="BB175" s="368"/>
      <c r="BC175" s="368"/>
      <c r="BD175" s="368"/>
      <c r="BE175" s="368"/>
      <c r="BF175" s="368"/>
      <c r="BG175" s="368"/>
    </row>
    <row r="176" spans="2:59" x14ac:dyDescent="0.25">
      <c r="B176" s="67" t="str">
        <f>IF(Capacity!B69="","",Capacity!B69)</f>
        <v/>
      </c>
      <c r="C176" s="221" t="str">
        <f>IF(B176="","",Capacity!E69)</f>
        <v/>
      </c>
      <c r="D176" s="312" t="str">
        <f>IF(B176="","",Capacity!F69)</f>
        <v/>
      </c>
      <c r="E176" s="221" t="str">
        <f>IF(B176="","",IF(COUNTBLANK(H176:BG176)=52,SUM('Capacity calculation (hide)'!H57:BG57),52-COUNTBLANK(H176:BG176)))</f>
        <v/>
      </c>
      <c r="F176" s="313" t="str">
        <f>'Capacity calculation (hide)'!BI57</f>
        <v/>
      </c>
      <c r="H176" s="368"/>
      <c r="I176" s="368"/>
      <c r="J176" s="368"/>
      <c r="K176" s="368"/>
      <c r="L176" s="368"/>
      <c r="M176" s="368"/>
      <c r="N176" s="368"/>
      <c r="O176" s="368"/>
      <c r="P176" s="368"/>
      <c r="Q176" s="368"/>
      <c r="R176" s="368"/>
      <c r="S176" s="368"/>
      <c r="T176" s="368"/>
      <c r="U176" s="368"/>
      <c r="V176" s="368"/>
      <c r="W176" s="368"/>
      <c r="X176" s="368"/>
      <c r="Y176" s="368"/>
      <c r="Z176" s="368"/>
      <c r="AA176" s="368"/>
      <c r="AB176" s="368"/>
      <c r="AC176" s="368"/>
      <c r="AD176" s="368"/>
      <c r="AE176" s="368"/>
      <c r="AF176" s="368"/>
      <c r="AG176" s="368"/>
      <c r="AH176" s="368"/>
      <c r="AI176" s="368"/>
      <c r="AJ176" s="368"/>
      <c r="AK176" s="368"/>
      <c r="AL176" s="368"/>
      <c r="AM176" s="368"/>
      <c r="AN176" s="368"/>
      <c r="AO176" s="368"/>
      <c r="AP176" s="368"/>
      <c r="AQ176" s="368"/>
      <c r="AR176" s="368"/>
      <c r="AS176" s="368"/>
      <c r="AT176" s="368"/>
      <c r="AU176" s="368"/>
      <c r="AV176" s="368"/>
      <c r="AW176" s="368"/>
      <c r="AX176" s="368"/>
      <c r="AY176" s="368"/>
      <c r="AZ176" s="368"/>
      <c r="BA176" s="368"/>
      <c r="BB176" s="368"/>
      <c r="BC176" s="368"/>
      <c r="BD176" s="368"/>
      <c r="BE176" s="368"/>
      <c r="BF176" s="368"/>
      <c r="BG176" s="368"/>
    </row>
    <row r="177" spans="2:59" x14ac:dyDescent="0.25">
      <c r="B177" s="67" t="str">
        <f>IF(Capacity!B70="","",Capacity!B70)</f>
        <v/>
      </c>
      <c r="C177" s="221" t="str">
        <f>IF(B177="","",Capacity!E70)</f>
        <v/>
      </c>
      <c r="D177" s="312" t="str">
        <f>IF(B177="","",Capacity!F70)</f>
        <v/>
      </c>
      <c r="E177" s="221" t="str">
        <f>IF(B177="","",IF(COUNTBLANK(H177:BG177)=52,SUM('Capacity calculation (hide)'!H58:BG58),52-COUNTBLANK(H177:BG177)))</f>
        <v/>
      </c>
      <c r="F177" s="313" t="str">
        <f>'Capacity calculation (hide)'!BI58</f>
        <v/>
      </c>
      <c r="H177" s="368"/>
      <c r="I177" s="368"/>
      <c r="J177" s="368"/>
      <c r="K177" s="368"/>
      <c r="L177" s="368"/>
      <c r="M177" s="368"/>
      <c r="N177" s="368"/>
      <c r="O177" s="368"/>
      <c r="P177" s="368"/>
      <c r="Q177" s="368"/>
      <c r="R177" s="368"/>
      <c r="S177" s="368"/>
      <c r="T177" s="368"/>
      <c r="U177" s="368"/>
      <c r="V177" s="368"/>
      <c r="W177" s="368"/>
      <c r="X177" s="368"/>
      <c r="Y177" s="368"/>
      <c r="Z177" s="368"/>
      <c r="AA177" s="368"/>
      <c r="AB177" s="368"/>
      <c r="AC177" s="368"/>
      <c r="AD177" s="368"/>
      <c r="AE177" s="368"/>
      <c r="AF177" s="368"/>
      <c r="AG177" s="368"/>
      <c r="AH177" s="368"/>
      <c r="AI177" s="368"/>
      <c r="AJ177" s="368"/>
      <c r="AK177" s="368"/>
      <c r="AL177" s="368"/>
      <c r="AM177" s="368"/>
      <c r="AN177" s="368"/>
      <c r="AO177" s="368"/>
      <c r="AP177" s="368"/>
      <c r="AQ177" s="368"/>
      <c r="AR177" s="368"/>
      <c r="AS177" s="368"/>
      <c r="AT177" s="368"/>
      <c r="AU177" s="368"/>
      <c r="AV177" s="368"/>
      <c r="AW177" s="368"/>
      <c r="AX177" s="368"/>
      <c r="AY177" s="368"/>
      <c r="AZ177" s="368"/>
      <c r="BA177" s="368"/>
      <c r="BB177" s="368"/>
      <c r="BC177" s="368"/>
      <c r="BD177" s="368"/>
      <c r="BE177" s="368"/>
      <c r="BF177" s="368"/>
      <c r="BG177" s="368"/>
    </row>
    <row r="178" spans="2:59" x14ac:dyDescent="0.25">
      <c r="B178" s="67" t="str">
        <f>IF(Capacity!B71="","",Capacity!B71)</f>
        <v/>
      </c>
      <c r="C178" s="221" t="str">
        <f>IF(B178="","",Capacity!E71)</f>
        <v/>
      </c>
      <c r="D178" s="312" t="str">
        <f>IF(B178="","",Capacity!F71)</f>
        <v/>
      </c>
      <c r="E178" s="221" t="str">
        <f>IF(B178="","",IF(COUNTBLANK(H178:BG178)=52,SUM('Capacity calculation (hide)'!H59:BG59),52-COUNTBLANK(H178:BG178)))</f>
        <v/>
      </c>
      <c r="F178" s="313" t="str">
        <f>'Capacity calculation (hide)'!BI59</f>
        <v/>
      </c>
      <c r="H178" s="368"/>
      <c r="I178" s="368"/>
      <c r="J178" s="368"/>
      <c r="K178" s="368"/>
      <c r="L178" s="368"/>
      <c r="M178" s="368"/>
      <c r="N178" s="368"/>
      <c r="O178" s="368"/>
      <c r="P178" s="368"/>
      <c r="Q178" s="368"/>
      <c r="R178" s="368"/>
      <c r="S178" s="368"/>
      <c r="T178" s="368"/>
      <c r="U178" s="368"/>
      <c r="V178" s="368"/>
      <c r="W178" s="368"/>
      <c r="X178" s="368"/>
      <c r="Y178" s="368"/>
      <c r="Z178" s="368"/>
      <c r="AA178" s="368"/>
      <c r="AB178" s="368"/>
      <c r="AC178" s="368"/>
      <c r="AD178" s="368"/>
      <c r="AE178" s="368"/>
      <c r="AF178" s="368"/>
      <c r="AG178" s="368"/>
      <c r="AH178" s="368"/>
      <c r="AI178" s="368"/>
      <c r="AJ178" s="368"/>
      <c r="AK178" s="368"/>
      <c r="AL178" s="368"/>
      <c r="AM178" s="368"/>
      <c r="AN178" s="368"/>
      <c r="AO178" s="368"/>
      <c r="AP178" s="368"/>
      <c r="AQ178" s="368"/>
      <c r="AR178" s="368"/>
      <c r="AS178" s="368"/>
      <c r="AT178" s="368"/>
      <c r="AU178" s="368"/>
      <c r="AV178" s="368"/>
      <c r="AW178" s="368"/>
      <c r="AX178" s="368"/>
      <c r="AY178" s="368"/>
      <c r="AZ178" s="368"/>
      <c r="BA178" s="368"/>
      <c r="BB178" s="368"/>
      <c r="BC178" s="368"/>
      <c r="BD178" s="368"/>
      <c r="BE178" s="368"/>
      <c r="BF178" s="368"/>
      <c r="BG178" s="368"/>
    </row>
    <row r="179" spans="2:59" x14ac:dyDescent="0.25">
      <c r="B179" s="67" t="str">
        <f>IF(Capacity!B72="","",Capacity!B72)</f>
        <v/>
      </c>
      <c r="C179" s="221" t="str">
        <f>IF(B179="","",Capacity!E72)</f>
        <v/>
      </c>
      <c r="D179" s="312" t="str">
        <f>IF(B179="","",Capacity!F72)</f>
        <v/>
      </c>
      <c r="E179" s="221" t="str">
        <f>IF(B179="","",IF(COUNTBLANK(H179:BG179)=52,SUM('Capacity calculation (hide)'!H60:BG60),52-COUNTBLANK(H179:BG179)))</f>
        <v/>
      </c>
      <c r="F179" s="313" t="str">
        <f>'Capacity calculation (hide)'!BI60</f>
        <v/>
      </c>
      <c r="H179" s="368"/>
      <c r="I179" s="368"/>
      <c r="J179" s="368"/>
      <c r="K179" s="368"/>
      <c r="L179" s="368"/>
      <c r="M179" s="368"/>
      <c r="N179" s="368"/>
      <c r="O179" s="368"/>
      <c r="P179" s="368"/>
      <c r="Q179" s="368"/>
      <c r="R179" s="368"/>
      <c r="S179" s="368"/>
      <c r="T179" s="368"/>
      <c r="U179" s="368"/>
      <c r="V179" s="368"/>
      <c r="W179" s="368"/>
      <c r="X179" s="368"/>
      <c r="Y179" s="368"/>
      <c r="Z179" s="368"/>
      <c r="AA179" s="368"/>
      <c r="AB179" s="368"/>
      <c r="AC179" s="368"/>
      <c r="AD179" s="368"/>
      <c r="AE179" s="368"/>
      <c r="AF179" s="368"/>
      <c r="AG179" s="368"/>
      <c r="AH179" s="368"/>
      <c r="AI179" s="368"/>
      <c r="AJ179" s="368"/>
      <c r="AK179" s="368"/>
      <c r="AL179" s="368"/>
      <c r="AM179" s="368"/>
      <c r="AN179" s="368"/>
      <c r="AO179" s="368"/>
      <c r="AP179" s="368"/>
      <c r="AQ179" s="368"/>
      <c r="AR179" s="368"/>
      <c r="AS179" s="368"/>
      <c r="AT179" s="368"/>
      <c r="AU179" s="368"/>
      <c r="AV179" s="368"/>
      <c r="AW179" s="368"/>
      <c r="AX179" s="368"/>
      <c r="AY179" s="368"/>
      <c r="AZ179" s="368"/>
      <c r="BA179" s="368"/>
      <c r="BB179" s="368"/>
      <c r="BC179" s="368"/>
      <c r="BD179" s="368"/>
      <c r="BE179" s="368"/>
      <c r="BF179" s="368"/>
      <c r="BG179" s="368"/>
    </row>
    <row r="180" spans="2:59" x14ac:dyDescent="0.25">
      <c r="B180" s="67" t="str">
        <f>IF(Capacity!B73="","",Capacity!B73)</f>
        <v/>
      </c>
      <c r="C180" s="221" t="str">
        <f>IF(B180="","",Capacity!E73)</f>
        <v/>
      </c>
      <c r="D180" s="312" t="str">
        <f>IF(B180="","",Capacity!F73)</f>
        <v/>
      </c>
      <c r="E180" s="221" t="str">
        <f>IF(B180="","",IF(COUNTBLANK(H180:BG180)=52,SUM('Capacity calculation (hide)'!H61:BG61),52-COUNTBLANK(H180:BG180)))</f>
        <v/>
      </c>
      <c r="F180" s="313" t="str">
        <f>'Capacity calculation (hide)'!BI61</f>
        <v/>
      </c>
      <c r="H180" s="368"/>
      <c r="I180" s="368"/>
      <c r="J180" s="368"/>
      <c r="K180" s="368"/>
      <c r="L180" s="368"/>
      <c r="M180" s="368"/>
      <c r="N180" s="368"/>
      <c r="O180" s="368"/>
      <c r="P180" s="368"/>
      <c r="Q180" s="368"/>
      <c r="R180" s="368"/>
      <c r="S180" s="368"/>
      <c r="T180" s="368"/>
      <c r="U180" s="368"/>
      <c r="V180" s="368"/>
      <c r="W180" s="368"/>
      <c r="X180" s="368"/>
      <c r="Y180" s="368"/>
      <c r="Z180" s="368"/>
      <c r="AA180" s="368"/>
      <c r="AB180" s="368"/>
      <c r="AC180" s="368"/>
      <c r="AD180" s="368"/>
      <c r="AE180" s="368"/>
      <c r="AF180" s="368"/>
      <c r="AG180" s="368"/>
      <c r="AH180" s="368"/>
      <c r="AI180" s="368"/>
      <c r="AJ180" s="368"/>
      <c r="AK180" s="368"/>
      <c r="AL180" s="368"/>
      <c r="AM180" s="368"/>
      <c r="AN180" s="368"/>
      <c r="AO180" s="368"/>
      <c r="AP180" s="368"/>
      <c r="AQ180" s="368"/>
      <c r="AR180" s="368"/>
      <c r="AS180" s="368"/>
      <c r="AT180" s="368"/>
      <c r="AU180" s="368"/>
      <c r="AV180" s="368"/>
      <c r="AW180" s="368"/>
      <c r="AX180" s="368"/>
      <c r="AY180" s="368"/>
      <c r="AZ180" s="368"/>
      <c r="BA180" s="368"/>
      <c r="BB180" s="368"/>
      <c r="BC180" s="368"/>
      <c r="BD180" s="368"/>
      <c r="BE180" s="368"/>
      <c r="BF180" s="368"/>
      <c r="BG180" s="368"/>
    </row>
    <row r="181" spans="2:59" x14ac:dyDescent="0.25">
      <c r="B181" s="67" t="str">
        <f>IF(Capacity!B74="","",Capacity!B74)</f>
        <v/>
      </c>
      <c r="C181" s="221" t="str">
        <f>IF(B181="","",Capacity!E74)</f>
        <v/>
      </c>
      <c r="D181" s="312" t="str">
        <f>IF(B181="","",Capacity!F74)</f>
        <v/>
      </c>
      <c r="E181" s="221" t="str">
        <f>IF(B181="","",IF(COUNTBLANK(H181:BG181)=52,SUM('Capacity calculation (hide)'!H62:BG62),52-COUNTBLANK(H181:BG181)))</f>
        <v/>
      </c>
      <c r="F181" s="313" t="str">
        <f>'Capacity calculation (hide)'!BI62</f>
        <v/>
      </c>
      <c r="H181" s="368"/>
      <c r="I181" s="368"/>
      <c r="J181" s="368"/>
      <c r="K181" s="368"/>
      <c r="L181" s="368"/>
      <c r="M181" s="368"/>
      <c r="N181" s="368"/>
      <c r="O181" s="368"/>
      <c r="P181" s="368"/>
      <c r="Q181" s="368"/>
      <c r="R181" s="368"/>
      <c r="S181" s="368"/>
      <c r="T181" s="368"/>
      <c r="U181" s="368"/>
      <c r="V181" s="368"/>
      <c r="W181" s="368"/>
      <c r="X181" s="368"/>
      <c r="Y181" s="368"/>
      <c r="Z181" s="368"/>
      <c r="AA181" s="368"/>
      <c r="AB181" s="368"/>
      <c r="AC181" s="368"/>
      <c r="AD181" s="368"/>
      <c r="AE181" s="368"/>
      <c r="AF181" s="368"/>
      <c r="AG181" s="368"/>
      <c r="AH181" s="368"/>
      <c r="AI181" s="368"/>
      <c r="AJ181" s="368"/>
      <c r="AK181" s="368"/>
      <c r="AL181" s="368"/>
      <c r="AM181" s="368"/>
      <c r="AN181" s="368"/>
      <c r="AO181" s="368"/>
      <c r="AP181" s="368"/>
      <c r="AQ181" s="368"/>
      <c r="AR181" s="368"/>
      <c r="AS181" s="368"/>
      <c r="AT181" s="368"/>
      <c r="AU181" s="368"/>
      <c r="AV181" s="368"/>
      <c r="AW181" s="368"/>
      <c r="AX181" s="368"/>
      <c r="AY181" s="368"/>
      <c r="AZ181" s="368"/>
      <c r="BA181" s="368"/>
      <c r="BB181" s="368"/>
      <c r="BC181" s="368"/>
      <c r="BD181" s="368"/>
      <c r="BE181" s="368"/>
      <c r="BF181" s="368"/>
      <c r="BG181" s="368"/>
    </row>
    <row r="182" spans="2:59" x14ac:dyDescent="0.25">
      <c r="B182" s="67" t="str">
        <f>IF(Capacity!B75="","",Capacity!B75)</f>
        <v/>
      </c>
      <c r="C182" s="221" t="str">
        <f>IF(B182="","",Capacity!E75)</f>
        <v/>
      </c>
      <c r="D182" s="312" t="str">
        <f>IF(B182="","",Capacity!F75)</f>
        <v/>
      </c>
      <c r="E182" s="221" t="str">
        <f>IF(B182="","",IF(COUNTBLANK(H182:BG182)=52,SUM('Capacity calculation (hide)'!H63:BG63),52-COUNTBLANK(H182:BG182)))</f>
        <v/>
      </c>
      <c r="F182" s="313" t="str">
        <f>'Capacity calculation (hide)'!BI63</f>
        <v/>
      </c>
      <c r="H182" s="368"/>
      <c r="I182" s="368"/>
      <c r="J182" s="368"/>
      <c r="K182" s="368"/>
      <c r="L182" s="368"/>
      <c r="M182" s="368"/>
      <c r="N182" s="368"/>
      <c r="O182" s="368"/>
      <c r="P182" s="368"/>
      <c r="Q182" s="368"/>
      <c r="R182" s="368"/>
      <c r="S182" s="368"/>
      <c r="T182" s="368"/>
      <c r="U182" s="368"/>
      <c r="V182" s="368"/>
      <c r="W182" s="368"/>
      <c r="X182" s="368"/>
      <c r="Y182" s="368"/>
      <c r="Z182" s="368"/>
      <c r="AA182" s="368"/>
      <c r="AB182" s="368"/>
      <c r="AC182" s="368"/>
      <c r="AD182" s="368"/>
      <c r="AE182" s="368"/>
      <c r="AF182" s="368"/>
      <c r="AG182" s="368"/>
      <c r="AH182" s="368"/>
      <c r="AI182" s="368"/>
      <c r="AJ182" s="368"/>
      <c r="AK182" s="368"/>
      <c r="AL182" s="368"/>
      <c r="AM182" s="368"/>
      <c r="AN182" s="368"/>
      <c r="AO182" s="368"/>
      <c r="AP182" s="368"/>
      <c r="AQ182" s="368"/>
      <c r="AR182" s="368"/>
      <c r="AS182" s="368"/>
      <c r="AT182" s="368"/>
      <c r="AU182" s="368"/>
      <c r="AV182" s="368"/>
      <c r="AW182" s="368"/>
      <c r="AX182" s="368"/>
      <c r="AY182" s="368"/>
      <c r="AZ182" s="368"/>
      <c r="BA182" s="368"/>
      <c r="BB182" s="368"/>
      <c r="BC182" s="368"/>
      <c r="BD182" s="368"/>
      <c r="BE182" s="368"/>
      <c r="BF182" s="368"/>
      <c r="BG182" s="368"/>
    </row>
    <row r="183" spans="2:59" x14ac:dyDescent="0.25">
      <c r="B183" s="67" t="str">
        <f>IF(Capacity!B76="","",Capacity!B76)</f>
        <v/>
      </c>
      <c r="C183" s="221" t="str">
        <f>IF(B183="","",Capacity!E76)</f>
        <v/>
      </c>
      <c r="D183" s="312" t="str">
        <f>IF(B183="","",Capacity!F76)</f>
        <v/>
      </c>
      <c r="E183" s="221" t="str">
        <f>IF(B183="","",IF(COUNTBLANK(H183:BG183)=52,SUM('Capacity calculation (hide)'!H64:BG64),52-COUNTBLANK(H183:BG183)))</f>
        <v/>
      </c>
      <c r="F183" s="313" t="str">
        <f>'Capacity calculation (hide)'!BI64</f>
        <v/>
      </c>
      <c r="H183" s="368"/>
      <c r="I183" s="368"/>
      <c r="J183" s="368"/>
      <c r="K183" s="368"/>
      <c r="L183" s="368"/>
      <c r="M183" s="368"/>
      <c r="N183" s="368"/>
      <c r="O183" s="368"/>
      <c r="P183" s="368"/>
      <c r="Q183" s="368"/>
      <c r="R183" s="368"/>
      <c r="S183" s="368"/>
      <c r="T183" s="368"/>
      <c r="U183" s="368"/>
      <c r="V183" s="368"/>
      <c r="W183" s="368"/>
      <c r="X183" s="368"/>
      <c r="Y183" s="368"/>
      <c r="Z183" s="368"/>
      <c r="AA183" s="368"/>
      <c r="AB183" s="368"/>
      <c r="AC183" s="368"/>
      <c r="AD183" s="368"/>
      <c r="AE183" s="368"/>
      <c r="AF183" s="368"/>
      <c r="AG183" s="368"/>
      <c r="AH183" s="368"/>
      <c r="AI183" s="368"/>
      <c r="AJ183" s="368"/>
      <c r="AK183" s="368"/>
      <c r="AL183" s="368"/>
      <c r="AM183" s="368"/>
      <c r="AN183" s="368"/>
      <c r="AO183" s="368"/>
      <c r="AP183" s="368"/>
      <c r="AQ183" s="368"/>
      <c r="AR183" s="368"/>
      <c r="AS183" s="368"/>
      <c r="AT183" s="368"/>
      <c r="AU183" s="368"/>
      <c r="AV183" s="368"/>
      <c r="AW183" s="368"/>
      <c r="AX183" s="368"/>
      <c r="AY183" s="368"/>
      <c r="AZ183" s="368"/>
      <c r="BA183" s="368"/>
      <c r="BB183" s="368"/>
      <c r="BC183" s="368"/>
      <c r="BD183" s="368"/>
      <c r="BE183" s="368"/>
      <c r="BF183" s="368"/>
      <c r="BG183" s="368"/>
    </row>
    <row r="184" spans="2:59" x14ac:dyDescent="0.25">
      <c r="B184" s="67" t="str">
        <f>IF(Capacity!B77="","",Capacity!B77)</f>
        <v/>
      </c>
      <c r="C184" s="221" t="str">
        <f>IF(B184="","",Capacity!E77)</f>
        <v/>
      </c>
      <c r="D184" s="312" t="str">
        <f>IF(B184="","",Capacity!F77)</f>
        <v/>
      </c>
      <c r="E184" s="221" t="str">
        <f>IF(B184="","",IF(COUNTBLANK(H184:BG184)=52,SUM('Capacity calculation (hide)'!H65:BG65),52-COUNTBLANK(H184:BG184)))</f>
        <v/>
      </c>
      <c r="F184" s="313" t="str">
        <f>'Capacity calculation (hide)'!BI65</f>
        <v/>
      </c>
      <c r="H184" s="368"/>
      <c r="I184" s="368"/>
      <c r="J184" s="368"/>
      <c r="K184" s="368"/>
      <c r="L184" s="368"/>
      <c r="M184" s="368"/>
      <c r="N184" s="368"/>
      <c r="O184" s="368"/>
      <c r="P184" s="368"/>
      <c r="Q184" s="368"/>
      <c r="R184" s="368"/>
      <c r="S184" s="368"/>
      <c r="T184" s="368"/>
      <c r="U184" s="368"/>
      <c r="V184" s="368"/>
      <c r="W184" s="368"/>
      <c r="X184" s="368"/>
      <c r="Y184" s="368"/>
      <c r="Z184" s="368"/>
      <c r="AA184" s="368"/>
      <c r="AB184" s="368"/>
      <c r="AC184" s="368"/>
      <c r="AD184" s="368"/>
      <c r="AE184" s="368"/>
      <c r="AF184" s="368"/>
      <c r="AG184" s="368"/>
      <c r="AH184" s="368"/>
      <c r="AI184" s="368"/>
      <c r="AJ184" s="368"/>
      <c r="AK184" s="368"/>
      <c r="AL184" s="368"/>
      <c r="AM184" s="368"/>
      <c r="AN184" s="368"/>
      <c r="AO184" s="368"/>
      <c r="AP184" s="368"/>
      <c r="AQ184" s="368"/>
      <c r="AR184" s="368"/>
      <c r="AS184" s="368"/>
      <c r="AT184" s="368"/>
      <c r="AU184" s="368"/>
      <c r="AV184" s="368"/>
      <c r="AW184" s="368"/>
      <c r="AX184" s="368"/>
      <c r="AY184" s="368"/>
      <c r="AZ184" s="368"/>
      <c r="BA184" s="368"/>
      <c r="BB184" s="368"/>
      <c r="BC184" s="368"/>
      <c r="BD184" s="368"/>
      <c r="BE184" s="368"/>
      <c r="BF184" s="368"/>
      <c r="BG184" s="368"/>
    </row>
    <row r="185" spans="2:59" x14ac:dyDescent="0.25">
      <c r="B185" s="67" t="str">
        <f>IF(Capacity!B78="","",Capacity!B78)</f>
        <v/>
      </c>
      <c r="C185" s="221" t="str">
        <f>IF(B185="","",Capacity!E78)</f>
        <v/>
      </c>
      <c r="D185" s="312" t="str">
        <f>IF(B185="","",Capacity!F78)</f>
        <v/>
      </c>
      <c r="E185" s="221" t="str">
        <f>IF(B185="","",IF(COUNTBLANK(H185:BG185)=52,SUM('Capacity calculation (hide)'!H66:BG66),52-COUNTBLANK(H185:BG185)))</f>
        <v/>
      </c>
      <c r="F185" s="313" t="str">
        <f>'Capacity calculation (hide)'!BI66</f>
        <v/>
      </c>
      <c r="H185" s="368"/>
      <c r="I185" s="368"/>
      <c r="J185" s="368"/>
      <c r="K185" s="368"/>
      <c r="L185" s="368"/>
      <c r="M185" s="368"/>
      <c r="N185" s="368"/>
      <c r="O185" s="368"/>
      <c r="P185" s="368"/>
      <c r="Q185" s="368"/>
      <c r="R185" s="368"/>
      <c r="S185" s="368"/>
      <c r="T185" s="368"/>
      <c r="U185" s="368"/>
      <c r="V185" s="368"/>
      <c r="W185" s="368"/>
      <c r="X185" s="368"/>
      <c r="Y185" s="368"/>
      <c r="Z185" s="368"/>
      <c r="AA185" s="368"/>
      <c r="AB185" s="368"/>
      <c r="AC185" s="368"/>
      <c r="AD185" s="368"/>
      <c r="AE185" s="368"/>
      <c r="AF185" s="368"/>
      <c r="AG185" s="368"/>
      <c r="AH185" s="368"/>
      <c r="AI185" s="368"/>
      <c r="AJ185" s="368"/>
      <c r="AK185" s="368"/>
      <c r="AL185" s="368"/>
      <c r="AM185" s="368"/>
      <c r="AN185" s="368"/>
      <c r="AO185" s="368"/>
      <c r="AP185" s="368"/>
      <c r="AQ185" s="368"/>
      <c r="AR185" s="368"/>
      <c r="AS185" s="368"/>
      <c r="AT185" s="368"/>
      <c r="AU185" s="368"/>
      <c r="AV185" s="368"/>
      <c r="AW185" s="368"/>
      <c r="AX185" s="368"/>
      <c r="AY185" s="368"/>
      <c r="AZ185" s="368"/>
      <c r="BA185" s="368"/>
      <c r="BB185" s="368"/>
      <c r="BC185" s="368"/>
      <c r="BD185" s="368"/>
      <c r="BE185" s="368"/>
      <c r="BF185" s="368"/>
      <c r="BG185" s="368"/>
    </row>
    <row r="186" spans="2:59" x14ac:dyDescent="0.25">
      <c r="B186" s="67" t="str">
        <f>IF(Capacity!B79="","",Capacity!B79)</f>
        <v/>
      </c>
      <c r="C186" s="221" t="str">
        <f>IF(B186="","",Capacity!E79)</f>
        <v/>
      </c>
      <c r="D186" s="312" t="str">
        <f>IF(B186="","",Capacity!F79)</f>
        <v/>
      </c>
      <c r="E186" s="221" t="str">
        <f>IF(B186="","",IF(COUNTBLANK(H186:BG186)=52,SUM('Capacity calculation (hide)'!H67:BG67),52-COUNTBLANK(H186:BG186)))</f>
        <v/>
      </c>
      <c r="F186" s="313" t="str">
        <f>'Capacity calculation (hide)'!BI67</f>
        <v/>
      </c>
      <c r="H186" s="368"/>
      <c r="I186" s="368"/>
      <c r="J186" s="368"/>
      <c r="K186" s="368"/>
      <c r="L186" s="368"/>
      <c r="M186" s="368"/>
      <c r="N186" s="368"/>
      <c r="O186" s="368"/>
      <c r="P186" s="368"/>
      <c r="Q186" s="368"/>
      <c r="R186" s="368"/>
      <c r="S186" s="368"/>
      <c r="T186" s="368"/>
      <c r="U186" s="368"/>
      <c r="V186" s="368"/>
      <c r="W186" s="368"/>
      <c r="X186" s="368"/>
      <c r="Y186" s="368"/>
      <c r="Z186" s="368"/>
      <c r="AA186" s="368"/>
      <c r="AB186" s="368"/>
      <c r="AC186" s="368"/>
      <c r="AD186" s="368"/>
      <c r="AE186" s="368"/>
      <c r="AF186" s="368"/>
      <c r="AG186" s="368"/>
      <c r="AH186" s="368"/>
      <c r="AI186" s="368"/>
      <c r="AJ186" s="368"/>
      <c r="AK186" s="368"/>
      <c r="AL186" s="368"/>
      <c r="AM186" s="368"/>
      <c r="AN186" s="368"/>
      <c r="AO186" s="368"/>
      <c r="AP186" s="368"/>
      <c r="AQ186" s="368"/>
      <c r="AR186" s="368"/>
      <c r="AS186" s="368"/>
      <c r="AT186" s="368"/>
      <c r="AU186" s="368"/>
      <c r="AV186" s="368"/>
      <c r="AW186" s="368"/>
      <c r="AX186" s="368"/>
      <c r="AY186" s="368"/>
      <c r="AZ186" s="368"/>
      <c r="BA186" s="368"/>
      <c r="BB186" s="368"/>
      <c r="BC186" s="368"/>
      <c r="BD186" s="368"/>
      <c r="BE186" s="368"/>
      <c r="BF186" s="368"/>
      <c r="BG186" s="368"/>
    </row>
    <row r="187" spans="2:59" x14ac:dyDescent="0.25">
      <c r="B187" s="67" t="str">
        <f>IF(Capacity!B80="","",Capacity!B80)</f>
        <v/>
      </c>
      <c r="C187" s="221" t="str">
        <f>IF(B187="","",Capacity!E80)</f>
        <v/>
      </c>
      <c r="D187" s="312" t="str">
        <f>IF(B187="","",Capacity!F80)</f>
        <v/>
      </c>
      <c r="E187" s="221" t="str">
        <f>IF(B187="","",IF(COUNTBLANK(H187:BG187)=52,SUM('Capacity calculation (hide)'!H68:BG68),52-COUNTBLANK(H187:BG187)))</f>
        <v/>
      </c>
      <c r="F187" s="313" t="str">
        <f>'Capacity calculation (hide)'!BI68</f>
        <v/>
      </c>
      <c r="H187" s="368"/>
      <c r="I187" s="368"/>
      <c r="J187" s="368"/>
      <c r="K187" s="368"/>
      <c r="L187" s="368"/>
      <c r="M187" s="368"/>
      <c r="N187" s="368"/>
      <c r="O187" s="368"/>
      <c r="P187" s="368"/>
      <c r="Q187" s="368"/>
      <c r="R187" s="368"/>
      <c r="S187" s="368"/>
      <c r="T187" s="368"/>
      <c r="U187" s="368"/>
      <c r="V187" s="368"/>
      <c r="W187" s="368"/>
      <c r="X187" s="368"/>
      <c r="Y187" s="368"/>
      <c r="Z187" s="368"/>
      <c r="AA187" s="368"/>
      <c r="AB187" s="368"/>
      <c r="AC187" s="368"/>
      <c r="AD187" s="368"/>
      <c r="AE187" s="368"/>
      <c r="AF187" s="368"/>
      <c r="AG187" s="368"/>
      <c r="AH187" s="368"/>
      <c r="AI187" s="368"/>
      <c r="AJ187" s="368"/>
      <c r="AK187" s="368"/>
      <c r="AL187" s="368"/>
      <c r="AM187" s="368"/>
      <c r="AN187" s="368"/>
      <c r="AO187" s="368"/>
      <c r="AP187" s="368"/>
      <c r="AQ187" s="368"/>
      <c r="AR187" s="368"/>
      <c r="AS187" s="368"/>
      <c r="AT187" s="368"/>
      <c r="AU187" s="368"/>
      <c r="AV187" s="368"/>
      <c r="AW187" s="368"/>
      <c r="AX187" s="368"/>
      <c r="AY187" s="368"/>
      <c r="AZ187" s="368"/>
      <c r="BA187" s="368"/>
      <c r="BB187" s="368"/>
      <c r="BC187" s="368"/>
      <c r="BD187" s="368"/>
      <c r="BE187" s="368"/>
      <c r="BF187" s="368"/>
      <c r="BG187" s="368"/>
    </row>
    <row r="188" spans="2:59" x14ac:dyDescent="0.25">
      <c r="B188" s="67" t="str">
        <f>IF(Capacity!B81="","",Capacity!B81)</f>
        <v/>
      </c>
      <c r="C188" s="221" t="str">
        <f>IF(B188="","",Capacity!E81)</f>
        <v/>
      </c>
      <c r="D188" s="312" t="str">
        <f>IF(B188="","",Capacity!F81)</f>
        <v/>
      </c>
      <c r="E188" s="221" t="str">
        <f>IF(B188="","",IF(COUNTBLANK(H188:BG188)=52,SUM('Capacity calculation (hide)'!H69:BG69),52-COUNTBLANK(H188:BG188)))</f>
        <v/>
      </c>
      <c r="F188" s="313" t="str">
        <f>'Capacity calculation (hide)'!BI69</f>
        <v/>
      </c>
      <c r="H188" s="368"/>
      <c r="I188" s="368"/>
      <c r="J188" s="368"/>
      <c r="K188" s="368"/>
      <c r="L188" s="368"/>
      <c r="M188" s="368"/>
      <c r="N188" s="368"/>
      <c r="O188" s="368"/>
      <c r="P188" s="368"/>
      <c r="Q188" s="368"/>
      <c r="R188" s="368"/>
      <c r="S188" s="368"/>
      <c r="T188" s="368"/>
      <c r="U188" s="368"/>
      <c r="V188" s="368"/>
      <c r="W188" s="368"/>
      <c r="X188" s="368"/>
      <c r="Y188" s="368"/>
      <c r="Z188" s="368"/>
      <c r="AA188" s="368"/>
      <c r="AB188" s="368"/>
      <c r="AC188" s="368"/>
      <c r="AD188" s="368"/>
      <c r="AE188" s="368"/>
      <c r="AF188" s="368"/>
      <c r="AG188" s="368"/>
      <c r="AH188" s="368"/>
      <c r="AI188" s="368"/>
      <c r="AJ188" s="368"/>
      <c r="AK188" s="368"/>
      <c r="AL188" s="368"/>
      <c r="AM188" s="368"/>
      <c r="AN188" s="368"/>
      <c r="AO188" s="368"/>
      <c r="AP188" s="368"/>
      <c r="AQ188" s="368"/>
      <c r="AR188" s="368"/>
      <c r="AS188" s="368"/>
      <c r="AT188" s="368"/>
      <c r="AU188" s="368"/>
      <c r="AV188" s="368"/>
      <c r="AW188" s="368"/>
      <c r="AX188" s="368"/>
      <c r="AY188" s="368"/>
      <c r="AZ188" s="368"/>
      <c r="BA188" s="368"/>
      <c r="BB188" s="368"/>
      <c r="BC188" s="368"/>
      <c r="BD188" s="368"/>
      <c r="BE188" s="368"/>
      <c r="BF188" s="368"/>
      <c r="BG188" s="368"/>
    </row>
    <row r="189" spans="2:59" x14ac:dyDescent="0.25">
      <c r="B189" s="67" t="str">
        <f>IF(Capacity!B82="","",Capacity!B82)</f>
        <v/>
      </c>
      <c r="C189" s="221" t="str">
        <f>IF(B189="","",Capacity!E82)</f>
        <v/>
      </c>
      <c r="D189" s="312" t="str">
        <f>IF(B189="","",Capacity!F82)</f>
        <v/>
      </c>
      <c r="E189" s="221" t="str">
        <f>IF(B189="","",IF(COUNTBLANK(H189:BG189)=52,SUM('Capacity calculation (hide)'!H70:BG70),52-COUNTBLANK(H189:BG189)))</f>
        <v/>
      </c>
      <c r="F189" s="313" t="str">
        <f>'Capacity calculation (hide)'!BI70</f>
        <v/>
      </c>
      <c r="H189" s="368"/>
      <c r="I189" s="368"/>
      <c r="J189" s="368"/>
      <c r="K189" s="368"/>
      <c r="L189" s="368"/>
      <c r="M189" s="368"/>
      <c r="N189" s="368"/>
      <c r="O189" s="368"/>
      <c r="P189" s="368"/>
      <c r="Q189" s="368"/>
      <c r="R189" s="368"/>
      <c r="S189" s="368"/>
      <c r="T189" s="368"/>
      <c r="U189" s="368"/>
      <c r="V189" s="368"/>
      <c r="W189" s="368"/>
      <c r="X189" s="368"/>
      <c r="Y189" s="368"/>
      <c r="Z189" s="368"/>
      <c r="AA189" s="368"/>
      <c r="AB189" s="368"/>
      <c r="AC189" s="368"/>
      <c r="AD189" s="368"/>
      <c r="AE189" s="368"/>
      <c r="AF189" s="368"/>
      <c r="AG189" s="368"/>
      <c r="AH189" s="368"/>
      <c r="AI189" s="368"/>
      <c r="AJ189" s="368"/>
      <c r="AK189" s="368"/>
      <c r="AL189" s="368"/>
      <c r="AM189" s="368"/>
      <c r="AN189" s="368"/>
      <c r="AO189" s="368"/>
      <c r="AP189" s="368"/>
      <c r="AQ189" s="368"/>
      <c r="AR189" s="368"/>
      <c r="AS189" s="368"/>
      <c r="AT189" s="368"/>
      <c r="AU189" s="368"/>
      <c r="AV189" s="368"/>
      <c r="AW189" s="368"/>
      <c r="AX189" s="368"/>
      <c r="AY189" s="368"/>
      <c r="AZ189" s="368"/>
      <c r="BA189" s="368"/>
      <c r="BB189" s="368"/>
      <c r="BC189" s="368"/>
      <c r="BD189" s="368"/>
      <c r="BE189" s="368"/>
      <c r="BF189" s="368"/>
      <c r="BG189" s="368"/>
    </row>
    <row r="190" spans="2:59" x14ac:dyDescent="0.25">
      <c r="B190" s="67" t="str">
        <f>IF(Capacity!B83="","",Capacity!B83)</f>
        <v/>
      </c>
      <c r="C190" s="221" t="str">
        <f>IF(B190="","",Capacity!E83)</f>
        <v/>
      </c>
      <c r="D190" s="312" t="str">
        <f>IF(B190="","",Capacity!F83)</f>
        <v/>
      </c>
      <c r="E190" s="221" t="str">
        <f>IF(B190="","",IF(COUNTBLANK(H190:BG190)=52,SUM('Capacity calculation (hide)'!H71:BG71),52-COUNTBLANK(H190:BG190)))</f>
        <v/>
      </c>
      <c r="F190" s="313" t="str">
        <f>'Capacity calculation (hide)'!BI71</f>
        <v/>
      </c>
      <c r="H190" s="368"/>
      <c r="I190" s="368"/>
      <c r="J190" s="368"/>
      <c r="K190" s="368"/>
      <c r="L190" s="368"/>
      <c r="M190" s="368"/>
      <c r="N190" s="368"/>
      <c r="O190" s="368"/>
      <c r="P190" s="368"/>
      <c r="Q190" s="368"/>
      <c r="R190" s="368"/>
      <c r="S190" s="368"/>
      <c r="T190" s="368"/>
      <c r="U190" s="368"/>
      <c r="V190" s="368"/>
      <c r="W190" s="368"/>
      <c r="X190" s="368"/>
      <c r="Y190" s="368"/>
      <c r="Z190" s="368"/>
      <c r="AA190" s="368"/>
      <c r="AB190" s="368"/>
      <c r="AC190" s="368"/>
      <c r="AD190" s="368"/>
      <c r="AE190" s="368"/>
      <c r="AF190" s="368"/>
      <c r="AG190" s="368"/>
      <c r="AH190" s="368"/>
      <c r="AI190" s="368"/>
      <c r="AJ190" s="368"/>
      <c r="AK190" s="368"/>
      <c r="AL190" s="368"/>
      <c r="AM190" s="368"/>
      <c r="AN190" s="368"/>
      <c r="AO190" s="368"/>
      <c r="AP190" s="368"/>
      <c r="AQ190" s="368"/>
      <c r="AR190" s="368"/>
      <c r="AS190" s="368"/>
      <c r="AT190" s="368"/>
      <c r="AU190" s="368"/>
      <c r="AV190" s="368"/>
      <c r="AW190" s="368"/>
      <c r="AX190" s="368"/>
      <c r="AY190" s="368"/>
      <c r="AZ190" s="368"/>
      <c r="BA190" s="368"/>
      <c r="BB190" s="368"/>
      <c r="BC190" s="368"/>
      <c r="BD190" s="368"/>
      <c r="BE190" s="368"/>
      <c r="BF190" s="368"/>
      <c r="BG190" s="368"/>
    </row>
    <row r="191" spans="2:59" x14ac:dyDescent="0.25">
      <c r="B191" s="67" t="str">
        <f>IF(Capacity!B84="","",Capacity!B84)</f>
        <v/>
      </c>
      <c r="C191" s="221" t="str">
        <f>IF(B191="","",Capacity!E84)</f>
        <v/>
      </c>
      <c r="D191" s="312" t="str">
        <f>IF(B191="","",Capacity!F84)</f>
        <v/>
      </c>
      <c r="E191" s="221" t="str">
        <f>IF(B191="","",IF(COUNTBLANK(H191:BG191)=52,SUM('Capacity calculation (hide)'!H72:BG72),52-COUNTBLANK(H191:BG191)))</f>
        <v/>
      </c>
      <c r="F191" s="313" t="str">
        <f>'Capacity calculation (hide)'!BI72</f>
        <v/>
      </c>
      <c r="H191" s="368"/>
      <c r="I191" s="368"/>
      <c r="J191" s="368"/>
      <c r="K191" s="368"/>
      <c r="L191" s="368"/>
      <c r="M191" s="368"/>
      <c r="N191" s="368"/>
      <c r="O191" s="368"/>
      <c r="P191" s="368"/>
      <c r="Q191" s="368"/>
      <c r="R191" s="368"/>
      <c r="S191" s="368"/>
      <c r="T191" s="368"/>
      <c r="U191" s="368"/>
      <c r="V191" s="368"/>
      <c r="W191" s="368"/>
      <c r="X191" s="368"/>
      <c r="Y191" s="368"/>
      <c r="Z191" s="368"/>
      <c r="AA191" s="368"/>
      <c r="AB191" s="368"/>
      <c r="AC191" s="368"/>
      <c r="AD191" s="368"/>
      <c r="AE191" s="368"/>
      <c r="AF191" s="368"/>
      <c r="AG191" s="368"/>
      <c r="AH191" s="368"/>
      <c r="AI191" s="368"/>
      <c r="AJ191" s="368"/>
      <c r="AK191" s="368"/>
      <c r="AL191" s="368"/>
      <c r="AM191" s="368"/>
      <c r="AN191" s="368"/>
      <c r="AO191" s="368"/>
      <c r="AP191" s="368"/>
      <c r="AQ191" s="368"/>
      <c r="AR191" s="368"/>
      <c r="AS191" s="368"/>
      <c r="AT191" s="368"/>
      <c r="AU191" s="368"/>
      <c r="AV191" s="368"/>
      <c r="AW191" s="368"/>
      <c r="AX191" s="368"/>
      <c r="AY191" s="368"/>
      <c r="AZ191" s="368"/>
      <c r="BA191" s="368"/>
      <c r="BB191" s="368"/>
      <c r="BC191" s="368"/>
      <c r="BD191" s="368"/>
      <c r="BE191" s="368"/>
      <c r="BF191" s="368"/>
      <c r="BG191" s="368"/>
    </row>
    <row r="192" spans="2:59" x14ac:dyDescent="0.25">
      <c r="B192" s="67" t="str">
        <f>IF(Capacity!B85="","",Capacity!B85)</f>
        <v/>
      </c>
      <c r="C192" s="221" t="str">
        <f>IF(B192="","",Capacity!E85)</f>
        <v/>
      </c>
      <c r="D192" s="312" t="str">
        <f>IF(B192="","",Capacity!F85)</f>
        <v/>
      </c>
      <c r="E192" s="221" t="str">
        <f>IF(B192="","",IF(COUNTBLANK(H192:BG192)=52,SUM('Capacity calculation (hide)'!H73:BG73),52-COUNTBLANK(H192:BG192)))</f>
        <v/>
      </c>
      <c r="F192" s="313" t="str">
        <f>'Capacity calculation (hide)'!BI73</f>
        <v/>
      </c>
      <c r="H192" s="368"/>
      <c r="I192" s="368"/>
      <c r="J192" s="368"/>
      <c r="K192" s="368"/>
      <c r="L192" s="368"/>
      <c r="M192" s="368"/>
      <c r="N192" s="368"/>
      <c r="O192" s="368"/>
      <c r="P192" s="368"/>
      <c r="Q192" s="368"/>
      <c r="R192" s="368"/>
      <c r="S192" s="368"/>
      <c r="T192" s="368"/>
      <c r="U192" s="368"/>
      <c r="V192" s="368"/>
      <c r="W192" s="368"/>
      <c r="X192" s="368"/>
      <c r="Y192" s="368"/>
      <c r="Z192" s="368"/>
      <c r="AA192" s="368"/>
      <c r="AB192" s="368"/>
      <c r="AC192" s="368"/>
      <c r="AD192" s="368"/>
      <c r="AE192" s="368"/>
      <c r="AF192" s="368"/>
      <c r="AG192" s="368"/>
      <c r="AH192" s="368"/>
      <c r="AI192" s="368"/>
      <c r="AJ192" s="368"/>
      <c r="AK192" s="368"/>
      <c r="AL192" s="368"/>
      <c r="AM192" s="368"/>
      <c r="AN192" s="368"/>
      <c r="AO192" s="368"/>
      <c r="AP192" s="368"/>
      <c r="AQ192" s="368"/>
      <c r="AR192" s="368"/>
      <c r="AS192" s="368"/>
      <c r="AT192" s="368"/>
      <c r="AU192" s="368"/>
      <c r="AV192" s="368"/>
      <c r="AW192" s="368"/>
      <c r="AX192" s="368"/>
      <c r="AY192" s="368"/>
      <c r="AZ192" s="368"/>
      <c r="BA192" s="368"/>
      <c r="BB192" s="368"/>
      <c r="BC192" s="368"/>
      <c r="BD192" s="368"/>
      <c r="BE192" s="368"/>
      <c r="BF192" s="368"/>
      <c r="BG192" s="368"/>
    </row>
    <row r="193" spans="2:59" x14ac:dyDescent="0.25">
      <c r="B193" s="67" t="str">
        <f>IF(Capacity!B86="","",Capacity!B86)</f>
        <v/>
      </c>
      <c r="C193" s="221" t="str">
        <f>IF(B193="","",Capacity!E86)</f>
        <v/>
      </c>
      <c r="D193" s="312" t="str">
        <f>IF(B193="","",Capacity!F86)</f>
        <v/>
      </c>
      <c r="E193" s="221" t="str">
        <f>IF(B193="","",IF(COUNTBLANK(H193:BG193)=52,SUM('Capacity calculation (hide)'!H74:BG74),52-COUNTBLANK(H193:BG193)))</f>
        <v/>
      </c>
      <c r="F193" s="313" t="str">
        <f>'Capacity calculation (hide)'!BI74</f>
        <v/>
      </c>
      <c r="H193" s="368"/>
      <c r="I193" s="368"/>
      <c r="J193" s="368"/>
      <c r="K193" s="368"/>
      <c r="L193" s="368"/>
      <c r="M193" s="368"/>
      <c r="N193" s="368"/>
      <c r="O193" s="368"/>
      <c r="P193" s="368"/>
      <c r="Q193" s="368"/>
      <c r="R193" s="368"/>
      <c r="S193" s="368"/>
      <c r="T193" s="368"/>
      <c r="U193" s="368"/>
      <c r="V193" s="368"/>
      <c r="W193" s="368"/>
      <c r="X193" s="368"/>
      <c r="Y193" s="368"/>
      <c r="Z193" s="368"/>
      <c r="AA193" s="368"/>
      <c r="AB193" s="368"/>
      <c r="AC193" s="368"/>
      <c r="AD193" s="368"/>
      <c r="AE193" s="368"/>
      <c r="AF193" s="368"/>
      <c r="AG193" s="368"/>
      <c r="AH193" s="368"/>
      <c r="AI193" s="368"/>
      <c r="AJ193" s="368"/>
      <c r="AK193" s="368"/>
      <c r="AL193" s="368"/>
      <c r="AM193" s="368"/>
      <c r="AN193" s="368"/>
      <c r="AO193" s="368"/>
      <c r="AP193" s="368"/>
      <c r="AQ193" s="368"/>
      <c r="AR193" s="368"/>
      <c r="AS193" s="368"/>
      <c r="AT193" s="368"/>
      <c r="AU193" s="368"/>
      <c r="AV193" s="368"/>
      <c r="AW193" s="368"/>
      <c r="AX193" s="368"/>
      <c r="AY193" s="368"/>
      <c r="AZ193" s="368"/>
      <c r="BA193" s="368"/>
      <c r="BB193" s="368"/>
      <c r="BC193" s="368"/>
      <c r="BD193" s="368"/>
      <c r="BE193" s="368"/>
      <c r="BF193" s="368"/>
      <c r="BG193" s="368"/>
    </row>
    <row r="194" spans="2:59" x14ac:dyDescent="0.25">
      <c r="B194" s="67" t="str">
        <f>IF(Capacity!B87="","",Capacity!B87)</f>
        <v/>
      </c>
      <c r="C194" s="221" t="str">
        <f>IF(B194="","",Capacity!E87)</f>
        <v/>
      </c>
      <c r="D194" s="312" t="str">
        <f>IF(B194="","",Capacity!F87)</f>
        <v/>
      </c>
      <c r="E194" s="221" t="str">
        <f>IF(B194="","",IF(COUNTBLANK(H194:BG194)=52,SUM('Capacity calculation (hide)'!H75:BG75),52-COUNTBLANK(H194:BG194)))</f>
        <v/>
      </c>
      <c r="F194" s="313" t="str">
        <f>'Capacity calculation (hide)'!BI75</f>
        <v/>
      </c>
      <c r="H194" s="368"/>
      <c r="I194" s="368"/>
      <c r="J194" s="368"/>
      <c r="K194" s="368"/>
      <c r="L194" s="368"/>
      <c r="M194" s="368"/>
      <c r="N194" s="368"/>
      <c r="O194" s="368"/>
      <c r="P194" s="368"/>
      <c r="Q194" s="368"/>
      <c r="R194" s="368"/>
      <c r="S194" s="368"/>
      <c r="T194" s="368"/>
      <c r="U194" s="368"/>
      <c r="V194" s="368"/>
      <c r="W194" s="368"/>
      <c r="X194" s="368"/>
      <c r="Y194" s="368"/>
      <c r="Z194" s="368"/>
      <c r="AA194" s="368"/>
      <c r="AB194" s="368"/>
      <c r="AC194" s="368"/>
      <c r="AD194" s="368"/>
      <c r="AE194" s="368"/>
      <c r="AF194" s="368"/>
      <c r="AG194" s="368"/>
      <c r="AH194" s="368"/>
      <c r="AI194" s="368"/>
      <c r="AJ194" s="368"/>
      <c r="AK194" s="368"/>
      <c r="AL194" s="368"/>
      <c r="AM194" s="368"/>
      <c r="AN194" s="368"/>
      <c r="AO194" s="368"/>
      <c r="AP194" s="368"/>
      <c r="AQ194" s="368"/>
      <c r="AR194" s="368"/>
      <c r="AS194" s="368"/>
      <c r="AT194" s="368"/>
      <c r="AU194" s="368"/>
      <c r="AV194" s="368"/>
      <c r="AW194" s="368"/>
      <c r="AX194" s="368"/>
      <c r="AY194" s="368"/>
      <c r="AZ194" s="368"/>
      <c r="BA194" s="368"/>
      <c r="BB194" s="368"/>
      <c r="BC194" s="368"/>
      <c r="BD194" s="368"/>
      <c r="BE194" s="368"/>
      <c r="BF194" s="368"/>
      <c r="BG194" s="368"/>
    </row>
    <row r="195" spans="2:59" x14ac:dyDescent="0.25">
      <c r="B195" s="67" t="str">
        <f>IF(Capacity!B88="","",Capacity!B88)</f>
        <v/>
      </c>
      <c r="C195" s="221" t="str">
        <f>IF(B195="","",Capacity!E88)</f>
        <v/>
      </c>
      <c r="D195" s="312" t="str">
        <f>IF(B195="","",Capacity!F88)</f>
        <v/>
      </c>
      <c r="E195" s="221" t="str">
        <f>IF(B195="","",IF(COUNTBLANK(H195:BG195)=52,SUM('Capacity calculation (hide)'!H76:BG76),52-COUNTBLANK(H195:BG195)))</f>
        <v/>
      </c>
      <c r="F195" s="313" t="str">
        <f>'Capacity calculation (hide)'!BI76</f>
        <v/>
      </c>
      <c r="H195" s="368"/>
      <c r="I195" s="368"/>
      <c r="J195" s="368"/>
      <c r="K195" s="368"/>
      <c r="L195" s="368"/>
      <c r="M195" s="368"/>
      <c r="N195" s="368"/>
      <c r="O195" s="368"/>
      <c r="P195" s="368"/>
      <c r="Q195" s="368"/>
      <c r="R195" s="368"/>
      <c r="S195" s="368"/>
      <c r="T195" s="368"/>
      <c r="U195" s="368"/>
      <c r="V195" s="368"/>
      <c r="W195" s="368"/>
      <c r="X195" s="368"/>
      <c r="Y195" s="368"/>
      <c r="Z195" s="368"/>
      <c r="AA195" s="368"/>
      <c r="AB195" s="368"/>
      <c r="AC195" s="368"/>
      <c r="AD195" s="368"/>
      <c r="AE195" s="368"/>
      <c r="AF195" s="368"/>
      <c r="AG195" s="368"/>
      <c r="AH195" s="368"/>
      <c r="AI195" s="368"/>
      <c r="AJ195" s="368"/>
      <c r="AK195" s="368"/>
      <c r="AL195" s="368"/>
      <c r="AM195" s="368"/>
      <c r="AN195" s="368"/>
      <c r="AO195" s="368"/>
      <c r="AP195" s="368"/>
      <c r="AQ195" s="368"/>
      <c r="AR195" s="368"/>
      <c r="AS195" s="368"/>
      <c r="AT195" s="368"/>
      <c r="AU195" s="368"/>
      <c r="AV195" s="368"/>
      <c r="AW195" s="368"/>
      <c r="AX195" s="368"/>
      <c r="AY195" s="368"/>
      <c r="AZ195" s="368"/>
      <c r="BA195" s="368"/>
      <c r="BB195" s="368"/>
      <c r="BC195" s="368"/>
      <c r="BD195" s="368"/>
      <c r="BE195" s="368"/>
      <c r="BF195" s="368"/>
      <c r="BG195" s="368"/>
    </row>
    <row r="196" spans="2:59" x14ac:dyDescent="0.25">
      <c r="B196" s="67" t="str">
        <f>IF(Capacity!B89="","",Capacity!B89)</f>
        <v/>
      </c>
      <c r="C196" s="221" t="str">
        <f>IF(B196="","",Capacity!E89)</f>
        <v/>
      </c>
      <c r="D196" s="312" t="str">
        <f>IF(B196="","",Capacity!F89)</f>
        <v/>
      </c>
      <c r="E196" s="221" t="str">
        <f>IF(B196="","",IF(COUNTBLANK(H196:BG196)=52,SUM('Capacity calculation (hide)'!H77:BG77),52-COUNTBLANK(H196:BG196)))</f>
        <v/>
      </c>
      <c r="F196" s="313" t="str">
        <f>'Capacity calculation (hide)'!BI77</f>
        <v/>
      </c>
      <c r="H196" s="368"/>
      <c r="I196" s="368"/>
      <c r="J196" s="368"/>
      <c r="K196" s="368"/>
      <c r="L196" s="368"/>
      <c r="M196" s="368"/>
      <c r="N196" s="368"/>
      <c r="O196" s="368"/>
      <c r="P196" s="368"/>
      <c r="Q196" s="368"/>
      <c r="R196" s="368"/>
      <c r="S196" s="368"/>
      <c r="T196" s="368"/>
      <c r="U196" s="368"/>
      <c r="V196" s="368"/>
      <c r="W196" s="368"/>
      <c r="X196" s="368"/>
      <c r="Y196" s="368"/>
      <c r="Z196" s="368"/>
      <c r="AA196" s="368"/>
      <c r="AB196" s="368"/>
      <c r="AC196" s="368"/>
      <c r="AD196" s="368"/>
      <c r="AE196" s="368"/>
      <c r="AF196" s="368"/>
      <c r="AG196" s="368"/>
      <c r="AH196" s="368"/>
      <c r="AI196" s="368"/>
      <c r="AJ196" s="368"/>
      <c r="AK196" s="368"/>
      <c r="AL196" s="368"/>
      <c r="AM196" s="368"/>
      <c r="AN196" s="368"/>
      <c r="AO196" s="368"/>
      <c r="AP196" s="368"/>
      <c r="AQ196" s="368"/>
      <c r="AR196" s="368"/>
      <c r="AS196" s="368"/>
      <c r="AT196" s="368"/>
      <c r="AU196" s="368"/>
      <c r="AV196" s="368"/>
      <c r="AW196" s="368"/>
      <c r="AX196" s="368"/>
      <c r="AY196" s="368"/>
      <c r="AZ196" s="368"/>
      <c r="BA196" s="368"/>
      <c r="BB196" s="368"/>
      <c r="BC196" s="368"/>
      <c r="BD196" s="368"/>
      <c r="BE196" s="368"/>
      <c r="BF196" s="368"/>
      <c r="BG196" s="368"/>
    </row>
    <row r="197" spans="2:59" x14ac:dyDescent="0.25">
      <c r="B197" s="67" t="str">
        <f>IF(Capacity!B90="","",Capacity!B90)</f>
        <v/>
      </c>
      <c r="C197" s="221" t="str">
        <f>IF(B197="","",Capacity!E90)</f>
        <v/>
      </c>
      <c r="D197" s="312" t="str">
        <f>IF(B197="","",Capacity!F90)</f>
        <v/>
      </c>
      <c r="E197" s="221" t="str">
        <f>IF(B197="","",IF(COUNTBLANK(H197:BG197)=52,SUM('Capacity calculation (hide)'!H78:BG78),52-COUNTBLANK(H197:BG197)))</f>
        <v/>
      </c>
      <c r="F197" s="313" t="str">
        <f>'Capacity calculation (hide)'!BI78</f>
        <v/>
      </c>
      <c r="H197" s="368"/>
      <c r="I197" s="368"/>
      <c r="J197" s="368"/>
      <c r="K197" s="368"/>
      <c r="L197" s="368"/>
      <c r="M197" s="368"/>
      <c r="N197" s="368"/>
      <c r="O197" s="368"/>
      <c r="P197" s="368"/>
      <c r="Q197" s="368"/>
      <c r="R197" s="368"/>
      <c r="S197" s="368"/>
      <c r="T197" s="368"/>
      <c r="U197" s="368"/>
      <c r="V197" s="368"/>
      <c r="W197" s="368"/>
      <c r="X197" s="368"/>
      <c r="Y197" s="368"/>
      <c r="Z197" s="368"/>
      <c r="AA197" s="368"/>
      <c r="AB197" s="368"/>
      <c r="AC197" s="368"/>
      <c r="AD197" s="368"/>
      <c r="AE197" s="368"/>
      <c r="AF197" s="368"/>
      <c r="AG197" s="368"/>
      <c r="AH197" s="368"/>
      <c r="AI197" s="368"/>
      <c r="AJ197" s="368"/>
      <c r="AK197" s="368"/>
      <c r="AL197" s="368"/>
      <c r="AM197" s="368"/>
      <c r="AN197" s="368"/>
      <c r="AO197" s="368"/>
      <c r="AP197" s="368"/>
      <c r="AQ197" s="368"/>
      <c r="AR197" s="368"/>
      <c r="AS197" s="368"/>
      <c r="AT197" s="368"/>
      <c r="AU197" s="368"/>
      <c r="AV197" s="368"/>
      <c r="AW197" s="368"/>
      <c r="AX197" s="368"/>
      <c r="AY197" s="368"/>
      <c r="AZ197" s="368"/>
      <c r="BA197" s="368"/>
      <c r="BB197" s="368"/>
      <c r="BC197" s="368"/>
      <c r="BD197" s="368"/>
      <c r="BE197" s="368"/>
      <c r="BF197" s="368"/>
      <c r="BG197" s="368"/>
    </row>
    <row r="198" spans="2:59" x14ac:dyDescent="0.25">
      <c r="B198" s="67" t="str">
        <f>IF(Capacity!B91="","",Capacity!B91)</f>
        <v/>
      </c>
      <c r="C198" s="221" t="str">
        <f>IF(B198="","",Capacity!E91)</f>
        <v/>
      </c>
      <c r="D198" s="312" t="str">
        <f>IF(B198="","",Capacity!F91)</f>
        <v/>
      </c>
      <c r="E198" s="221" t="str">
        <f>IF(B198="","",IF(COUNTBLANK(H198:BG198)=52,SUM('Capacity calculation (hide)'!H79:BG79),52-COUNTBLANK(H198:BG198)))</f>
        <v/>
      </c>
      <c r="F198" s="313" t="str">
        <f>'Capacity calculation (hide)'!BI79</f>
        <v/>
      </c>
      <c r="H198" s="368"/>
      <c r="I198" s="368"/>
      <c r="J198" s="368"/>
      <c r="K198" s="368"/>
      <c r="L198" s="368"/>
      <c r="M198" s="368"/>
      <c r="N198" s="368"/>
      <c r="O198" s="368"/>
      <c r="P198" s="368"/>
      <c r="Q198" s="368"/>
      <c r="R198" s="368"/>
      <c r="S198" s="368"/>
      <c r="T198" s="368"/>
      <c r="U198" s="368"/>
      <c r="V198" s="368"/>
      <c r="W198" s="368"/>
      <c r="X198" s="368"/>
      <c r="Y198" s="368"/>
      <c r="Z198" s="368"/>
      <c r="AA198" s="368"/>
      <c r="AB198" s="368"/>
      <c r="AC198" s="368"/>
      <c r="AD198" s="368"/>
      <c r="AE198" s="368"/>
      <c r="AF198" s="368"/>
      <c r="AG198" s="368"/>
      <c r="AH198" s="368"/>
      <c r="AI198" s="368"/>
      <c r="AJ198" s="368"/>
      <c r="AK198" s="368"/>
      <c r="AL198" s="368"/>
      <c r="AM198" s="368"/>
      <c r="AN198" s="368"/>
      <c r="AO198" s="368"/>
      <c r="AP198" s="368"/>
      <c r="AQ198" s="368"/>
      <c r="AR198" s="368"/>
      <c r="AS198" s="368"/>
      <c r="AT198" s="368"/>
      <c r="AU198" s="368"/>
      <c r="AV198" s="368"/>
      <c r="AW198" s="368"/>
      <c r="AX198" s="368"/>
      <c r="AY198" s="368"/>
      <c r="AZ198" s="368"/>
      <c r="BA198" s="368"/>
      <c r="BB198" s="368"/>
      <c r="BC198" s="368"/>
      <c r="BD198" s="368"/>
      <c r="BE198" s="368"/>
      <c r="BF198" s="368"/>
      <c r="BG198" s="368"/>
    </row>
    <row r="199" spans="2:59" x14ac:dyDescent="0.25">
      <c r="B199" s="67" t="str">
        <f>IF(Capacity!B92="","",Capacity!B92)</f>
        <v/>
      </c>
      <c r="C199" s="221" t="str">
        <f>IF(B199="","",Capacity!E92)</f>
        <v/>
      </c>
      <c r="D199" s="312" t="str">
        <f>IF(B199="","",Capacity!F92)</f>
        <v/>
      </c>
      <c r="E199" s="221" t="str">
        <f>IF(B199="","",IF(COUNTBLANK(H199:BG199)=52,SUM('Capacity calculation (hide)'!H80:BG80),52-COUNTBLANK(H199:BG199)))</f>
        <v/>
      </c>
      <c r="F199" s="313" t="str">
        <f>'Capacity calculation (hide)'!BI80</f>
        <v/>
      </c>
      <c r="H199" s="368"/>
      <c r="I199" s="368"/>
      <c r="J199" s="368"/>
      <c r="K199" s="368"/>
      <c r="L199" s="368"/>
      <c r="M199" s="368"/>
      <c r="N199" s="368"/>
      <c r="O199" s="368"/>
      <c r="P199" s="368"/>
      <c r="Q199" s="368"/>
      <c r="R199" s="368"/>
      <c r="S199" s="368"/>
      <c r="T199" s="368"/>
      <c r="U199" s="368"/>
      <c r="V199" s="368"/>
      <c r="W199" s="368"/>
      <c r="X199" s="368"/>
      <c r="Y199" s="368"/>
      <c r="Z199" s="368"/>
      <c r="AA199" s="368"/>
      <c r="AB199" s="368"/>
      <c r="AC199" s="368"/>
      <c r="AD199" s="368"/>
      <c r="AE199" s="368"/>
      <c r="AF199" s="368"/>
      <c r="AG199" s="368"/>
      <c r="AH199" s="368"/>
      <c r="AI199" s="368"/>
      <c r="AJ199" s="368"/>
      <c r="AK199" s="368"/>
      <c r="AL199" s="368"/>
      <c r="AM199" s="368"/>
      <c r="AN199" s="368"/>
      <c r="AO199" s="368"/>
      <c r="AP199" s="368"/>
      <c r="AQ199" s="368"/>
      <c r="AR199" s="368"/>
      <c r="AS199" s="368"/>
      <c r="AT199" s="368"/>
      <c r="AU199" s="368"/>
      <c r="AV199" s="368"/>
      <c r="AW199" s="368"/>
      <c r="AX199" s="368"/>
      <c r="AY199" s="368"/>
      <c r="AZ199" s="368"/>
      <c r="BA199" s="368"/>
      <c r="BB199" s="368"/>
      <c r="BC199" s="368"/>
      <c r="BD199" s="368"/>
      <c r="BE199" s="368"/>
      <c r="BF199" s="368"/>
      <c r="BG199" s="368"/>
    </row>
    <row r="200" spans="2:59" x14ac:dyDescent="0.25">
      <c r="B200" s="67" t="str">
        <f>IF(Capacity!B93="","",Capacity!B93)</f>
        <v/>
      </c>
      <c r="C200" s="221" t="str">
        <f>IF(B200="","",Capacity!E93)</f>
        <v/>
      </c>
      <c r="D200" s="312" t="str">
        <f>IF(B200="","",Capacity!F93)</f>
        <v/>
      </c>
      <c r="E200" s="221" t="str">
        <f>IF(B200="","",IF(COUNTBLANK(H200:BG200)=52,SUM('Capacity calculation (hide)'!H81:BG81),52-COUNTBLANK(H200:BG200)))</f>
        <v/>
      </c>
      <c r="F200" s="313" t="str">
        <f>'Capacity calculation (hide)'!BI81</f>
        <v/>
      </c>
      <c r="H200" s="368"/>
      <c r="I200" s="368"/>
      <c r="J200" s="368"/>
      <c r="K200" s="368"/>
      <c r="L200" s="368"/>
      <c r="M200" s="368"/>
      <c r="N200" s="368"/>
      <c r="O200" s="368"/>
      <c r="P200" s="368"/>
      <c r="Q200" s="368"/>
      <c r="R200" s="368"/>
      <c r="S200" s="368"/>
      <c r="T200" s="368"/>
      <c r="U200" s="368"/>
      <c r="V200" s="368"/>
      <c r="W200" s="368"/>
      <c r="X200" s="368"/>
      <c r="Y200" s="368"/>
      <c r="Z200" s="368"/>
      <c r="AA200" s="368"/>
      <c r="AB200" s="368"/>
      <c r="AC200" s="368"/>
      <c r="AD200" s="368"/>
      <c r="AE200" s="368"/>
      <c r="AF200" s="368"/>
      <c r="AG200" s="368"/>
      <c r="AH200" s="368"/>
      <c r="AI200" s="368"/>
      <c r="AJ200" s="368"/>
      <c r="AK200" s="368"/>
      <c r="AL200" s="368"/>
      <c r="AM200" s="368"/>
      <c r="AN200" s="368"/>
      <c r="AO200" s="368"/>
      <c r="AP200" s="368"/>
      <c r="AQ200" s="368"/>
      <c r="AR200" s="368"/>
      <c r="AS200" s="368"/>
      <c r="AT200" s="368"/>
      <c r="AU200" s="368"/>
      <c r="AV200" s="368"/>
      <c r="AW200" s="368"/>
      <c r="AX200" s="368"/>
      <c r="AY200" s="368"/>
      <c r="AZ200" s="368"/>
      <c r="BA200" s="368"/>
      <c r="BB200" s="368"/>
      <c r="BC200" s="368"/>
      <c r="BD200" s="368"/>
      <c r="BE200" s="368"/>
      <c r="BF200" s="368"/>
      <c r="BG200" s="368"/>
    </row>
    <row r="201" spans="2:59" x14ac:dyDescent="0.25">
      <c r="B201" s="67" t="str">
        <f>IF(Capacity!B94="","",Capacity!B94)</f>
        <v/>
      </c>
      <c r="C201" s="221" t="str">
        <f>IF(B201="","",Capacity!E94)</f>
        <v/>
      </c>
      <c r="D201" s="312" t="str">
        <f>IF(B201="","",Capacity!F94)</f>
        <v/>
      </c>
      <c r="E201" s="221" t="str">
        <f>IF(B201="","",IF(COUNTBLANK(H201:BG201)=52,SUM('Capacity calculation (hide)'!H82:BG82),52-COUNTBLANK(H201:BG201)))</f>
        <v/>
      </c>
      <c r="F201" s="313" t="str">
        <f>'Capacity calculation (hide)'!BI82</f>
        <v/>
      </c>
      <c r="H201" s="368"/>
      <c r="I201" s="368"/>
      <c r="J201" s="368"/>
      <c r="K201" s="368"/>
      <c r="L201" s="368"/>
      <c r="M201" s="368"/>
      <c r="N201" s="368"/>
      <c r="O201" s="368"/>
      <c r="P201" s="368"/>
      <c r="Q201" s="368"/>
      <c r="R201" s="368"/>
      <c r="S201" s="368"/>
      <c r="T201" s="368"/>
      <c r="U201" s="368"/>
      <c r="V201" s="368"/>
      <c r="W201" s="368"/>
      <c r="X201" s="368"/>
      <c r="Y201" s="368"/>
      <c r="Z201" s="368"/>
      <c r="AA201" s="368"/>
      <c r="AB201" s="368"/>
      <c r="AC201" s="368"/>
      <c r="AD201" s="368"/>
      <c r="AE201" s="368"/>
      <c r="AF201" s="368"/>
      <c r="AG201" s="368"/>
      <c r="AH201" s="368"/>
      <c r="AI201" s="368"/>
      <c r="AJ201" s="368"/>
      <c r="AK201" s="368"/>
      <c r="AL201" s="368"/>
      <c r="AM201" s="368"/>
      <c r="AN201" s="368"/>
      <c r="AO201" s="368"/>
      <c r="AP201" s="368"/>
      <c r="AQ201" s="368"/>
      <c r="AR201" s="368"/>
      <c r="AS201" s="368"/>
      <c r="AT201" s="368"/>
      <c r="AU201" s="368"/>
      <c r="AV201" s="368"/>
      <c r="AW201" s="368"/>
      <c r="AX201" s="368"/>
      <c r="AY201" s="368"/>
      <c r="AZ201" s="368"/>
      <c r="BA201" s="368"/>
      <c r="BB201" s="368"/>
      <c r="BC201" s="368"/>
      <c r="BD201" s="368"/>
      <c r="BE201" s="368"/>
      <c r="BF201" s="368"/>
      <c r="BG201" s="368"/>
    </row>
    <row r="202" spans="2:59" x14ac:dyDescent="0.25">
      <c r="B202" s="67" t="str">
        <f>IF(Capacity!B95="","",Capacity!B95)</f>
        <v/>
      </c>
      <c r="C202" s="221" t="str">
        <f>IF(B202="","",Capacity!E95)</f>
        <v/>
      </c>
      <c r="D202" s="312" t="str">
        <f>IF(B202="","",Capacity!F95)</f>
        <v/>
      </c>
      <c r="E202" s="221" t="str">
        <f>IF(B202="","",IF(COUNTBLANK(H202:BG202)=52,SUM('Capacity calculation (hide)'!H83:BG83),52-COUNTBLANK(H202:BG202)))</f>
        <v/>
      </c>
      <c r="F202" s="313" t="str">
        <f>'Capacity calculation (hide)'!BI83</f>
        <v/>
      </c>
      <c r="H202" s="368"/>
      <c r="I202" s="368"/>
      <c r="J202" s="368"/>
      <c r="K202" s="368"/>
      <c r="L202" s="368"/>
      <c r="M202" s="368"/>
      <c r="N202" s="368"/>
      <c r="O202" s="368"/>
      <c r="P202" s="368"/>
      <c r="Q202" s="368"/>
      <c r="R202" s="368"/>
      <c r="S202" s="368"/>
      <c r="T202" s="368"/>
      <c r="U202" s="368"/>
      <c r="V202" s="368"/>
      <c r="W202" s="368"/>
      <c r="X202" s="368"/>
      <c r="Y202" s="368"/>
      <c r="Z202" s="368"/>
      <c r="AA202" s="368"/>
      <c r="AB202" s="368"/>
      <c r="AC202" s="368"/>
      <c r="AD202" s="368"/>
      <c r="AE202" s="368"/>
      <c r="AF202" s="368"/>
      <c r="AG202" s="368"/>
      <c r="AH202" s="368"/>
      <c r="AI202" s="368"/>
      <c r="AJ202" s="368"/>
      <c r="AK202" s="368"/>
      <c r="AL202" s="368"/>
      <c r="AM202" s="368"/>
      <c r="AN202" s="368"/>
      <c r="AO202" s="368"/>
      <c r="AP202" s="368"/>
      <c r="AQ202" s="368"/>
      <c r="AR202" s="368"/>
      <c r="AS202" s="368"/>
      <c r="AT202" s="368"/>
      <c r="AU202" s="368"/>
      <c r="AV202" s="368"/>
      <c r="AW202" s="368"/>
      <c r="AX202" s="368"/>
      <c r="AY202" s="368"/>
      <c r="AZ202" s="368"/>
      <c r="BA202" s="368"/>
      <c r="BB202" s="368"/>
      <c r="BC202" s="368"/>
      <c r="BD202" s="368"/>
      <c r="BE202" s="368"/>
      <c r="BF202" s="368"/>
      <c r="BG202" s="368"/>
    </row>
    <row r="203" spans="2:59" x14ac:dyDescent="0.25">
      <c r="B203" s="67" t="str">
        <f>IF(Capacity!B96="","",Capacity!B96)</f>
        <v/>
      </c>
      <c r="C203" s="221" t="str">
        <f>IF(B203="","",Capacity!E96)</f>
        <v/>
      </c>
      <c r="D203" s="312" t="str">
        <f>IF(B203="","",Capacity!F96)</f>
        <v/>
      </c>
      <c r="E203" s="221" t="str">
        <f>IF(B203="","",IF(COUNTBLANK(H203:BG203)=52,SUM('Capacity calculation (hide)'!H84:BG84),52-COUNTBLANK(H203:BG203)))</f>
        <v/>
      </c>
      <c r="F203" s="313" t="str">
        <f>'Capacity calculation (hide)'!BI84</f>
        <v/>
      </c>
      <c r="H203" s="368"/>
      <c r="I203" s="368"/>
      <c r="J203" s="368"/>
      <c r="K203" s="368"/>
      <c r="L203" s="368"/>
      <c r="M203" s="368"/>
      <c r="N203" s="368"/>
      <c r="O203" s="368"/>
      <c r="P203" s="368"/>
      <c r="Q203" s="368"/>
      <c r="R203" s="368"/>
      <c r="S203" s="368"/>
      <c r="T203" s="368"/>
      <c r="U203" s="368"/>
      <c r="V203" s="368"/>
      <c r="W203" s="368"/>
      <c r="X203" s="368"/>
      <c r="Y203" s="368"/>
      <c r="Z203" s="368"/>
      <c r="AA203" s="368"/>
      <c r="AB203" s="368"/>
      <c r="AC203" s="368"/>
      <c r="AD203" s="368"/>
      <c r="AE203" s="368"/>
      <c r="AF203" s="368"/>
      <c r="AG203" s="368"/>
      <c r="AH203" s="368"/>
      <c r="AI203" s="368"/>
      <c r="AJ203" s="368"/>
      <c r="AK203" s="368"/>
      <c r="AL203" s="368"/>
      <c r="AM203" s="368"/>
      <c r="AN203" s="368"/>
      <c r="AO203" s="368"/>
      <c r="AP203" s="368"/>
      <c r="AQ203" s="368"/>
      <c r="AR203" s="368"/>
      <c r="AS203" s="368"/>
      <c r="AT203" s="368"/>
      <c r="AU203" s="368"/>
      <c r="AV203" s="368"/>
      <c r="AW203" s="368"/>
      <c r="AX203" s="368"/>
      <c r="AY203" s="368"/>
      <c r="AZ203" s="368"/>
      <c r="BA203" s="368"/>
      <c r="BB203" s="368"/>
      <c r="BC203" s="368"/>
      <c r="BD203" s="368"/>
      <c r="BE203" s="368"/>
      <c r="BF203" s="368"/>
      <c r="BG203" s="368"/>
    </row>
    <row r="204" spans="2:59" x14ac:dyDescent="0.25">
      <c r="B204" s="67" t="str">
        <f>IF(Capacity!B97="","",Capacity!B97)</f>
        <v/>
      </c>
      <c r="C204" s="221" t="str">
        <f>IF(B204="","",Capacity!E97)</f>
        <v/>
      </c>
      <c r="D204" s="312" t="str">
        <f>IF(B204="","",Capacity!F97)</f>
        <v/>
      </c>
      <c r="E204" s="221" t="str">
        <f>IF(B204="","",IF(COUNTBLANK(H204:BG204)=52,SUM('Capacity calculation (hide)'!H85:BG85),52-COUNTBLANK(H204:BG204)))</f>
        <v/>
      </c>
      <c r="F204" s="313" t="str">
        <f>'Capacity calculation (hide)'!BI85</f>
        <v/>
      </c>
      <c r="H204" s="368"/>
      <c r="I204" s="368"/>
      <c r="J204" s="368"/>
      <c r="K204" s="368"/>
      <c r="L204" s="368"/>
      <c r="M204" s="368"/>
      <c r="N204" s="368"/>
      <c r="O204" s="368"/>
      <c r="P204" s="368"/>
      <c r="Q204" s="368"/>
      <c r="R204" s="368"/>
      <c r="S204" s="368"/>
      <c r="T204" s="368"/>
      <c r="U204" s="368"/>
      <c r="V204" s="368"/>
      <c r="W204" s="368"/>
      <c r="X204" s="368"/>
      <c r="Y204" s="368"/>
      <c r="Z204" s="368"/>
      <c r="AA204" s="368"/>
      <c r="AB204" s="368"/>
      <c r="AC204" s="368"/>
      <c r="AD204" s="368"/>
      <c r="AE204" s="368"/>
      <c r="AF204" s="368"/>
      <c r="AG204" s="368"/>
      <c r="AH204" s="368"/>
      <c r="AI204" s="368"/>
      <c r="AJ204" s="368"/>
      <c r="AK204" s="368"/>
      <c r="AL204" s="368"/>
      <c r="AM204" s="368"/>
      <c r="AN204" s="368"/>
      <c r="AO204" s="368"/>
      <c r="AP204" s="368"/>
      <c r="AQ204" s="368"/>
      <c r="AR204" s="368"/>
      <c r="AS204" s="368"/>
      <c r="AT204" s="368"/>
      <c r="AU204" s="368"/>
      <c r="AV204" s="368"/>
      <c r="AW204" s="368"/>
      <c r="AX204" s="368"/>
      <c r="AY204" s="368"/>
      <c r="AZ204" s="368"/>
      <c r="BA204" s="368"/>
      <c r="BB204" s="368"/>
      <c r="BC204" s="368"/>
      <c r="BD204" s="368"/>
      <c r="BE204" s="368"/>
      <c r="BF204" s="368"/>
      <c r="BG204" s="368"/>
    </row>
    <row r="205" spans="2:59" x14ac:dyDescent="0.25">
      <c r="B205" s="67" t="str">
        <f>IF(Capacity!B98="","",Capacity!B98)</f>
        <v/>
      </c>
      <c r="C205" s="221" t="str">
        <f>IF(B205="","",Capacity!E98)</f>
        <v/>
      </c>
      <c r="D205" s="312" t="str">
        <f>IF(B205="","",Capacity!F98)</f>
        <v/>
      </c>
      <c r="E205" s="221" t="str">
        <f>IF(B205="","",IF(COUNTBLANK(H205:BG205)=52,SUM('Capacity calculation (hide)'!H86:BG86),52-COUNTBLANK(H205:BG205)))</f>
        <v/>
      </c>
      <c r="F205" s="313" t="str">
        <f>'Capacity calculation (hide)'!BI86</f>
        <v/>
      </c>
      <c r="H205" s="368"/>
      <c r="I205" s="368"/>
      <c r="J205" s="368"/>
      <c r="K205" s="368"/>
      <c r="L205" s="368"/>
      <c r="M205" s="368"/>
      <c r="N205" s="368"/>
      <c r="O205" s="368"/>
      <c r="P205" s="368"/>
      <c r="Q205" s="368"/>
      <c r="R205" s="368"/>
      <c r="S205" s="368"/>
      <c r="T205" s="368"/>
      <c r="U205" s="368"/>
      <c r="V205" s="368"/>
      <c r="W205" s="368"/>
      <c r="X205" s="368"/>
      <c r="Y205" s="368"/>
      <c r="Z205" s="368"/>
      <c r="AA205" s="368"/>
      <c r="AB205" s="368"/>
      <c r="AC205" s="368"/>
      <c r="AD205" s="368"/>
      <c r="AE205" s="368"/>
      <c r="AF205" s="368"/>
      <c r="AG205" s="368"/>
      <c r="AH205" s="368"/>
      <c r="AI205" s="368"/>
      <c r="AJ205" s="368"/>
      <c r="AK205" s="368"/>
      <c r="AL205" s="368"/>
      <c r="AM205" s="368"/>
      <c r="AN205" s="368"/>
      <c r="AO205" s="368"/>
      <c r="AP205" s="368"/>
      <c r="AQ205" s="368"/>
      <c r="AR205" s="368"/>
      <c r="AS205" s="368"/>
      <c r="AT205" s="368"/>
      <c r="AU205" s="368"/>
      <c r="AV205" s="368"/>
      <c r="AW205" s="368"/>
      <c r="AX205" s="368"/>
      <c r="AY205" s="368"/>
      <c r="AZ205" s="368"/>
      <c r="BA205" s="368"/>
      <c r="BB205" s="368"/>
      <c r="BC205" s="368"/>
      <c r="BD205" s="368"/>
      <c r="BE205" s="368"/>
      <c r="BF205" s="368"/>
      <c r="BG205" s="368"/>
    </row>
    <row r="206" spans="2:59" x14ac:dyDescent="0.25">
      <c r="B206" s="67" t="str">
        <f>IF(Capacity!B99="","",Capacity!B99)</f>
        <v/>
      </c>
      <c r="C206" s="221" t="str">
        <f>IF(B206="","",Capacity!E99)</f>
        <v/>
      </c>
      <c r="D206" s="312" t="str">
        <f>IF(B206="","",Capacity!F99)</f>
        <v/>
      </c>
      <c r="E206" s="221" t="str">
        <f>IF(B206="","",IF(COUNTBLANK(H206:BG206)=52,SUM('Capacity calculation (hide)'!H87:BG87),52-COUNTBLANK(H206:BG206)))</f>
        <v/>
      </c>
      <c r="F206" s="313" t="str">
        <f>'Capacity calculation (hide)'!BI87</f>
        <v/>
      </c>
      <c r="H206" s="368"/>
      <c r="I206" s="368"/>
      <c r="J206" s="368"/>
      <c r="K206" s="368"/>
      <c r="L206" s="368"/>
      <c r="M206" s="368"/>
      <c r="N206" s="368"/>
      <c r="O206" s="368"/>
      <c r="P206" s="368"/>
      <c r="Q206" s="368"/>
      <c r="R206" s="368"/>
      <c r="S206" s="368"/>
      <c r="T206" s="368"/>
      <c r="U206" s="368"/>
      <c r="V206" s="368"/>
      <c r="W206" s="368"/>
      <c r="X206" s="368"/>
      <c r="Y206" s="368"/>
      <c r="Z206" s="368"/>
      <c r="AA206" s="368"/>
      <c r="AB206" s="368"/>
      <c r="AC206" s="368"/>
      <c r="AD206" s="368"/>
      <c r="AE206" s="368"/>
      <c r="AF206" s="368"/>
      <c r="AG206" s="368"/>
      <c r="AH206" s="368"/>
      <c r="AI206" s="368"/>
      <c r="AJ206" s="368"/>
      <c r="AK206" s="368"/>
      <c r="AL206" s="368"/>
      <c r="AM206" s="368"/>
      <c r="AN206" s="368"/>
      <c r="AO206" s="368"/>
      <c r="AP206" s="368"/>
      <c r="AQ206" s="368"/>
      <c r="AR206" s="368"/>
      <c r="AS206" s="368"/>
      <c r="AT206" s="368"/>
      <c r="AU206" s="368"/>
      <c r="AV206" s="368"/>
      <c r="AW206" s="368"/>
      <c r="AX206" s="368"/>
      <c r="AY206" s="368"/>
      <c r="AZ206" s="368"/>
      <c r="BA206" s="368"/>
      <c r="BB206" s="368"/>
      <c r="BC206" s="368"/>
      <c r="BD206" s="368"/>
      <c r="BE206" s="368"/>
      <c r="BF206" s="368"/>
      <c r="BG206" s="368"/>
    </row>
    <row r="207" spans="2:59" x14ac:dyDescent="0.25">
      <c r="B207" s="67" t="str">
        <f>IF(Capacity!B100="","",Capacity!B100)</f>
        <v/>
      </c>
      <c r="C207" s="221" t="str">
        <f>IF(B207="","",Capacity!E100)</f>
        <v/>
      </c>
      <c r="D207" s="312" t="str">
        <f>IF(B207="","",Capacity!F100)</f>
        <v/>
      </c>
      <c r="E207" s="221" t="str">
        <f>IF(B207="","",IF(COUNTBLANK(H207:BG207)=52,SUM('Capacity calculation (hide)'!H88:BG88),52-COUNTBLANK(H207:BG207)))</f>
        <v/>
      </c>
      <c r="F207" s="313" t="str">
        <f>'Capacity calculation (hide)'!BI88</f>
        <v/>
      </c>
      <c r="H207" s="368"/>
      <c r="I207" s="368"/>
      <c r="J207" s="368"/>
      <c r="K207" s="368"/>
      <c r="L207" s="368"/>
      <c r="M207" s="368"/>
      <c r="N207" s="368"/>
      <c r="O207" s="368"/>
      <c r="P207" s="368"/>
      <c r="Q207" s="368"/>
      <c r="R207" s="368"/>
      <c r="S207" s="368"/>
      <c r="T207" s="368"/>
      <c r="U207" s="368"/>
      <c r="V207" s="368"/>
      <c r="W207" s="368"/>
      <c r="X207" s="368"/>
      <c r="Y207" s="368"/>
      <c r="Z207" s="368"/>
      <c r="AA207" s="368"/>
      <c r="AB207" s="368"/>
      <c r="AC207" s="368"/>
      <c r="AD207" s="368"/>
      <c r="AE207" s="368"/>
      <c r="AF207" s="368"/>
      <c r="AG207" s="368"/>
      <c r="AH207" s="368"/>
      <c r="AI207" s="368"/>
      <c r="AJ207" s="368"/>
      <c r="AK207" s="368"/>
      <c r="AL207" s="368"/>
      <c r="AM207" s="368"/>
      <c r="AN207" s="368"/>
      <c r="AO207" s="368"/>
      <c r="AP207" s="368"/>
      <c r="AQ207" s="368"/>
      <c r="AR207" s="368"/>
      <c r="AS207" s="368"/>
      <c r="AT207" s="368"/>
      <c r="AU207" s="368"/>
      <c r="AV207" s="368"/>
      <c r="AW207" s="368"/>
      <c r="AX207" s="368"/>
      <c r="AY207" s="368"/>
      <c r="AZ207" s="368"/>
      <c r="BA207" s="368"/>
      <c r="BB207" s="368"/>
      <c r="BC207" s="368"/>
      <c r="BD207" s="368"/>
      <c r="BE207" s="368"/>
      <c r="BF207" s="368"/>
      <c r="BG207" s="368"/>
    </row>
    <row r="208" spans="2:59" x14ac:dyDescent="0.25">
      <c r="B208" s="67" t="str">
        <f>IF(Capacity!B101="","",Capacity!B101)</f>
        <v/>
      </c>
      <c r="C208" s="221" t="str">
        <f>IF(B208="","",Capacity!E101)</f>
        <v/>
      </c>
      <c r="D208" s="312" t="str">
        <f>IF(B208="","",Capacity!F101)</f>
        <v/>
      </c>
      <c r="E208" s="221" t="str">
        <f>IF(B208="","",IF(COUNTBLANK(H208:BG208)=52,SUM('Capacity calculation (hide)'!H89:BG89),52-COUNTBLANK(H208:BG208)))</f>
        <v/>
      </c>
      <c r="F208" s="313" t="str">
        <f>'Capacity calculation (hide)'!BI89</f>
        <v/>
      </c>
      <c r="H208" s="368"/>
      <c r="I208" s="368"/>
      <c r="J208" s="368"/>
      <c r="K208" s="368"/>
      <c r="L208" s="368"/>
      <c r="M208" s="368"/>
      <c r="N208" s="368"/>
      <c r="O208" s="368"/>
      <c r="P208" s="368"/>
      <c r="Q208" s="368"/>
      <c r="R208" s="368"/>
      <c r="S208" s="368"/>
      <c r="T208" s="368"/>
      <c r="U208" s="368"/>
      <c r="V208" s="368"/>
      <c r="W208" s="368"/>
      <c r="X208" s="368"/>
      <c r="Y208" s="368"/>
      <c r="Z208" s="368"/>
      <c r="AA208" s="368"/>
      <c r="AB208" s="368"/>
      <c r="AC208" s="368"/>
      <c r="AD208" s="368"/>
      <c r="AE208" s="368"/>
      <c r="AF208" s="368"/>
      <c r="AG208" s="368"/>
      <c r="AH208" s="368"/>
      <c r="AI208" s="368"/>
      <c r="AJ208" s="368"/>
      <c r="AK208" s="368"/>
      <c r="AL208" s="368"/>
      <c r="AM208" s="368"/>
      <c r="AN208" s="368"/>
      <c r="AO208" s="368"/>
      <c r="AP208" s="368"/>
      <c r="AQ208" s="368"/>
      <c r="AR208" s="368"/>
      <c r="AS208" s="368"/>
      <c r="AT208" s="368"/>
      <c r="AU208" s="368"/>
      <c r="AV208" s="368"/>
      <c r="AW208" s="368"/>
      <c r="AX208" s="368"/>
      <c r="AY208" s="368"/>
      <c r="AZ208" s="368"/>
      <c r="BA208" s="368"/>
      <c r="BB208" s="368"/>
      <c r="BC208" s="368"/>
      <c r="BD208" s="368"/>
      <c r="BE208" s="368"/>
      <c r="BF208" s="368"/>
      <c r="BG208" s="368"/>
    </row>
    <row r="209" spans="2:59" x14ac:dyDescent="0.25">
      <c r="B209" s="67" t="str">
        <f>IF(Capacity!B102="","",Capacity!B102)</f>
        <v/>
      </c>
      <c r="C209" s="221" t="str">
        <f>IF(B209="","",Capacity!E102)</f>
        <v/>
      </c>
      <c r="D209" s="312" t="str">
        <f>IF(B209="","",Capacity!F102)</f>
        <v/>
      </c>
      <c r="E209" s="221" t="str">
        <f>IF(B209="","",IF(COUNTBLANK(H209:BG209)=52,SUM('Capacity calculation (hide)'!H90:BG90),52-COUNTBLANK(H209:BG209)))</f>
        <v/>
      </c>
      <c r="F209" s="313" t="str">
        <f>'Capacity calculation (hide)'!BI90</f>
        <v/>
      </c>
      <c r="H209" s="368"/>
      <c r="I209" s="368"/>
      <c r="J209" s="368"/>
      <c r="K209" s="368"/>
      <c r="L209" s="368"/>
      <c r="M209" s="368"/>
      <c r="N209" s="368"/>
      <c r="O209" s="368"/>
      <c r="P209" s="368"/>
      <c r="Q209" s="368"/>
      <c r="R209" s="368"/>
      <c r="S209" s="368"/>
      <c r="T209" s="368"/>
      <c r="U209" s="368"/>
      <c r="V209" s="368"/>
      <c r="W209" s="368"/>
      <c r="X209" s="368"/>
      <c r="Y209" s="368"/>
      <c r="Z209" s="368"/>
      <c r="AA209" s="368"/>
      <c r="AB209" s="368"/>
      <c r="AC209" s="368"/>
      <c r="AD209" s="368"/>
      <c r="AE209" s="368"/>
      <c r="AF209" s="368"/>
      <c r="AG209" s="368"/>
      <c r="AH209" s="368"/>
      <c r="AI209" s="368"/>
      <c r="AJ209" s="368"/>
      <c r="AK209" s="368"/>
      <c r="AL209" s="368"/>
      <c r="AM209" s="368"/>
      <c r="AN209" s="368"/>
      <c r="AO209" s="368"/>
      <c r="AP209" s="368"/>
      <c r="AQ209" s="368"/>
      <c r="AR209" s="368"/>
      <c r="AS209" s="368"/>
      <c r="AT209" s="368"/>
      <c r="AU209" s="368"/>
      <c r="AV209" s="368"/>
      <c r="AW209" s="368"/>
      <c r="AX209" s="368"/>
      <c r="AY209" s="368"/>
      <c r="AZ209" s="368"/>
      <c r="BA209" s="368"/>
      <c r="BB209" s="368"/>
      <c r="BC209" s="368"/>
      <c r="BD209" s="368"/>
      <c r="BE209" s="368"/>
      <c r="BF209" s="368"/>
      <c r="BG209" s="368"/>
    </row>
    <row r="210" spans="2:59" x14ac:dyDescent="0.25">
      <c r="B210" s="67" t="str">
        <f>IF(Capacity!B103="","",Capacity!B103)</f>
        <v/>
      </c>
      <c r="C210" s="221" t="str">
        <f>IF(B210="","",Capacity!E103)</f>
        <v/>
      </c>
      <c r="D210" s="312" t="str">
        <f>IF(B210="","",Capacity!F103)</f>
        <v/>
      </c>
      <c r="E210" s="221" t="str">
        <f>IF(B210="","",IF(COUNTBLANK(H210:BG210)=52,SUM('Capacity calculation (hide)'!H91:BG91),52-COUNTBLANK(H210:BG210)))</f>
        <v/>
      </c>
      <c r="F210" s="313" t="str">
        <f>'Capacity calculation (hide)'!BI91</f>
        <v/>
      </c>
      <c r="H210" s="368"/>
      <c r="I210" s="368"/>
      <c r="J210" s="368"/>
      <c r="K210" s="368"/>
      <c r="L210" s="368"/>
      <c r="M210" s="368"/>
      <c r="N210" s="368"/>
      <c r="O210" s="368"/>
      <c r="P210" s="368"/>
      <c r="Q210" s="368"/>
      <c r="R210" s="368"/>
      <c r="S210" s="368"/>
      <c r="T210" s="368"/>
      <c r="U210" s="368"/>
      <c r="V210" s="368"/>
      <c r="W210" s="368"/>
      <c r="X210" s="368"/>
      <c r="Y210" s="368"/>
      <c r="Z210" s="368"/>
      <c r="AA210" s="368"/>
      <c r="AB210" s="368"/>
      <c r="AC210" s="368"/>
      <c r="AD210" s="368"/>
      <c r="AE210" s="368"/>
      <c r="AF210" s="368"/>
      <c r="AG210" s="368"/>
      <c r="AH210" s="368"/>
      <c r="AI210" s="368"/>
      <c r="AJ210" s="368"/>
      <c r="AK210" s="368"/>
      <c r="AL210" s="368"/>
      <c r="AM210" s="368"/>
      <c r="AN210" s="368"/>
      <c r="AO210" s="368"/>
      <c r="AP210" s="368"/>
      <c r="AQ210" s="368"/>
      <c r="AR210" s="368"/>
      <c r="AS210" s="368"/>
      <c r="AT210" s="368"/>
      <c r="AU210" s="368"/>
      <c r="AV210" s="368"/>
      <c r="AW210" s="368"/>
      <c r="AX210" s="368"/>
      <c r="AY210" s="368"/>
      <c r="AZ210" s="368"/>
      <c r="BA210" s="368"/>
      <c r="BB210" s="368"/>
      <c r="BC210" s="368"/>
      <c r="BD210" s="368"/>
      <c r="BE210" s="368"/>
      <c r="BF210" s="368"/>
      <c r="BG210" s="368"/>
    </row>
    <row r="211" spans="2:59" x14ac:dyDescent="0.25">
      <c r="B211" s="67" t="str">
        <f>IF(Capacity!B104="","",Capacity!B104)</f>
        <v/>
      </c>
      <c r="C211" s="221" t="str">
        <f>IF(B211="","",Capacity!E104)</f>
        <v/>
      </c>
      <c r="D211" s="312" t="str">
        <f>IF(B211="","",Capacity!F104)</f>
        <v/>
      </c>
      <c r="E211" s="221" t="str">
        <f>IF(B211="","",IF(COUNTBLANK(H211:BG211)=52,SUM('Capacity calculation (hide)'!H92:BG92),52-COUNTBLANK(H211:BG211)))</f>
        <v/>
      </c>
      <c r="F211" s="313" t="str">
        <f>'Capacity calculation (hide)'!BI92</f>
        <v/>
      </c>
      <c r="H211" s="368"/>
      <c r="I211" s="368"/>
      <c r="J211" s="368"/>
      <c r="K211" s="368"/>
      <c r="L211" s="368"/>
      <c r="M211" s="368"/>
      <c r="N211" s="368"/>
      <c r="O211" s="368"/>
      <c r="P211" s="368"/>
      <c r="Q211" s="368"/>
      <c r="R211" s="368"/>
      <c r="S211" s="368"/>
      <c r="T211" s="368"/>
      <c r="U211" s="368"/>
      <c r="V211" s="368"/>
      <c r="W211" s="368"/>
      <c r="X211" s="368"/>
      <c r="Y211" s="368"/>
      <c r="Z211" s="368"/>
      <c r="AA211" s="368"/>
      <c r="AB211" s="368"/>
      <c r="AC211" s="368"/>
      <c r="AD211" s="368"/>
      <c r="AE211" s="368"/>
      <c r="AF211" s="368"/>
      <c r="AG211" s="368"/>
      <c r="AH211" s="368"/>
      <c r="AI211" s="368"/>
      <c r="AJ211" s="368"/>
      <c r="AK211" s="368"/>
      <c r="AL211" s="368"/>
      <c r="AM211" s="368"/>
      <c r="AN211" s="368"/>
      <c r="AO211" s="368"/>
      <c r="AP211" s="368"/>
      <c r="AQ211" s="368"/>
      <c r="AR211" s="368"/>
      <c r="AS211" s="368"/>
      <c r="AT211" s="368"/>
      <c r="AU211" s="368"/>
      <c r="AV211" s="368"/>
      <c r="AW211" s="368"/>
      <c r="AX211" s="368"/>
      <c r="AY211" s="368"/>
      <c r="AZ211" s="368"/>
      <c r="BA211" s="368"/>
      <c r="BB211" s="368"/>
      <c r="BC211" s="368"/>
      <c r="BD211" s="368"/>
      <c r="BE211" s="368"/>
      <c r="BF211" s="368"/>
      <c r="BG211" s="368"/>
    </row>
    <row r="212" spans="2:59" x14ac:dyDescent="0.25">
      <c r="B212" s="67" t="str">
        <f>IF(Capacity!B105="","",Capacity!B105)</f>
        <v/>
      </c>
      <c r="C212" s="221" t="str">
        <f>IF(B212="","",Capacity!E105)</f>
        <v/>
      </c>
      <c r="D212" s="312" t="str">
        <f>IF(B212="","",Capacity!F105)</f>
        <v/>
      </c>
      <c r="E212" s="221" t="str">
        <f>IF(B212="","",IF(COUNTBLANK(H212:BG212)=52,SUM('Capacity calculation (hide)'!H93:BG93),52-COUNTBLANK(H212:BG212)))</f>
        <v/>
      </c>
      <c r="F212" s="313" t="str">
        <f>'Capacity calculation (hide)'!BI93</f>
        <v/>
      </c>
      <c r="H212" s="368"/>
      <c r="I212" s="368"/>
      <c r="J212" s="368"/>
      <c r="K212" s="368"/>
      <c r="L212" s="368"/>
      <c r="M212" s="368"/>
      <c r="N212" s="368"/>
      <c r="O212" s="368"/>
      <c r="P212" s="368"/>
      <c r="Q212" s="368"/>
      <c r="R212" s="368"/>
      <c r="S212" s="368"/>
      <c r="T212" s="368"/>
      <c r="U212" s="368"/>
      <c r="V212" s="368"/>
      <c r="W212" s="368"/>
      <c r="X212" s="368"/>
      <c r="Y212" s="368"/>
      <c r="Z212" s="368"/>
      <c r="AA212" s="368"/>
      <c r="AB212" s="368"/>
      <c r="AC212" s="368"/>
      <c r="AD212" s="368"/>
      <c r="AE212" s="368"/>
      <c r="AF212" s="368"/>
      <c r="AG212" s="368"/>
      <c r="AH212" s="368"/>
      <c r="AI212" s="368"/>
      <c r="AJ212" s="368"/>
      <c r="AK212" s="368"/>
      <c r="AL212" s="368"/>
      <c r="AM212" s="368"/>
      <c r="AN212" s="368"/>
      <c r="AO212" s="368"/>
      <c r="AP212" s="368"/>
      <c r="AQ212" s="368"/>
      <c r="AR212" s="368"/>
      <c r="AS212" s="368"/>
      <c r="AT212" s="368"/>
      <c r="AU212" s="368"/>
      <c r="AV212" s="368"/>
      <c r="AW212" s="368"/>
      <c r="AX212" s="368"/>
      <c r="AY212" s="368"/>
      <c r="AZ212" s="368"/>
      <c r="BA212" s="368"/>
      <c r="BB212" s="368"/>
      <c r="BC212" s="368"/>
      <c r="BD212" s="368"/>
      <c r="BE212" s="368"/>
      <c r="BF212" s="368"/>
      <c r="BG212" s="368"/>
    </row>
    <row r="213" spans="2:59" x14ac:dyDescent="0.25">
      <c r="B213" s="67" t="str">
        <f>IF(Capacity!B106="","",Capacity!B106)</f>
        <v/>
      </c>
      <c r="C213" s="221" t="str">
        <f>IF(B213="","",Capacity!E106)</f>
        <v/>
      </c>
      <c r="D213" s="312" t="str">
        <f>IF(B213="","",Capacity!F106)</f>
        <v/>
      </c>
      <c r="E213" s="221" t="str">
        <f>IF(B213="","",IF(COUNTBLANK(H213:BG213)=52,SUM('Capacity calculation (hide)'!H94:BG94),52-COUNTBLANK(H213:BG213)))</f>
        <v/>
      </c>
      <c r="F213" s="313" t="str">
        <f>'Capacity calculation (hide)'!BI94</f>
        <v/>
      </c>
      <c r="H213" s="368"/>
      <c r="I213" s="368"/>
      <c r="J213" s="368"/>
      <c r="K213" s="368"/>
      <c r="L213" s="368"/>
      <c r="M213" s="368"/>
      <c r="N213" s="368"/>
      <c r="O213" s="368"/>
      <c r="P213" s="368"/>
      <c r="Q213" s="368"/>
      <c r="R213" s="368"/>
      <c r="S213" s="368"/>
      <c r="T213" s="368"/>
      <c r="U213" s="368"/>
      <c r="V213" s="368"/>
      <c r="W213" s="368"/>
      <c r="X213" s="368"/>
      <c r="Y213" s="368"/>
      <c r="Z213" s="368"/>
      <c r="AA213" s="368"/>
      <c r="AB213" s="368"/>
      <c r="AC213" s="368"/>
      <c r="AD213" s="368"/>
      <c r="AE213" s="368"/>
      <c r="AF213" s="368"/>
      <c r="AG213" s="368"/>
      <c r="AH213" s="368"/>
      <c r="AI213" s="368"/>
      <c r="AJ213" s="368"/>
      <c r="AK213" s="368"/>
      <c r="AL213" s="368"/>
      <c r="AM213" s="368"/>
      <c r="AN213" s="368"/>
      <c r="AO213" s="368"/>
      <c r="AP213" s="368"/>
      <c r="AQ213" s="368"/>
      <c r="AR213" s="368"/>
      <c r="AS213" s="368"/>
      <c r="AT213" s="368"/>
      <c r="AU213" s="368"/>
      <c r="AV213" s="368"/>
      <c r="AW213" s="368"/>
      <c r="AX213" s="368"/>
      <c r="AY213" s="368"/>
      <c r="AZ213" s="368"/>
      <c r="BA213" s="368"/>
      <c r="BB213" s="368"/>
      <c r="BC213" s="368"/>
      <c r="BD213" s="368"/>
      <c r="BE213" s="368"/>
      <c r="BF213" s="368"/>
      <c r="BG213" s="368"/>
    </row>
    <row r="214" spans="2:59" x14ac:dyDescent="0.25">
      <c r="B214" s="67" t="str">
        <f>IF(Capacity!B107="","",Capacity!B107)</f>
        <v/>
      </c>
      <c r="C214" s="221" t="str">
        <f>IF(B214="","",Capacity!E107)</f>
        <v/>
      </c>
      <c r="D214" s="312" t="str">
        <f>IF(B214="","",Capacity!F107)</f>
        <v/>
      </c>
      <c r="E214" s="221" t="str">
        <f>IF(B214="","",IF(COUNTBLANK(H214:BG214)=52,SUM('Capacity calculation (hide)'!H95:BG95),52-COUNTBLANK(H214:BG214)))</f>
        <v/>
      </c>
      <c r="F214" s="313" t="str">
        <f>'Capacity calculation (hide)'!BI95</f>
        <v/>
      </c>
      <c r="H214" s="368"/>
      <c r="I214" s="368"/>
      <c r="J214" s="368"/>
      <c r="K214" s="368"/>
      <c r="L214" s="368"/>
      <c r="M214" s="368"/>
      <c r="N214" s="368"/>
      <c r="O214" s="368"/>
      <c r="P214" s="368"/>
      <c r="Q214" s="368"/>
      <c r="R214" s="368"/>
      <c r="S214" s="368"/>
      <c r="T214" s="368"/>
      <c r="U214" s="368"/>
      <c r="V214" s="368"/>
      <c r="W214" s="368"/>
      <c r="X214" s="368"/>
      <c r="Y214" s="368"/>
      <c r="Z214" s="368"/>
      <c r="AA214" s="368"/>
      <c r="AB214" s="368"/>
      <c r="AC214" s="368"/>
      <c r="AD214" s="368"/>
      <c r="AE214" s="368"/>
      <c r="AF214" s="368"/>
      <c r="AG214" s="368"/>
      <c r="AH214" s="368"/>
      <c r="AI214" s="368"/>
      <c r="AJ214" s="368"/>
      <c r="AK214" s="368"/>
      <c r="AL214" s="368"/>
      <c r="AM214" s="368"/>
      <c r="AN214" s="368"/>
      <c r="AO214" s="368"/>
      <c r="AP214" s="368"/>
      <c r="AQ214" s="368"/>
      <c r="AR214" s="368"/>
      <c r="AS214" s="368"/>
      <c r="AT214" s="368"/>
      <c r="AU214" s="368"/>
      <c r="AV214" s="368"/>
      <c r="AW214" s="368"/>
      <c r="AX214" s="368"/>
      <c r="AY214" s="368"/>
      <c r="AZ214" s="368"/>
      <c r="BA214" s="368"/>
      <c r="BB214" s="368"/>
      <c r="BC214" s="368"/>
      <c r="BD214" s="368"/>
      <c r="BE214" s="368"/>
      <c r="BF214" s="368"/>
      <c r="BG214" s="368"/>
    </row>
    <row r="215" spans="2:59" x14ac:dyDescent="0.25">
      <c r="B215" s="67" t="str">
        <f>IF(Capacity!B108="","",Capacity!B108)</f>
        <v/>
      </c>
      <c r="C215" s="221" t="str">
        <f>IF(B215="","",Capacity!E108)</f>
        <v/>
      </c>
      <c r="D215" s="312" t="str">
        <f>IF(B215="","",Capacity!F108)</f>
        <v/>
      </c>
      <c r="E215" s="221" t="str">
        <f>IF(B215="","",IF(COUNTBLANK(H215:BG215)=52,SUM('Capacity calculation (hide)'!H96:BG96),52-COUNTBLANK(H215:BG215)))</f>
        <v/>
      </c>
      <c r="F215" s="313" t="str">
        <f>'Capacity calculation (hide)'!BI96</f>
        <v/>
      </c>
      <c r="H215" s="368"/>
      <c r="I215" s="368"/>
      <c r="J215" s="368"/>
      <c r="K215" s="368"/>
      <c r="L215" s="368"/>
      <c r="M215" s="368"/>
      <c r="N215" s="368"/>
      <c r="O215" s="368"/>
      <c r="P215" s="368"/>
      <c r="Q215" s="368"/>
      <c r="R215" s="368"/>
      <c r="S215" s="368"/>
      <c r="T215" s="368"/>
      <c r="U215" s="368"/>
      <c r="V215" s="368"/>
      <c r="W215" s="368"/>
      <c r="X215" s="368"/>
      <c r="Y215" s="368"/>
      <c r="Z215" s="368"/>
      <c r="AA215" s="368"/>
      <c r="AB215" s="368"/>
      <c r="AC215" s="368"/>
      <c r="AD215" s="368"/>
      <c r="AE215" s="368"/>
      <c r="AF215" s="368"/>
      <c r="AG215" s="368"/>
      <c r="AH215" s="368"/>
      <c r="AI215" s="368"/>
      <c r="AJ215" s="368"/>
      <c r="AK215" s="368"/>
      <c r="AL215" s="368"/>
      <c r="AM215" s="368"/>
      <c r="AN215" s="368"/>
      <c r="AO215" s="368"/>
      <c r="AP215" s="368"/>
      <c r="AQ215" s="368"/>
      <c r="AR215" s="368"/>
      <c r="AS215" s="368"/>
      <c r="AT215" s="368"/>
      <c r="AU215" s="368"/>
      <c r="AV215" s="368"/>
      <c r="AW215" s="368"/>
      <c r="AX215" s="368"/>
      <c r="AY215" s="368"/>
      <c r="AZ215" s="368"/>
      <c r="BA215" s="368"/>
      <c r="BB215" s="368"/>
      <c r="BC215" s="368"/>
      <c r="BD215" s="368"/>
      <c r="BE215" s="368"/>
      <c r="BF215" s="368"/>
      <c r="BG215" s="368"/>
    </row>
    <row r="216" spans="2:59" x14ac:dyDescent="0.25">
      <c r="B216" s="67" t="str">
        <f>IF(Capacity!B109="","",Capacity!B109)</f>
        <v/>
      </c>
      <c r="C216" s="221" t="str">
        <f>IF(B216="","",Capacity!E109)</f>
        <v/>
      </c>
      <c r="D216" s="312" t="str">
        <f>IF(B216="","",Capacity!F109)</f>
        <v/>
      </c>
      <c r="E216" s="221" t="str">
        <f>IF(B216="","",IF(COUNTBLANK(H216:BG216)=52,SUM('Capacity calculation (hide)'!H97:BG97),52-COUNTBLANK(H216:BG216)))</f>
        <v/>
      </c>
      <c r="F216" s="313" t="str">
        <f>'Capacity calculation (hide)'!BI97</f>
        <v/>
      </c>
      <c r="H216" s="368"/>
      <c r="I216" s="368"/>
      <c r="J216" s="368"/>
      <c r="K216" s="368"/>
      <c r="L216" s="368"/>
      <c r="M216" s="368"/>
      <c r="N216" s="368"/>
      <c r="O216" s="368"/>
      <c r="P216" s="368"/>
      <c r="Q216" s="368"/>
      <c r="R216" s="368"/>
      <c r="S216" s="368"/>
      <c r="T216" s="368"/>
      <c r="U216" s="368"/>
      <c r="V216" s="368"/>
      <c r="W216" s="368"/>
      <c r="X216" s="368"/>
      <c r="Y216" s="368"/>
      <c r="Z216" s="368"/>
      <c r="AA216" s="368"/>
      <c r="AB216" s="368"/>
      <c r="AC216" s="368"/>
      <c r="AD216" s="368"/>
      <c r="AE216" s="368"/>
      <c r="AF216" s="368"/>
      <c r="AG216" s="368"/>
      <c r="AH216" s="368"/>
      <c r="AI216" s="368"/>
      <c r="AJ216" s="368"/>
      <c r="AK216" s="368"/>
      <c r="AL216" s="368"/>
      <c r="AM216" s="368"/>
      <c r="AN216" s="368"/>
      <c r="AO216" s="368"/>
      <c r="AP216" s="368"/>
      <c r="AQ216" s="368"/>
      <c r="AR216" s="368"/>
      <c r="AS216" s="368"/>
      <c r="AT216" s="368"/>
      <c r="AU216" s="368"/>
      <c r="AV216" s="368"/>
      <c r="AW216" s="368"/>
      <c r="AX216" s="368"/>
      <c r="AY216" s="368"/>
      <c r="AZ216" s="368"/>
      <c r="BA216" s="368"/>
      <c r="BB216" s="368"/>
      <c r="BC216" s="368"/>
      <c r="BD216" s="368"/>
      <c r="BE216" s="368"/>
      <c r="BF216" s="368"/>
      <c r="BG216" s="368"/>
    </row>
    <row r="217" spans="2:59" x14ac:dyDescent="0.25">
      <c r="B217" s="67" t="str">
        <f>IF(Capacity!B110="","",Capacity!B110)</f>
        <v/>
      </c>
      <c r="C217" s="221" t="str">
        <f>IF(B217="","",Capacity!E110)</f>
        <v/>
      </c>
      <c r="D217" s="312" t="str">
        <f>IF(B217="","",Capacity!F110)</f>
        <v/>
      </c>
      <c r="E217" s="221" t="str">
        <f>IF(B217="","",IF(COUNTBLANK(H217:BG217)=52,SUM('Capacity calculation (hide)'!H98:BG98),52-COUNTBLANK(H217:BG217)))</f>
        <v/>
      </c>
      <c r="F217" s="313" t="str">
        <f>'Capacity calculation (hide)'!BI98</f>
        <v/>
      </c>
      <c r="H217" s="368"/>
      <c r="I217" s="368"/>
      <c r="J217" s="368"/>
      <c r="K217" s="368"/>
      <c r="L217" s="368"/>
      <c r="M217" s="368"/>
      <c r="N217" s="368"/>
      <c r="O217" s="368"/>
      <c r="P217" s="368"/>
      <c r="Q217" s="368"/>
      <c r="R217" s="368"/>
      <c r="S217" s="368"/>
      <c r="T217" s="368"/>
      <c r="U217" s="368"/>
      <c r="V217" s="368"/>
      <c r="W217" s="368"/>
      <c r="X217" s="368"/>
      <c r="Y217" s="368"/>
      <c r="Z217" s="368"/>
      <c r="AA217" s="368"/>
      <c r="AB217" s="368"/>
      <c r="AC217" s="368"/>
      <c r="AD217" s="368"/>
      <c r="AE217" s="368"/>
      <c r="AF217" s="368"/>
      <c r="AG217" s="368"/>
      <c r="AH217" s="368"/>
      <c r="AI217" s="368"/>
      <c r="AJ217" s="368"/>
      <c r="AK217" s="368"/>
      <c r="AL217" s="368"/>
      <c r="AM217" s="368"/>
      <c r="AN217" s="368"/>
      <c r="AO217" s="368"/>
      <c r="AP217" s="368"/>
      <c r="AQ217" s="368"/>
      <c r="AR217" s="368"/>
      <c r="AS217" s="368"/>
      <c r="AT217" s="368"/>
      <c r="AU217" s="368"/>
      <c r="AV217" s="368"/>
      <c r="AW217" s="368"/>
      <c r="AX217" s="368"/>
      <c r="AY217" s="368"/>
      <c r="AZ217" s="368"/>
      <c r="BA217" s="368"/>
      <c r="BB217" s="368"/>
      <c r="BC217" s="368"/>
      <c r="BD217" s="368"/>
      <c r="BE217" s="368"/>
      <c r="BF217" s="368"/>
      <c r="BG217" s="368"/>
    </row>
    <row r="218" spans="2:59" x14ac:dyDescent="0.25">
      <c r="B218" s="67" t="str">
        <f>IF(Capacity!B111="","",Capacity!B111)</f>
        <v/>
      </c>
      <c r="C218" s="221" t="str">
        <f>IF(B218="","",Capacity!E111)</f>
        <v/>
      </c>
      <c r="D218" s="312" t="str">
        <f>IF(B218="","",Capacity!F111)</f>
        <v/>
      </c>
      <c r="E218" s="221" t="str">
        <f>IF(B218="","",IF(COUNTBLANK(H218:BG218)=52,SUM('Capacity calculation (hide)'!H99:BG99),52-COUNTBLANK(H218:BG218)))</f>
        <v/>
      </c>
      <c r="F218" s="313" t="str">
        <f>'Capacity calculation (hide)'!BI99</f>
        <v/>
      </c>
      <c r="H218" s="368"/>
      <c r="I218" s="368"/>
      <c r="J218" s="368"/>
      <c r="K218" s="368"/>
      <c r="L218" s="368"/>
      <c r="M218" s="368"/>
      <c r="N218" s="368"/>
      <c r="O218" s="368"/>
      <c r="P218" s="368"/>
      <c r="Q218" s="368"/>
      <c r="R218" s="368"/>
      <c r="S218" s="368"/>
      <c r="T218" s="368"/>
      <c r="U218" s="368"/>
      <c r="V218" s="368"/>
      <c r="W218" s="368"/>
      <c r="X218" s="368"/>
      <c r="Y218" s="368"/>
      <c r="Z218" s="368"/>
      <c r="AA218" s="368"/>
      <c r="AB218" s="368"/>
      <c r="AC218" s="368"/>
      <c r="AD218" s="368"/>
      <c r="AE218" s="368"/>
      <c r="AF218" s="368"/>
      <c r="AG218" s="368"/>
      <c r="AH218" s="368"/>
      <c r="AI218" s="368"/>
      <c r="AJ218" s="368"/>
      <c r="AK218" s="368"/>
      <c r="AL218" s="368"/>
      <c r="AM218" s="368"/>
      <c r="AN218" s="368"/>
      <c r="AO218" s="368"/>
      <c r="AP218" s="368"/>
      <c r="AQ218" s="368"/>
      <c r="AR218" s="368"/>
      <c r="AS218" s="368"/>
      <c r="AT218" s="368"/>
      <c r="AU218" s="368"/>
      <c r="AV218" s="368"/>
      <c r="AW218" s="368"/>
      <c r="AX218" s="368"/>
      <c r="AY218" s="368"/>
      <c r="AZ218" s="368"/>
      <c r="BA218" s="368"/>
      <c r="BB218" s="368"/>
      <c r="BC218" s="368"/>
      <c r="BD218" s="368"/>
      <c r="BE218" s="368"/>
      <c r="BF218" s="368"/>
      <c r="BG218" s="368"/>
    </row>
    <row r="219" spans="2:59" x14ac:dyDescent="0.25">
      <c r="B219" s="67" t="str">
        <f>IF(Capacity!B112="","",Capacity!B112)</f>
        <v/>
      </c>
      <c r="C219" s="221" t="str">
        <f>IF(B219="","",Capacity!E112)</f>
        <v/>
      </c>
      <c r="D219" s="312" t="str">
        <f>IF(B219="","",Capacity!F112)</f>
        <v/>
      </c>
      <c r="E219" s="221" t="str">
        <f>IF(B219="","",IF(COUNTBLANK(H219:BG219)=52,SUM('Capacity calculation (hide)'!H100:BG100),52-COUNTBLANK(H219:BG219)))</f>
        <v/>
      </c>
      <c r="F219" s="313" t="str">
        <f>'Capacity calculation (hide)'!BI100</f>
        <v/>
      </c>
      <c r="H219" s="368"/>
      <c r="I219" s="368"/>
      <c r="J219" s="368"/>
      <c r="K219" s="368"/>
      <c r="L219" s="368"/>
      <c r="M219" s="368"/>
      <c r="N219" s="368"/>
      <c r="O219" s="368"/>
      <c r="P219" s="368"/>
      <c r="Q219" s="368"/>
      <c r="R219" s="368"/>
      <c r="S219" s="368"/>
      <c r="T219" s="368"/>
      <c r="U219" s="368"/>
      <c r="V219" s="368"/>
      <c r="W219" s="368"/>
      <c r="X219" s="368"/>
      <c r="Y219" s="368"/>
      <c r="Z219" s="368"/>
      <c r="AA219" s="368"/>
      <c r="AB219" s="368"/>
      <c r="AC219" s="368"/>
      <c r="AD219" s="368"/>
      <c r="AE219" s="368"/>
      <c r="AF219" s="368"/>
      <c r="AG219" s="368"/>
      <c r="AH219" s="368"/>
      <c r="AI219" s="368"/>
      <c r="AJ219" s="368"/>
      <c r="AK219" s="368"/>
      <c r="AL219" s="368"/>
      <c r="AM219" s="368"/>
      <c r="AN219" s="368"/>
      <c r="AO219" s="368"/>
      <c r="AP219" s="368"/>
      <c r="AQ219" s="368"/>
      <c r="AR219" s="368"/>
      <c r="AS219" s="368"/>
      <c r="AT219" s="368"/>
      <c r="AU219" s="368"/>
      <c r="AV219" s="368"/>
      <c r="AW219" s="368"/>
      <c r="AX219" s="368"/>
      <c r="AY219" s="368"/>
      <c r="AZ219" s="368"/>
      <c r="BA219" s="368"/>
      <c r="BB219" s="368"/>
      <c r="BC219" s="368"/>
      <c r="BD219" s="368"/>
      <c r="BE219" s="368"/>
      <c r="BF219" s="368"/>
      <c r="BG219" s="368"/>
    </row>
    <row r="220" spans="2:59" x14ac:dyDescent="0.25">
      <c r="B220" s="67" t="str">
        <f>IF(Capacity!B113="","",Capacity!B113)</f>
        <v/>
      </c>
      <c r="C220" s="221" t="str">
        <f>IF(B220="","",Capacity!E113)</f>
        <v/>
      </c>
      <c r="D220" s="312" t="str">
        <f>IF(B220="","",Capacity!F113)</f>
        <v/>
      </c>
      <c r="E220" s="221" t="str">
        <f>IF(B220="","",IF(COUNTBLANK(H220:BG220)=52,SUM('Capacity calculation (hide)'!H101:BG101),52-COUNTBLANK(H220:BG220)))</f>
        <v/>
      </c>
      <c r="F220" s="313" t="str">
        <f>'Capacity calculation (hide)'!BI101</f>
        <v/>
      </c>
      <c r="H220" s="368"/>
      <c r="I220" s="368"/>
      <c r="J220" s="368"/>
      <c r="K220" s="368"/>
      <c r="L220" s="368"/>
      <c r="M220" s="368"/>
      <c r="N220" s="368"/>
      <c r="O220" s="368"/>
      <c r="P220" s="368"/>
      <c r="Q220" s="368"/>
      <c r="R220" s="368"/>
      <c r="S220" s="368"/>
      <c r="T220" s="368"/>
      <c r="U220" s="368"/>
      <c r="V220" s="368"/>
      <c r="W220" s="368"/>
      <c r="X220" s="368"/>
      <c r="Y220" s="368"/>
      <c r="Z220" s="368"/>
      <c r="AA220" s="368"/>
      <c r="AB220" s="368"/>
      <c r="AC220" s="368"/>
      <c r="AD220" s="368"/>
      <c r="AE220" s="368"/>
      <c r="AF220" s="368"/>
      <c r="AG220" s="368"/>
      <c r="AH220" s="368"/>
      <c r="AI220" s="368"/>
      <c r="AJ220" s="368"/>
      <c r="AK220" s="368"/>
      <c r="AL220" s="368"/>
      <c r="AM220" s="368"/>
      <c r="AN220" s="368"/>
      <c r="AO220" s="368"/>
      <c r="AP220" s="368"/>
      <c r="AQ220" s="368"/>
      <c r="AR220" s="368"/>
      <c r="AS220" s="368"/>
      <c r="AT220" s="368"/>
      <c r="AU220" s="368"/>
      <c r="AV220" s="368"/>
      <c r="AW220" s="368"/>
      <c r="AX220" s="368"/>
      <c r="AY220" s="368"/>
      <c r="AZ220" s="368"/>
      <c r="BA220" s="368"/>
      <c r="BB220" s="368"/>
      <c r="BC220" s="368"/>
      <c r="BD220" s="368"/>
      <c r="BE220" s="368"/>
      <c r="BF220" s="368"/>
      <c r="BG220" s="368"/>
    </row>
    <row r="221" spans="2:59" x14ac:dyDescent="0.25">
      <c r="B221" s="67" t="str">
        <f>IF(Capacity!B114="","",Capacity!B114)</f>
        <v/>
      </c>
      <c r="C221" s="221" t="str">
        <f>IF(B221="","",Capacity!E114)</f>
        <v/>
      </c>
      <c r="D221" s="312" t="str">
        <f>IF(B221="","",Capacity!F114)</f>
        <v/>
      </c>
      <c r="E221" s="221" t="str">
        <f>IF(B221="","",IF(COUNTBLANK(H221:BG221)=52,SUM('Capacity calculation (hide)'!H102:BG102),52-COUNTBLANK(H221:BG221)))</f>
        <v/>
      </c>
      <c r="F221" s="313" t="str">
        <f>'Capacity calculation (hide)'!BI102</f>
        <v/>
      </c>
      <c r="H221" s="368"/>
      <c r="I221" s="368"/>
      <c r="J221" s="368"/>
      <c r="K221" s="368"/>
      <c r="L221" s="368"/>
      <c r="M221" s="368"/>
      <c r="N221" s="368"/>
      <c r="O221" s="368"/>
      <c r="P221" s="368"/>
      <c r="Q221" s="368"/>
      <c r="R221" s="368"/>
      <c r="S221" s="368"/>
      <c r="T221" s="368"/>
      <c r="U221" s="368"/>
      <c r="V221" s="368"/>
      <c r="W221" s="368"/>
      <c r="X221" s="368"/>
      <c r="Y221" s="368"/>
      <c r="Z221" s="368"/>
      <c r="AA221" s="368"/>
      <c r="AB221" s="368"/>
      <c r="AC221" s="368"/>
      <c r="AD221" s="368"/>
      <c r="AE221" s="368"/>
      <c r="AF221" s="368"/>
      <c r="AG221" s="368"/>
      <c r="AH221" s="368"/>
      <c r="AI221" s="368"/>
      <c r="AJ221" s="368"/>
      <c r="AK221" s="368"/>
      <c r="AL221" s="368"/>
      <c r="AM221" s="368"/>
      <c r="AN221" s="368"/>
      <c r="AO221" s="368"/>
      <c r="AP221" s="368"/>
      <c r="AQ221" s="368"/>
      <c r="AR221" s="368"/>
      <c r="AS221" s="368"/>
      <c r="AT221" s="368"/>
      <c r="AU221" s="368"/>
      <c r="AV221" s="368"/>
      <c r="AW221" s="368"/>
      <c r="AX221" s="368"/>
      <c r="AY221" s="368"/>
      <c r="AZ221" s="368"/>
      <c r="BA221" s="368"/>
      <c r="BB221" s="368"/>
      <c r="BC221" s="368"/>
      <c r="BD221" s="368"/>
      <c r="BE221" s="368"/>
      <c r="BF221" s="368"/>
      <c r="BG221" s="368"/>
    </row>
    <row r="222" spans="2:59" x14ac:dyDescent="0.25">
      <c r="B222" s="67" t="str">
        <f>IF(Capacity!B115="","",Capacity!B115)</f>
        <v/>
      </c>
      <c r="C222" s="221" t="str">
        <f>IF(B222="","",Capacity!E115)</f>
        <v/>
      </c>
      <c r="D222" s="312" t="str">
        <f>IF(B222="","",Capacity!F115)</f>
        <v/>
      </c>
      <c r="E222" s="221" t="str">
        <f>IF(B222="","",IF(COUNTBLANK(H222:BG222)=52,SUM('Capacity calculation (hide)'!H103:BG103),52-COUNTBLANK(H222:BG222)))</f>
        <v/>
      </c>
      <c r="F222" s="313" t="str">
        <f>'Capacity calculation (hide)'!BI103</f>
        <v/>
      </c>
      <c r="H222" s="368"/>
      <c r="I222" s="368"/>
      <c r="J222" s="368"/>
      <c r="K222" s="368"/>
      <c r="L222" s="368"/>
      <c r="M222" s="368"/>
      <c r="N222" s="368"/>
      <c r="O222" s="368"/>
      <c r="P222" s="368"/>
      <c r="Q222" s="368"/>
      <c r="R222" s="368"/>
      <c r="S222" s="368"/>
      <c r="T222" s="368"/>
      <c r="U222" s="368"/>
      <c r="V222" s="368"/>
      <c r="W222" s="368"/>
      <c r="X222" s="368"/>
      <c r="Y222" s="368"/>
      <c r="Z222" s="368"/>
      <c r="AA222" s="368"/>
      <c r="AB222" s="368"/>
      <c r="AC222" s="368"/>
      <c r="AD222" s="368"/>
      <c r="AE222" s="368"/>
      <c r="AF222" s="368"/>
      <c r="AG222" s="368"/>
      <c r="AH222" s="368"/>
      <c r="AI222" s="368"/>
      <c r="AJ222" s="368"/>
      <c r="AK222" s="368"/>
      <c r="AL222" s="368"/>
      <c r="AM222" s="368"/>
      <c r="AN222" s="368"/>
      <c r="AO222" s="368"/>
      <c r="AP222" s="368"/>
      <c r="AQ222" s="368"/>
      <c r="AR222" s="368"/>
      <c r="AS222" s="368"/>
      <c r="AT222" s="368"/>
      <c r="AU222" s="368"/>
      <c r="AV222" s="368"/>
      <c r="AW222" s="368"/>
      <c r="AX222" s="368"/>
      <c r="AY222" s="368"/>
      <c r="AZ222" s="368"/>
      <c r="BA222" s="368"/>
      <c r="BB222" s="368"/>
      <c r="BC222" s="368"/>
      <c r="BD222" s="368"/>
      <c r="BE222" s="368"/>
      <c r="BF222" s="368"/>
      <c r="BG222" s="368"/>
    </row>
    <row r="223" spans="2:59" x14ac:dyDescent="0.25">
      <c r="B223" s="67" t="str">
        <f>IF(Capacity!B116="","",Capacity!B116)</f>
        <v/>
      </c>
      <c r="C223" s="221" t="str">
        <f>IF(B223="","",Capacity!E116)</f>
        <v/>
      </c>
      <c r="D223" s="312" t="str">
        <f>IF(B223="","",Capacity!F116)</f>
        <v/>
      </c>
      <c r="E223" s="221" t="str">
        <f>IF(B223="","",IF(COUNTBLANK(H223:BG223)=52,SUM('Capacity calculation (hide)'!H104:BG104),52-COUNTBLANK(H223:BG223)))</f>
        <v/>
      </c>
      <c r="F223" s="313" t="str">
        <f>'Capacity calculation (hide)'!BI104</f>
        <v/>
      </c>
      <c r="H223" s="368"/>
      <c r="I223" s="368"/>
      <c r="J223" s="368"/>
      <c r="K223" s="368"/>
      <c r="L223" s="368"/>
      <c r="M223" s="368"/>
      <c r="N223" s="368"/>
      <c r="O223" s="368"/>
      <c r="P223" s="368"/>
      <c r="Q223" s="368"/>
      <c r="R223" s="368"/>
      <c r="S223" s="368"/>
      <c r="T223" s="368"/>
      <c r="U223" s="368"/>
      <c r="V223" s="368"/>
      <c r="W223" s="368"/>
      <c r="X223" s="368"/>
      <c r="Y223" s="368"/>
      <c r="Z223" s="368"/>
      <c r="AA223" s="368"/>
      <c r="AB223" s="368"/>
      <c r="AC223" s="368"/>
      <c r="AD223" s="368"/>
      <c r="AE223" s="368"/>
      <c r="AF223" s="368"/>
      <c r="AG223" s="368"/>
      <c r="AH223" s="368"/>
      <c r="AI223" s="368"/>
      <c r="AJ223" s="368"/>
      <c r="AK223" s="368"/>
      <c r="AL223" s="368"/>
      <c r="AM223" s="368"/>
      <c r="AN223" s="368"/>
      <c r="AO223" s="368"/>
      <c r="AP223" s="368"/>
      <c r="AQ223" s="368"/>
      <c r="AR223" s="368"/>
      <c r="AS223" s="368"/>
      <c r="AT223" s="368"/>
      <c r="AU223" s="368"/>
      <c r="AV223" s="368"/>
      <c r="AW223" s="368"/>
      <c r="AX223" s="368"/>
      <c r="AY223" s="368"/>
      <c r="AZ223" s="368"/>
      <c r="BA223" s="368"/>
      <c r="BB223" s="368"/>
      <c r="BC223" s="368"/>
      <c r="BD223" s="368"/>
      <c r="BE223" s="368"/>
      <c r="BF223" s="368"/>
      <c r="BG223" s="368"/>
    </row>
    <row r="224" spans="2:59" x14ac:dyDescent="0.25">
      <c r="H224" s="374"/>
      <c r="I224" s="374"/>
      <c r="J224" s="374"/>
      <c r="K224" s="374"/>
      <c r="L224" s="374"/>
      <c r="M224" s="374"/>
      <c r="N224" s="374"/>
      <c r="O224" s="374"/>
      <c r="P224" s="374"/>
      <c r="Q224" s="374"/>
      <c r="R224" s="374"/>
      <c r="S224" s="374"/>
      <c r="T224" s="374"/>
      <c r="U224" s="374"/>
      <c r="V224" s="374"/>
      <c r="W224" s="374"/>
      <c r="X224" s="374"/>
      <c r="Y224" s="374"/>
      <c r="Z224" s="374"/>
      <c r="AA224" s="374"/>
      <c r="AB224" s="374"/>
      <c r="AC224" s="374"/>
      <c r="AD224" s="374"/>
      <c r="AE224" s="374"/>
      <c r="AF224" s="374"/>
      <c r="AG224" s="374"/>
      <c r="AH224" s="374"/>
      <c r="AI224" s="374"/>
      <c r="AJ224" s="374"/>
      <c r="AK224" s="374"/>
      <c r="AL224" s="374"/>
      <c r="AM224" s="374"/>
      <c r="AN224" s="374"/>
      <c r="AO224" s="374"/>
      <c r="AP224" s="374"/>
      <c r="AQ224" s="374"/>
      <c r="AR224" s="374"/>
      <c r="AS224" s="374"/>
      <c r="AT224" s="374"/>
      <c r="AU224" s="374"/>
      <c r="AV224" s="374"/>
      <c r="AW224" s="374"/>
      <c r="AX224" s="374"/>
      <c r="AY224" s="374"/>
      <c r="AZ224" s="374"/>
      <c r="BA224" s="374"/>
      <c r="BB224" s="374"/>
      <c r="BC224" s="374"/>
      <c r="BD224" s="374"/>
      <c r="BE224" s="374"/>
      <c r="BF224" s="374"/>
      <c r="BG224" s="374"/>
    </row>
    <row r="225" spans="8:59" x14ac:dyDescent="0.25">
      <c r="H225" s="374"/>
      <c r="I225" s="374"/>
      <c r="J225" s="374"/>
      <c r="K225" s="374"/>
      <c r="L225" s="374"/>
      <c r="M225" s="374"/>
      <c r="N225" s="374"/>
      <c r="O225" s="374"/>
      <c r="P225" s="374"/>
      <c r="Q225" s="374"/>
      <c r="R225" s="374"/>
      <c r="S225" s="374"/>
      <c r="T225" s="374"/>
      <c r="U225" s="374"/>
      <c r="V225" s="374"/>
      <c r="W225" s="374"/>
      <c r="X225" s="374"/>
      <c r="Y225" s="374"/>
      <c r="Z225" s="374"/>
      <c r="AA225" s="374"/>
      <c r="AB225" s="374"/>
      <c r="AC225" s="374"/>
      <c r="AD225" s="374"/>
      <c r="AE225" s="374"/>
      <c r="AF225" s="374"/>
      <c r="AG225" s="374"/>
      <c r="AH225" s="374"/>
      <c r="AI225" s="374"/>
      <c r="AJ225" s="374"/>
      <c r="AK225" s="374"/>
      <c r="AL225" s="374"/>
      <c r="AM225" s="374"/>
      <c r="AN225" s="374"/>
      <c r="AO225" s="374"/>
      <c r="AP225" s="374"/>
      <c r="AQ225" s="374"/>
      <c r="AR225" s="374"/>
      <c r="AS225" s="374"/>
      <c r="AT225" s="374"/>
      <c r="AU225" s="374"/>
      <c r="AV225" s="374"/>
      <c r="AW225" s="374"/>
      <c r="AX225" s="374"/>
      <c r="AY225" s="374"/>
      <c r="AZ225" s="374"/>
      <c r="BA225" s="374"/>
      <c r="BB225" s="374"/>
      <c r="BC225" s="374"/>
      <c r="BD225" s="374"/>
      <c r="BE225" s="374"/>
      <c r="BF225" s="374"/>
      <c r="BG225" s="374"/>
    </row>
    <row r="226" spans="8:59" x14ac:dyDescent="0.25">
      <c r="H226" s="374"/>
      <c r="I226" s="374"/>
      <c r="J226" s="374"/>
      <c r="K226" s="374"/>
      <c r="L226" s="374"/>
      <c r="M226" s="374"/>
      <c r="N226" s="374"/>
      <c r="O226" s="374"/>
      <c r="P226" s="374"/>
      <c r="Q226" s="374"/>
      <c r="R226" s="374"/>
      <c r="S226" s="374"/>
      <c r="T226" s="374"/>
      <c r="U226" s="374"/>
      <c r="V226" s="374"/>
      <c r="W226" s="374"/>
      <c r="X226" s="374"/>
      <c r="Y226" s="374"/>
      <c r="Z226" s="374"/>
      <c r="AA226" s="374"/>
      <c r="AB226" s="374"/>
      <c r="AC226" s="374"/>
      <c r="AD226" s="374"/>
      <c r="AE226" s="374"/>
      <c r="AF226" s="374"/>
      <c r="AG226" s="374"/>
      <c r="AH226" s="374"/>
      <c r="AI226" s="374"/>
      <c r="AJ226" s="374"/>
      <c r="AK226" s="374"/>
      <c r="AL226" s="374"/>
      <c r="AM226" s="374"/>
      <c r="AN226" s="374"/>
      <c r="AO226" s="374"/>
      <c r="AP226" s="374"/>
      <c r="AQ226" s="374"/>
      <c r="AR226" s="374"/>
      <c r="AS226" s="374"/>
      <c r="AT226" s="374"/>
      <c r="AU226" s="374"/>
      <c r="AV226" s="374"/>
      <c r="AW226" s="374"/>
      <c r="AX226" s="374"/>
      <c r="AY226" s="374"/>
      <c r="AZ226" s="374"/>
      <c r="BA226" s="374"/>
      <c r="BB226" s="374"/>
      <c r="BC226" s="374"/>
      <c r="BD226" s="374"/>
      <c r="BE226" s="374"/>
      <c r="BF226" s="374"/>
      <c r="BG226" s="374"/>
    </row>
    <row r="227" spans="8:59" x14ac:dyDescent="0.25">
      <c r="H227" s="374"/>
      <c r="I227" s="374"/>
      <c r="J227" s="374"/>
      <c r="K227" s="374"/>
      <c r="L227" s="374"/>
      <c r="M227" s="374"/>
      <c r="N227" s="374"/>
      <c r="O227" s="374"/>
      <c r="P227" s="374"/>
      <c r="Q227" s="374"/>
      <c r="R227" s="374"/>
      <c r="S227" s="374"/>
      <c r="T227" s="374"/>
      <c r="U227" s="374"/>
      <c r="V227" s="374"/>
      <c r="W227" s="374"/>
      <c r="X227" s="374"/>
      <c r="Y227" s="374"/>
      <c r="Z227" s="374"/>
      <c r="AA227" s="374"/>
      <c r="AB227" s="374"/>
      <c r="AC227" s="374"/>
      <c r="AD227" s="374"/>
      <c r="AE227" s="374"/>
      <c r="AF227" s="374"/>
      <c r="AG227" s="374"/>
      <c r="AH227" s="374"/>
      <c r="AI227" s="374"/>
      <c r="AJ227" s="374"/>
      <c r="AK227" s="374"/>
      <c r="AL227" s="374"/>
      <c r="AM227" s="374"/>
      <c r="AN227" s="374"/>
      <c r="AO227" s="374"/>
      <c r="AP227" s="374"/>
      <c r="AQ227" s="374"/>
      <c r="AR227" s="374"/>
      <c r="AS227" s="374"/>
      <c r="AT227" s="374"/>
      <c r="AU227" s="374"/>
      <c r="AV227" s="374"/>
      <c r="AW227" s="374"/>
      <c r="AX227" s="374"/>
      <c r="AY227" s="374"/>
      <c r="AZ227" s="374"/>
      <c r="BA227" s="374"/>
      <c r="BB227" s="374"/>
      <c r="BC227" s="374"/>
      <c r="BD227" s="374"/>
      <c r="BE227" s="374"/>
      <c r="BF227" s="374"/>
      <c r="BG227" s="374"/>
    </row>
    <row r="228" spans="8:59" x14ac:dyDescent="0.25">
      <c r="H228" s="374"/>
      <c r="I228" s="374"/>
      <c r="J228" s="374"/>
      <c r="K228" s="374"/>
      <c r="L228" s="374"/>
      <c r="M228" s="374"/>
      <c r="N228" s="374"/>
      <c r="O228" s="374"/>
      <c r="P228" s="374"/>
      <c r="Q228" s="374"/>
      <c r="R228" s="374"/>
      <c r="S228" s="374"/>
      <c r="T228" s="374"/>
      <c r="U228" s="374"/>
      <c r="V228" s="374"/>
      <c r="W228" s="374"/>
      <c r="X228" s="374"/>
      <c r="Y228" s="374"/>
      <c r="Z228" s="374"/>
      <c r="AA228" s="374"/>
      <c r="AB228" s="374"/>
      <c r="AC228" s="374"/>
      <c r="AD228" s="374"/>
      <c r="AE228" s="374"/>
      <c r="AF228" s="374"/>
      <c r="AG228" s="374"/>
      <c r="AH228" s="374"/>
      <c r="AI228" s="374"/>
      <c r="AJ228" s="374"/>
      <c r="AK228" s="374"/>
      <c r="AL228" s="374"/>
      <c r="AM228" s="374"/>
      <c r="AN228" s="374"/>
      <c r="AO228" s="374"/>
      <c r="AP228" s="374"/>
      <c r="AQ228" s="374"/>
      <c r="AR228" s="374"/>
      <c r="AS228" s="374"/>
      <c r="AT228" s="374"/>
      <c r="AU228" s="374"/>
      <c r="AV228" s="374"/>
      <c r="AW228" s="374"/>
      <c r="AX228" s="374"/>
      <c r="AY228" s="374"/>
      <c r="AZ228" s="374"/>
      <c r="BA228" s="374"/>
      <c r="BB228" s="374"/>
      <c r="BC228" s="374"/>
      <c r="BD228" s="374"/>
      <c r="BE228" s="374"/>
      <c r="BF228" s="374"/>
      <c r="BG228" s="374"/>
    </row>
    <row r="229" spans="8:59" x14ac:dyDescent="0.25">
      <c r="H229" s="374"/>
      <c r="I229" s="374"/>
      <c r="J229" s="374"/>
      <c r="K229" s="374"/>
      <c r="L229" s="374"/>
      <c r="M229" s="374"/>
      <c r="N229" s="374"/>
      <c r="O229" s="374"/>
      <c r="P229" s="374"/>
      <c r="Q229" s="374"/>
      <c r="R229" s="374"/>
      <c r="S229" s="374"/>
      <c r="T229" s="374"/>
      <c r="U229" s="374"/>
      <c r="V229" s="374"/>
      <c r="W229" s="374"/>
      <c r="X229" s="374"/>
      <c r="Y229" s="374"/>
      <c r="Z229" s="374"/>
      <c r="AA229" s="374"/>
      <c r="AB229" s="374"/>
      <c r="AC229" s="374"/>
      <c r="AD229" s="374"/>
      <c r="AE229" s="374"/>
      <c r="AF229" s="374"/>
      <c r="AG229" s="374"/>
      <c r="AH229" s="374"/>
      <c r="AI229" s="374"/>
      <c r="AJ229" s="374"/>
      <c r="AK229" s="374"/>
      <c r="AL229" s="374"/>
      <c r="AM229" s="374"/>
      <c r="AN229" s="374"/>
      <c r="AO229" s="374"/>
      <c r="AP229" s="374"/>
      <c r="AQ229" s="374"/>
      <c r="AR229" s="374"/>
      <c r="AS229" s="374"/>
      <c r="AT229" s="374"/>
      <c r="AU229" s="374"/>
      <c r="AV229" s="374"/>
      <c r="AW229" s="374"/>
      <c r="AX229" s="374"/>
      <c r="AY229" s="374"/>
      <c r="AZ229" s="374"/>
      <c r="BA229" s="374"/>
      <c r="BB229" s="374"/>
      <c r="BC229" s="374"/>
      <c r="BD229" s="374"/>
      <c r="BE229" s="374"/>
      <c r="BF229" s="374"/>
      <c r="BG229" s="374"/>
    </row>
    <row r="230" spans="8:59" x14ac:dyDescent="0.25">
      <c r="H230" s="374"/>
      <c r="I230" s="374"/>
      <c r="J230" s="374"/>
      <c r="K230" s="374"/>
      <c r="L230" s="374"/>
      <c r="M230" s="374"/>
      <c r="N230" s="374"/>
      <c r="O230" s="374"/>
      <c r="P230" s="374"/>
      <c r="Q230" s="374"/>
      <c r="R230" s="374"/>
      <c r="S230" s="374"/>
      <c r="T230" s="374"/>
      <c r="U230" s="374"/>
      <c r="V230" s="374"/>
      <c r="W230" s="374"/>
      <c r="X230" s="374"/>
      <c r="Y230" s="374"/>
      <c r="Z230" s="374"/>
      <c r="AA230" s="374"/>
      <c r="AB230" s="374"/>
      <c r="AC230" s="374"/>
      <c r="AD230" s="374"/>
      <c r="AE230" s="374"/>
      <c r="AF230" s="374"/>
      <c r="AG230" s="374"/>
      <c r="AH230" s="374"/>
      <c r="AI230" s="374"/>
      <c r="AJ230" s="374"/>
      <c r="AK230" s="374"/>
      <c r="AL230" s="374"/>
      <c r="AM230" s="374"/>
      <c r="AN230" s="374"/>
      <c r="AO230" s="374"/>
      <c r="AP230" s="374"/>
      <c r="AQ230" s="374"/>
      <c r="AR230" s="374"/>
      <c r="AS230" s="374"/>
      <c r="AT230" s="374"/>
      <c r="AU230" s="374"/>
      <c r="AV230" s="374"/>
      <c r="AW230" s="374"/>
      <c r="AX230" s="374"/>
      <c r="AY230" s="374"/>
      <c r="AZ230" s="374"/>
      <c r="BA230" s="374"/>
      <c r="BB230" s="374"/>
      <c r="BC230" s="374"/>
      <c r="BD230" s="374"/>
      <c r="BE230" s="374"/>
      <c r="BF230" s="374"/>
      <c r="BG230" s="374"/>
    </row>
    <row r="231" spans="8:59" x14ac:dyDescent="0.25">
      <c r="H231" s="374"/>
      <c r="I231" s="374"/>
      <c r="J231" s="374"/>
      <c r="K231" s="374"/>
      <c r="L231" s="374"/>
      <c r="M231" s="374"/>
      <c r="N231" s="374"/>
      <c r="O231" s="374"/>
      <c r="P231" s="374"/>
      <c r="Q231" s="374"/>
      <c r="R231" s="374"/>
      <c r="S231" s="374"/>
      <c r="T231" s="374"/>
      <c r="U231" s="374"/>
      <c r="V231" s="374"/>
      <c r="W231" s="374"/>
      <c r="X231" s="374"/>
      <c r="Y231" s="374"/>
      <c r="Z231" s="374"/>
      <c r="AA231" s="374"/>
      <c r="AB231" s="374"/>
      <c r="AC231" s="374"/>
      <c r="AD231" s="374"/>
      <c r="AE231" s="374"/>
      <c r="AF231" s="374"/>
      <c r="AG231" s="374"/>
      <c r="AH231" s="374"/>
      <c r="AI231" s="374"/>
      <c r="AJ231" s="374"/>
      <c r="AK231" s="374"/>
      <c r="AL231" s="374"/>
      <c r="AM231" s="374"/>
      <c r="AN231" s="374"/>
      <c r="AO231" s="374"/>
      <c r="AP231" s="374"/>
      <c r="AQ231" s="374"/>
      <c r="AR231" s="374"/>
      <c r="AS231" s="374"/>
      <c r="AT231" s="374"/>
      <c r="AU231" s="374"/>
      <c r="AV231" s="374"/>
      <c r="AW231" s="374"/>
      <c r="AX231" s="374"/>
      <c r="AY231" s="374"/>
      <c r="AZ231" s="374"/>
      <c r="BA231" s="374"/>
      <c r="BB231" s="374"/>
      <c r="BC231" s="374"/>
      <c r="BD231" s="374"/>
      <c r="BE231" s="374"/>
      <c r="BF231" s="374"/>
      <c r="BG231" s="374"/>
    </row>
    <row r="232" spans="8:59" x14ac:dyDescent="0.25">
      <c r="H232" s="374"/>
      <c r="I232" s="374"/>
      <c r="J232" s="374"/>
      <c r="K232" s="374"/>
      <c r="L232" s="374"/>
      <c r="M232" s="374"/>
      <c r="N232" s="374"/>
      <c r="O232" s="374"/>
      <c r="P232" s="374"/>
      <c r="Q232" s="374"/>
      <c r="R232" s="374"/>
      <c r="S232" s="374"/>
      <c r="T232" s="374"/>
      <c r="U232" s="374"/>
      <c r="V232" s="374"/>
      <c r="W232" s="374"/>
      <c r="X232" s="374"/>
      <c r="Y232" s="374"/>
      <c r="Z232" s="374"/>
      <c r="AA232" s="374"/>
      <c r="AB232" s="374"/>
      <c r="AC232" s="374"/>
      <c r="AD232" s="374"/>
      <c r="AE232" s="374"/>
      <c r="AF232" s="374"/>
      <c r="AG232" s="374"/>
      <c r="AH232" s="374"/>
      <c r="AI232" s="374"/>
      <c r="AJ232" s="374"/>
      <c r="AK232" s="374"/>
      <c r="AL232" s="374"/>
      <c r="AM232" s="374"/>
      <c r="AN232" s="374"/>
      <c r="AO232" s="374"/>
      <c r="AP232" s="374"/>
      <c r="AQ232" s="374"/>
      <c r="AR232" s="374"/>
      <c r="AS232" s="374"/>
      <c r="AT232" s="374"/>
      <c r="AU232" s="374"/>
      <c r="AV232" s="374"/>
      <c r="AW232" s="374"/>
      <c r="AX232" s="374"/>
      <c r="AY232" s="374"/>
      <c r="AZ232" s="374"/>
      <c r="BA232" s="374"/>
      <c r="BB232" s="374"/>
      <c r="BC232" s="374"/>
      <c r="BD232" s="374"/>
      <c r="BE232" s="374"/>
      <c r="BF232" s="374"/>
      <c r="BG232" s="374"/>
    </row>
    <row r="233" spans="8:59" x14ac:dyDescent="0.25">
      <c r="H233" s="374"/>
      <c r="I233" s="374"/>
      <c r="J233" s="374"/>
      <c r="K233" s="374"/>
      <c r="L233" s="374"/>
      <c r="M233" s="374"/>
      <c r="N233" s="374"/>
      <c r="O233" s="374"/>
      <c r="P233" s="374"/>
      <c r="Q233" s="374"/>
      <c r="R233" s="374"/>
      <c r="S233" s="374"/>
      <c r="T233" s="374"/>
      <c r="U233" s="374"/>
      <c r="V233" s="374"/>
      <c r="W233" s="374"/>
      <c r="X233" s="374"/>
      <c r="Y233" s="374"/>
      <c r="Z233" s="374"/>
      <c r="AA233" s="374"/>
      <c r="AB233" s="374"/>
      <c r="AC233" s="374"/>
      <c r="AD233" s="374"/>
      <c r="AE233" s="374"/>
      <c r="AF233" s="374"/>
      <c r="AG233" s="374"/>
      <c r="AH233" s="374"/>
      <c r="AI233" s="374"/>
      <c r="AJ233" s="374"/>
      <c r="AK233" s="374"/>
      <c r="AL233" s="374"/>
      <c r="AM233" s="374"/>
      <c r="AN233" s="374"/>
      <c r="AO233" s="374"/>
      <c r="AP233" s="374"/>
      <c r="AQ233" s="374"/>
      <c r="AR233" s="374"/>
      <c r="AS233" s="374"/>
      <c r="AT233" s="374"/>
      <c r="AU233" s="374"/>
      <c r="AV233" s="374"/>
      <c r="AW233" s="374"/>
      <c r="AX233" s="374"/>
      <c r="AY233" s="374"/>
      <c r="AZ233" s="374"/>
      <c r="BA233" s="374"/>
      <c r="BB233" s="374"/>
      <c r="BC233" s="374"/>
      <c r="BD233" s="374"/>
      <c r="BE233" s="374"/>
      <c r="BF233" s="374"/>
      <c r="BG233" s="374"/>
    </row>
    <row r="234" spans="8:59" x14ac:dyDescent="0.25">
      <c r="H234" s="374"/>
      <c r="I234" s="374"/>
      <c r="J234" s="374"/>
      <c r="K234" s="374"/>
      <c r="L234" s="374"/>
      <c r="M234" s="374"/>
      <c r="N234" s="374"/>
      <c r="O234" s="374"/>
      <c r="P234" s="374"/>
      <c r="Q234" s="374"/>
      <c r="R234" s="374"/>
      <c r="S234" s="374"/>
      <c r="T234" s="374"/>
      <c r="U234" s="374"/>
      <c r="V234" s="374"/>
      <c r="W234" s="374"/>
      <c r="X234" s="374"/>
      <c r="Y234" s="374"/>
      <c r="Z234" s="374"/>
      <c r="AA234" s="374"/>
      <c r="AB234" s="374"/>
      <c r="AC234" s="374"/>
      <c r="AD234" s="374"/>
      <c r="AE234" s="374"/>
      <c r="AF234" s="374"/>
      <c r="AG234" s="374"/>
      <c r="AH234" s="374"/>
      <c r="AI234" s="374"/>
      <c r="AJ234" s="374"/>
      <c r="AK234" s="374"/>
      <c r="AL234" s="374"/>
      <c r="AM234" s="374"/>
      <c r="AN234" s="374"/>
      <c r="AO234" s="374"/>
      <c r="AP234" s="374"/>
      <c r="AQ234" s="374"/>
      <c r="AR234" s="374"/>
      <c r="AS234" s="374"/>
      <c r="AT234" s="374"/>
      <c r="AU234" s="374"/>
      <c r="AV234" s="374"/>
      <c r="AW234" s="374"/>
      <c r="AX234" s="374"/>
      <c r="AY234" s="374"/>
      <c r="AZ234" s="374"/>
      <c r="BA234" s="374"/>
      <c r="BB234" s="374"/>
      <c r="BC234" s="374"/>
      <c r="BD234" s="374"/>
      <c r="BE234" s="374"/>
      <c r="BF234" s="374"/>
      <c r="BG234" s="374"/>
    </row>
    <row r="235" spans="8:59" x14ac:dyDescent="0.25">
      <c r="H235" s="374"/>
      <c r="I235" s="374"/>
      <c r="J235" s="374"/>
      <c r="K235" s="374"/>
      <c r="L235" s="374"/>
      <c r="M235" s="374"/>
      <c r="N235" s="374"/>
      <c r="O235" s="374"/>
      <c r="P235" s="374"/>
      <c r="Q235" s="374"/>
      <c r="R235" s="374"/>
      <c r="S235" s="374"/>
      <c r="T235" s="374"/>
      <c r="U235" s="374"/>
      <c r="V235" s="374"/>
      <c r="W235" s="374"/>
      <c r="X235" s="374"/>
      <c r="Y235" s="374"/>
      <c r="Z235" s="374"/>
      <c r="AA235" s="374"/>
      <c r="AB235" s="374"/>
      <c r="AC235" s="374"/>
      <c r="AD235" s="374"/>
      <c r="AE235" s="374"/>
      <c r="AF235" s="374"/>
      <c r="AG235" s="374"/>
      <c r="AH235" s="374"/>
      <c r="AI235" s="374"/>
      <c r="AJ235" s="374"/>
      <c r="AK235" s="374"/>
      <c r="AL235" s="374"/>
      <c r="AM235" s="374"/>
      <c r="AN235" s="374"/>
      <c r="AO235" s="374"/>
      <c r="AP235" s="374"/>
      <c r="AQ235" s="374"/>
      <c r="AR235" s="374"/>
      <c r="AS235" s="374"/>
      <c r="AT235" s="374"/>
      <c r="AU235" s="374"/>
      <c r="AV235" s="374"/>
      <c r="AW235" s="374"/>
      <c r="AX235" s="374"/>
      <c r="AY235" s="374"/>
      <c r="AZ235" s="374"/>
      <c r="BA235" s="374"/>
      <c r="BB235" s="374"/>
      <c r="BC235" s="374"/>
      <c r="BD235" s="374"/>
      <c r="BE235" s="374"/>
      <c r="BF235" s="374"/>
      <c r="BG235" s="374"/>
    </row>
    <row r="236" spans="8:59" x14ac:dyDescent="0.25">
      <c r="H236" s="374"/>
      <c r="I236" s="374"/>
      <c r="J236" s="374"/>
      <c r="K236" s="374"/>
      <c r="L236" s="374"/>
      <c r="M236" s="374"/>
      <c r="N236" s="374"/>
      <c r="O236" s="374"/>
      <c r="P236" s="374"/>
      <c r="Q236" s="374"/>
      <c r="R236" s="374"/>
      <c r="S236" s="374"/>
      <c r="T236" s="374"/>
      <c r="U236" s="374"/>
      <c r="V236" s="374"/>
      <c r="W236" s="374"/>
      <c r="X236" s="374"/>
      <c r="Y236" s="374"/>
      <c r="Z236" s="374"/>
      <c r="AA236" s="374"/>
      <c r="AB236" s="374"/>
      <c r="AC236" s="374"/>
      <c r="AD236" s="374"/>
      <c r="AE236" s="374"/>
      <c r="AF236" s="374"/>
      <c r="AG236" s="374"/>
      <c r="AH236" s="374"/>
      <c r="AI236" s="374"/>
      <c r="AJ236" s="374"/>
      <c r="AK236" s="374"/>
      <c r="AL236" s="374"/>
      <c r="AM236" s="374"/>
      <c r="AN236" s="374"/>
      <c r="AO236" s="374"/>
      <c r="AP236" s="374"/>
      <c r="AQ236" s="374"/>
      <c r="AR236" s="374"/>
      <c r="AS236" s="374"/>
      <c r="AT236" s="374"/>
      <c r="AU236" s="374"/>
      <c r="AV236" s="374"/>
      <c r="AW236" s="374"/>
      <c r="AX236" s="374"/>
      <c r="AY236" s="374"/>
      <c r="AZ236" s="374"/>
      <c r="BA236" s="374"/>
      <c r="BB236" s="374"/>
      <c r="BC236" s="374"/>
      <c r="BD236" s="374"/>
      <c r="BE236" s="374"/>
      <c r="BF236" s="374"/>
      <c r="BG236" s="374"/>
    </row>
    <row r="237" spans="8:59" x14ac:dyDescent="0.25">
      <c r="H237" s="374"/>
      <c r="I237" s="374"/>
      <c r="J237" s="374"/>
      <c r="K237" s="374"/>
      <c r="L237" s="374"/>
      <c r="M237" s="374"/>
      <c r="N237" s="374"/>
      <c r="O237" s="374"/>
      <c r="P237" s="374"/>
      <c r="Q237" s="374"/>
      <c r="R237" s="374"/>
      <c r="S237" s="374"/>
      <c r="T237" s="374"/>
      <c r="U237" s="374"/>
      <c r="V237" s="374"/>
      <c r="W237" s="374"/>
      <c r="X237" s="374"/>
      <c r="Y237" s="374"/>
      <c r="Z237" s="374"/>
      <c r="AA237" s="374"/>
      <c r="AB237" s="374"/>
      <c r="AC237" s="374"/>
      <c r="AD237" s="374"/>
      <c r="AE237" s="374"/>
      <c r="AF237" s="374"/>
      <c r="AG237" s="374"/>
      <c r="AH237" s="374"/>
      <c r="AI237" s="374"/>
      <c r="AJ237" s="374"/>
      <c r="AK237" s="374"/>
      <c r="AL237" s="374"/>
      <c r="AM237" s="374"/>
      <c r="AN237" s="374"/>
      <c r="AO237" s="374"/>
      <c r="AP237" s="374"/>
      <c r="AQ237" s="374"/>
      <c r="AR237" s="374"/>
      <c r="AS237" s="374"/>
      <c r="AT237" s="374"/>
      <c r="AU237" s="374"/>
      <c r="AV237" s="374"/>
      <c r="AW237" s="374"/>
      <c r="AX237" s="374"/>
      <c r="AY237" s="374"/>
      <c r="AZ237" s="374"/>
      <c r="BA237" s="374"/>
      <c r="BB237" s="374"/>
      <c r="BC237" s="374"/>
      <c r="BD237" s="374"/>
      <c r="BE237" s="374"/>
      <c r="BF237" s="374"/>
      <c r="BG237" s="374"/>
    </row>
    <row r="238" spans="8:59" x14ac:dyDescent="0.25">
      <c r="H238" s="374"/>
      <c r="I238" s="374"/>
      <c r="J238" s="374"/>
      <c r="K238" s="374"/>
      <c r="L238" s="374"/>
      <c r="M238" s="374"/>
      <c r="N238" s="374"/>
      <c r="O238" s="374"/>
      <c r="P238" s="374"/>
      <c r="Q238" s="374"/>
      <c r="R238" s="374"/>
      <c r="S238" s="374"/>
      <c r="T238" s="374"/>
      <c r="U238" s="374"/>
      <c r="V238" s="374"/>
      <c r="W238" s="374"/>
      <c r="X238" s="374"/>
      <c r="Y238" s="374"/>
      <c r="Z238" s="374"/>
      <c r="AA238" s="374"/>
      <c r="AB238" s="374"/>
      <c r="AC238" s="374"/>
      <c r="AD238" s="374"/>
      <c r="AE238" s="374"/>
      <c r="AF238" s="374"/>
      <c r="AG238" s="374"/>
      <c r="AH238" s="374"/>
      <c r="AI238" s="374"/>
      <c r="AJ238" s="374"/>
      <c r="AK238" s="374"/>
      <c r="AL238" s="374"/>
      <c r="AM238" s="374"/>
      <c r="AN238" s="374"/>
      <c r="AO238" s="374"/>
      <c r="AP238" s="374"/>
      <c r="AQ238" s="374"/>
      <c r="AR238" s="374"/>
      <c r="AS238" s="374"/>
      <c r="AT238" s="374"/>
      <c r="AU238" s="374"/>
      <c r="AV238" s="374"/>
      <c r="AW238" s="374"/>
      <c r="AX238" s="374"/>
      <c r="AY238" s="374"/>
      <c r="AZ238" s="374"/>
      <c r="BA238" s="374"/>
      <c r="BB238" s="374"/>
      <c r="BC238" s="374"/>
      <c r="BD238" s="374"/>
      <c r="BE238" s="374"/>
      <c r="BF238" s="374"/>
      <c r="BG238" s="374"/>
    </row>
    <row r="239" spans="8:59" x14ac:dyDescent="0.25">
      <c r="H239" s="374"/>
      <c r="I239" s="374"/>
      <c r="J239" s="374"/>
      <c r="K239" s="374"/>
      <c r="L239" s="374"/>
      <c r="M239" s="374"/>
      <c r="N239" s="374"/>
      <c r="O239" s="374"/>
      <c r="P239" s="374"/>
      <c r="Q239" s="374"/>
      <c r="R239" s="374"/>
      <c r="S239" s="374"/>
      <c r="T239" s="374"/>
      <c r="U239" s="374"/>
      <c r="V239" s="374"/>
      <c r="W239" s="374"/>
      <c r="X239" s="374"/>
      <c r="Y239" s="374"/>
      <c r="Z239" s="374"/>
      <c r="AA239" s="374"/>
      <c r="AB239" s="374"/>
      <c r="AC239" s="374"/>
      <c r="AD239" s="374"/>
      <c r="AE239" s="374"/>
      <c r="AF239" s="374"/>
      <c r="AG239" s="374"/>
      <c r="AH239" s="374"/>
      <c r="AI239" s="374"/>
      <c r="AJ239" s="374"/>
      <c r="AK239" s="374"/>
      <c r="AL239" s="374"/>
      <c r="AM239" s="374"/>
      <c r="AN239" s="374"/>
      <c r="AO239" s="374"/>
      <c r="AP239" s="374"/>
      <c r="AQ239" s="374"/>
      <c r="AR239" s="374"/>
      <c r="AS239" s="374"/>
      <c r="AT239" s="374"/>
      <c r="AU239" s="374"/>
      <c r="AV239" s="374"/>
      <c r="AW239" s="374"/>
      <c r="AX239" s="374"/>
      <c r="AY239" s="374"/>
      <c r="AZ239" s="374"/>
      <c r="BA239" s="374"/>
      <c r="BB239" s="374"/>
      <c r="BC239" s="374"/>
      <c r="BD239" s="374"/>
      <c r="BE239" s="374"/>
      <c r="BF239" s="374"/>
      <c r="BG239" s="374"/>
    </row>
    <row r="240" spans="8:59" x14ac:dyDescent="0.25">
      <c r="H240" s="374"/>
      <c r="I240" s="374"/>
      <c r="J240" s="374"/>
      <c r="K240" s="374"/>
      <c r="L240" s="374"/>
      <c r="M240" s="374"/>
      <c r="N240" s="374"/>
      <c r="O240" s="374"/>
      <c r="P240" s="374"/>
      <c r="Q240" s="374"/>
      <c r="R240" s="374"/>
      <c r="S240" s="374"/>
      <c r="T240" s="374"/>
      <c r="U240" s="374"/>
      <c r="V240" s="374"/>
      <c r="W240" s="374"/>
      <c r="X240" s="374"/>
      <c r="Y240" s="374"/>
      <c r="Z240" s="374"/>
      <c r="AA240" s="374"/>
      <c r="AB240" s="374"/>
      <c r="AC240" s="374"/>
      <c r="AD240" s="374"/>
      <c r="AE240" s="374"/>
      <c r="AF240" s="374"/>
      <c r="AG240" s="374"/>
      <c r="AH240" s="374"/>
      <c r="AI240" s="374"/>
      <c r="AJ240" s="374"/>
      <c r="AK240" s="374"/>
      <c r="AL240" s="374"/>
      <c r="AM240" s="374"/>
      <c r="AN240" s="374"/>
      <c r="AO240" s="374"/>
      <c r="AP240" s="374"/>
      <c r="AQ240" s="374"/>
      <c r="AR240" s="374"/>
      <c r="AS240" s="374"/>
      <c r="AT240" s="374"/>
      <c r="AU240" s="374"/>
      <c r="AV240" s="374"/>
      <c r="AW240" s="374"/>
      <c r="AX240" s="374"/>
      <c r="AY240" s="374"/>
      <c r="AZ240" s="374"/>
      <c r="BA240" s="374"/>
      <c r="BB240" s="374"/>
      <c r="BC240" s="374"/>
      <c r="BD240" s="374"/>
      <c r="BE240" s="374"/>
      <c r="BF240" s="374"/>
      <c r="BG240" s="374"/>
    </row>
    <row r="241" spans="8:59" x14ac:dyDescent="0.25">
      <c r="H241" s="374"/>
      <c r="I241" s="374"/>
      <c r="J241" s="374"/>
      <c r="K241" s="374"/>
      <c r="L241" s="374"/>
      <c r="M241" s="374"/>
      <c r="N241" s="374"/>
      <c r="O241" s="374"/>
      <c r="P241" s="374"/>
      <c r="Q241" s="374"/>
      <c r="R241" s="374"/>
      <c r="S241" s="374"/>
      <c r="T241" s="374"/>
      <c r="U241" s="374"/>
      <c r="V241" s="374"/>
      <c r="W241" s="374"/>
      <c r="X241" s="374"/>
      <c r="Y241" s="374"/>
      <c r="Z241" s="374"/>
      <c r="AA241" s="374"/>
      <c r="AB241" s="374"/>
      <c r="AC241" s="374"/>
      <c r="AD241" s="374"/>
      <c r="AE241" s="374"/>
      <c r="AF241" s="374"/>
      <c r="AG241" s="374"/>
      <c r="AH241" s="374"/>
      <c r="AI241" s="374"/>
      <c r="AJ241" s="374"/>
      <c r="AK241" s="374"/>
      <c r="AL241" s="374"/>
      <c r="AM241" s="374"/>
      <c r="AN241" s="374"/>
      <c r="AO241" s="374"/>
      <c r="AP241" s="374"/>
      <c r="AQ241" s="374"/>
      <c r="AR241" s="374"/>
      <c r="AS241" s="374"/>
      <c r="AT241" s="374"/>
      <c r="AU241" s="374"/>
      <c r="AV241" s="374"/>
      <c r="AW241" s="374"/>
      <c r="AX241" s="374"/>
      <c r="AY241" s="374"/>
      <c r="AZ241" s="374"/>
      <c r="BA241" s="374"/>
      <c r="BB241" s="374"/>
      <c r="BC241" s="374"/>
      <c r="BD241" s="374"/>
      <c r="BE241" s="374"/>
      <c r="BF241" s="374"/>
      <c r="BG241" s="374"/>
    </row>
    <row r="242" spans="8:59" x14ac:dyDescent="0.25">
      <c r="H242" s="374"/>
      <c r="I242" s="374"/>
      <c r="J242" s="374"/>
      <c r="K242" s="374"/>
      <c r="L242" s="374"/>
      <c r="M242" s="374"/>
      <c r="N242" s="374"/>
      <c r="O242" s="374"/>
      <c r="P242" s="374"/>
      <c r="Q242" s="374"/>
      <c r="R242" s="374"/>
      <c r="S242" s="374"/>
      <c r="T242" s="374"/>
      <c r="U242" s="374"/>
      <c r="V242" s="374"/>
      <c r="W242" s="374"/>
      <c r="X242" s="374"/>
      <c r="Y242" s="374"/>
      <c r="Z242" s="374"/>
      <c r="AA242" s="374"/>
      <c r="AB242" s="374"/>
      <c r="AC242" s="374"/>
      <c r="AD242" s="374"/>
      <c r="AE242" s="374"/>
      <c r="AF242" s="374"/>
      <c r="AG242" s="374"/>
      <c r="AH242" s="374"/>
      <c r="AI242" s="374"/>
      <c r="AJ242" s="374"/>
      <c r="AK242" s="374"/>
      <c r="AL242" s="374"/>
      <c r="AM242" s="374"/>
      <c r="AN242" s="374"/>
      <c r="AO242" s="374"/>
      <c r="AP242" s="374"/>
      <c r="AQ242" s="374"/>
      <c r="AR242" s="374"/>
      <c r="AS242" s="374"/>
      <c r="AT242" s="374"/>
      <c r="AU242" s="374"/>
      <c r="AV242" s="374"/>
      <c r="AW242" s="374"/>
      <c r="AX242" s="374"/>
      <c r="AY242" s="374"/>
      <c r="AZ242" s="374"/>
      <c r="BA242" s="374"/>
      <c r="BB242" s="374"/>
      <c r="BC242" s="374"/>
      <c r="BD242" s="374"/>
      <c r="BE242" s="374"/>
      <c r="BF242" s="374"/>
      <c r="BG242" s="374"/>
    </row>
    <row r="243" spans="8:59" x14ac:dyDescent="0.25">
      <c r="H243" s="374"/>
      <c r="I243" s="374"/>
      <c r="J243" s="374"/>
      <c r="K243" s="374"/>
      <c r="L243" s="374"/>
      <c r="M243" s="374"/>
      <c r="N243" s="374"/>
      <c r="O243" s="374"/>
      <c r="P243" s="374"/>
      <c r="Q243" s="374"/>
      <c r="R243" s="374"/>
      <c r="S243" s="374"/>
      <c r="T243" s="374"/>
      <c r="U243" s="374"/>
      <c r="V243" s="374"/>
      <c r="W243" s="374"/>
      <c r="X243" s="374"/>
      <c r="Y243" s="374"/>
      <c r="Z243" s="374"/>
      <c r="AA243" s="374"/>
      <c r="AB243" s="374"/>
      <c r="AC243" s="374"/>
      <c r="AD243" s="374"/>
      <c r="AE243" s="374"/>
      <c r="AF243" s="374"/>
      <c r="AG243" s="374"/>
      <c r="AH243" s="374"/>
      <c r="AI243" s="374"/>
      <c r="AJ243" s="374"/>
      <c r="AK243" s="374"/>
      <c r="AL243" s="374"/>
      <c r="AM243" s="374"/>
      <c r="AN243" s="374"/>
      <c r="AO243" s="374"/>
      <c r="AP243" s="374"/>
      <c r="AQ243" s="374"/>
      <c r="AR243" s="374"/>
      <c r="AS243" s="374"/>
      <c r="AT243" s="374"/>
      <c r="AU243" s="374"/>
      <c r="AV243" s="374"/>
      <c r="AW243" s="374"/>
      <c r="AX243" s="374"/>
      <c r="AY243" s="374"/>
      <c r="AZ243" s="374"/>
      <c r="BA243" s="374"/>
      <c r="BB243" s="374"/>
      <c r="BC243" s="374"/>
      <c r="BD243" s="374"/>
      <c r="BE243" s="374"/>
      <c r="BF243" s="374"/>
      <c r="BG243" s="374"/>
    </row>
    <row r="244" spans="8:59" x14ac:dyDescent="0.25">
      <c r="H244" s="374"/>
      <c r="I244" s="374"/>
      <c r="J244" s="374"/>
      <c r="K244" s="374"/>
      <c r="L244" s="374"/>
      <c r="M244" s="374"/>
      <c r="N244" s="374"/>
      <c r="O244" s="374"/>
      <c r="P244" s="374"/>
      <c r="Q244" s="374"/>
      <c r="R244" s="374"/>
      <c r="S244" s="374"/>
      <c r="T244" s="374"/>
      <c r="U244" s="374"/>
      <c r="V244" s="374"/>
      <c r="W244" s="374"/>
      <c r="X244" s="374"/>
      <c r="Y244" s="374"/>
      <c r="Z244" s="374"/>
      <c r="AA244" s="374"/>
      <c r="AB244" s="374"/>
      <c r="AC244" s="374"/>
      <c r="AD244" s="374"/>
      <c r="AE244" s="374"/>
      <c r="AF244" s="374"/>
      <c r="AG244" s="374"/>
      <c r="AH244" s="374"/>
      <c r="AI244" s="374"/>
      <c r="AJ244" s="374"/>
      <c r="AK244" s="374"/>
      <c r="AL244" s="374"/>
      <c r="AM244" s="374"/>
      <c r="AN244" s="374"/>
      <c r="AO244" s="374"/>
      <c r="AP244" s="374"/>
      <c r="AQ244" s="374"/>
      <c r="AR244" s="374"/>
      <c r="AS244" s="374"/>
      <c r="AT244" s="374"/>
      <c r="AU244" s="374"/>
      <c r="AV244" s="374"/>
      <c r="AW244" s="374"/>
      <c r="AX244" s="374"/>
      <c r="AY244" s="374"/>
      <c r="AZ244" s="374"/>
      <c r="BA244" s="374"/>
      <c r="BB244" s="374"/>
      <c r="BC244" s="374"/>
      <c r="BD244" s="374"/>
      <c r="BE244" s="374"/>
      <c r="BF244" s="374"/>
      <c r="BG244" s="374"/>
    </row>
    <row r="245" spans="8:59" x14ac:dyDescent="0.25">
      <c r="H245" s="374"/>
      <c r="I245" s="374"/>
      <c r="J245" s="374"/>
      <c r="K245" s="374"/>
      <c r="L245" s="374"/>
      <c r="M245" s="374"/>
      <c r="N245" s="374"/>
      <c r="O245" s="374"/>
      <c r="P245" s="374"/>
      <c r="Q245" s="374"/>
      <c r="R245" s="374"/>
      <c r="S245" s="374"/>
      <c r="T245" s="374"/>
      <c r="U245" s="374"/>
      <c r="V245" s="374"/>
      <c r="W245" s="374"/>
      <c r="X245" s="374"/>
      <c r="Y245" s="374"/>
      <c r="Z245" s="374"/>
      <c r="AA245" s="374"/>
      <c r="AB245" s="374"/>
      <c r="AC245" s="374"/>
      <c r="AD245" s="374"/>
      <c r="AE245" s="374"/>
      <c r="AF245" s="374"/>
      <c r="AG245" s="374"/>
      <c r="AH245" s="374"/>
      <c r="AI245" s="374"/>
      <c r="AJ245" s="374"/>
      <c r="AK245" s="374"/>
      <c r="AL245" s="374"/>
      <c r="AM245" s="374"/>
      <c r="AN245" s="374"/>
      <c r="AO245" s="374"/>
      <c r="AP245" s="374"/>
      <c r="AQ245" s="374"/>
      <c r="AR245" s="374"/>
      <c r="AS245" s="374"/>
      <c r="AT245" s="374"/>
      <c r="AU245" s="374"/>
      <c r="AV245" s="374"/>
      <c r="AW245" s="374"/>
      <c r="AX245" s="374"/>
      <c r="AY245" s="374"/>
      <c r="AZ245" s="374"/>
      <c r="BA245" s="374"/>
      <c r="BB245" s="374"/>
      <c r="BC245" s="374"/>
      <c r="BD245" s="374"/>
      <c r="BE245" s="374"/>
      <c r="BF245" s="374"/>
      <c r="BG245" s="374"/>
    </row>
    <row r="246" spans="8:59" x14ac:dyDescent="0.25">
      <c r="H246" s="374"/>
      <c r="I246" s="374"/>
      <c r="J246" s="374"/>
      <c r="K246" s="374"/>
      <c r="L246" s="374"/>
      <c r="M246" s="374"/>
      <c r="N246" s="374"/>
      <c r="O246" s="374"/>
      <c r="P246" s="374"/>
      <c r="Q246" s="374"/>
      <c r="R246" s="374"/>
      <c r="S246" s="374"/>
      <c r="T246" s="374"/>
      <c r="U246" s="374"/>
      <c r="V246" s="374"/>
      <c r="W246" s="374"/>
      <c r="X246" s="374"/>
      <c r="Y246" s="374"/>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c r="AU246" s="374"/>
      <c r="AV246" s="374"/>
      <c r="AW246" s="374"/>
      <c r="AX246" s="374"/>
      <c r="AY246" s="374"/>
      <c r="AZ246" s="374"/>
      <c r="BA246" s="374"/>
      <c r="BB246" s="374"/>
      <c r="BC246" s="374"/>
      <c r="BD246" s="374"/>
      <c r="BE246" s="374"/>
      <c r="BF246" s="374"/>
      <c r="BG246" s="374"/>
    </row>
  </sheetData>
  <mergeCells count="5">
    <mergeCell ref="B21:B23"/>
    <mergeCell ref="C21:D22"/>
    <mergeCell ref="E21:F22"/>
    <mergeCell ref="C10:E10"/>
    <mergeCell ref="C11:E11"/>
  </mergeCells>
  <conditionalFormatting sqref="B24:F123 H24:BG123">
    <cfRule type="expression" dxfId="16" priority="9">
      <formula>IF($B24="",FALSE,TRUE)</formula>
    </cfRule>
  </conditionalFormatting>
  <conditionalFormatting sqref="B24:F123">
    <cfRule type="expression" dxfId="15" priority="8">
      <formula>IF($B24&lt;&gt;"",TRUE,FALSE)</formula>
    </cfRule>
  </conditionalFormatting>
  <conditionalFormatting sqref="C21:F23">
    <cfRule type="expression" dxfId="14" priority="7">
      <formula>IF($B$21="Core session",TRUE,FALSE)</formula>
    </cfRule>
  </conditionalFormatting>
  <conditionalFormatting sqref="B124:D223 F124:F223">
    <cfRule type="expression" dxfId="13" priority="5">
      <formula>IF($B124&lt;&gt;"",TRUE,FALSE)</formula>
    </cfRule>
    <cfRule type="expression" dxfId="12" priority="6">
      <formula>IF($B124="",FALSE,TRUE)</formula>
    </cfRule>
  </conditionalFormatting>
  <conditionalFormatting sqref="H124:BG223">
    <cfRule type="expression" dxfId="11" priority="4">
      <formula>IF($B124="", FALSE, TRUE)</formula>
    </cfRule>
  </conditionalFormatting>
  <conditionalFormatting sqref="E124:E223">
    <cfRule type="expression" dxfId="10" priority="2">
      <formula>IF($B124="",FALSE,TRUE)</formula>
    </cfRule>
  </conditionalFormatting>
  <conditionalFormatting sqref="E124:E223">
    <cfRule type="expression" dxfId="9"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1170</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6"/>
      <c r="H4" s="2" t="s">
        <v>444</v>
      </c>
      <c r="I4" s="2"/>
      <c r="J4" s="2" t="s">
        <v>445</v>
      </c>
      <c r="K4" s="2"/>
      <c r="L4" s="2" t="s">
        <v>446</v>
      </c>
      <c r="M4" s="2"/>
      <c r="N4" s="2" t="s">
        <v>447</v>
      </c>
      <c r="O4" s="2"/>
      <c r="P4" s="2" t="s">
        <v>448</v>
      </c>
      <c r="Q4" s="2"/>
      <c r="U4" s="2" t="s">
        <v>248</v>
      </c>
    </row>
    <row r="5" spans="1:72" x14ac:dyDescent="0.25">
      <c r="A5" s="67" t="s">
        <v>1169</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22">
        <f ca="1">B6+6</f>
        <v>43940</v>
      </c>
      <c r="B6" s="87">
        <f ca="1">IF('Critical resources'!$D$3="",TODAY()-WEEKDAY(TODAY(),3)+7,'Critical resources'!D3-WEEKDAY('Critical resources'!D3,3))</f>
        <v>43934</v>
      </c>
      <c r="C6" s="67">
        <v>1</v>
      </c>
      <c r="D6" s="67">
        <f ca="1">YEAR(B6)</f>
        <v>2020</v>
      </c>
      <c r="E6" s="67" t="str">
        <f t="shared" ref="E6:E54" ca="1" si="0">IF(TEXT(B6,"MMM")=TEXT(B5,"MMM")," ",TEXT(B6,"MMM"))</f>
        <v>Apr</v>
      </c>
      <c r="F6" s="67">
        <f ca="1">WEEKNUM(B6,21)</f>
        <v>16</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22">
        <f t="shared" ref="A7:A57" ca="1" si="6">B7+6</f>
        <v>43947</v>
      </c>
      <c r="B7" s="87">
        <f ca="1">B6+7</f>
        <v>43941</v>
      </c>
      <c r="C7" s="67">
        <v>2</v>
      </c>
      <c r="D7" s="67" t="str">
        <f ca="1">IF(YEAR(B7)=YEAR(B6),"",YEAR(B7))</f>
        <v/>
      </c>
      <c r="E7" s="67" t="str">
        <f t="shared" ca="1" si="0"/>
        <v xml:space="preserve"> </v>
      </c>
      <c r="F7" s="67">
        <f t="shared" ref="F7:F57" ca="1" si="7">WEEKNUM(B7,21)</f>
        <v>17</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22">
        <f t="shared" ca="1" si="6"/>
        <v>43954</v>
      </c>
      <c r="B8" s="87">
        <f t="shared" ref="B8:B57" ca="1" si="9">B7+7</f>
        <v>43948</v>
      </c>
      <c r="C8" s="67">
        <v>3</v>
      </c>
      <c r="D8" s="67" t="str">
        <f t="shared" ref="D8:D57" ca="1" si="10">IF(YEAR(B8)=YEAR(B7),"",YEAR(B8))</f>
        <v/>
      </c>
      <c r="E8" s="67" t="str">
        <f t="shared" ca="1" si="0"/>
        <v xml:space="preserve"> </v>
      </c>
      <c r="F8" s="67">
        <f t="shared" ca="1" si="7"/>
        <v>18</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22">
        <f t="shared" ca="1" si="6"/>
        <v>43961</v>
      </c>
      <c r="B9" s="87">
        <f t="shared" ca="1" si="9"/>
        <v>43955</v>
      </c>
      <c r="C9" s="67">
        <v>4</v>
      </c>
      <c r="D9" s="67" t="str">
        <f t="shared" ca="1" si="10"/>
        <v/>
      </c>
      <c r="E9" s="67" t="str">
        <f t="shared" ca="1" si="0"/>
        <v>May</v>
      </c>
      <c r="F9" s="67">
        <f t="shared" ca="1" si="7"/>
        <v>19</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22">
        <f t="shared" ca="1" si="6"/>
        <v>43968</v>
      </c>
      <c r="B10" s="87">
        <f t="shared" ca="1" si="9"/>
        <v>43962</v>
      </c>
      <c r="C10" s="67">
        <v>5</v>
      </c>
      <c r="D10" s="67" t="str">
        <f t="shared" ca="1" si="10"/>
        <v/>
      </c>
      <c r="E10" s="67" t="str">
        <f t="shared" ca="1" si="0"/>
        <v xml:space="preserve"> </v>
      </c>
      <c r="F10" s="67">
        <f t="shared" ca="1" si="7"/>
        <v>20</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22">
        <f t="shared" ca="1" si="6"/>
        <v>43975</v>
      </c>
      <c r="B11" s="87">
        <f t="shared" ca="1" si="9"/>
        <v>43969</v>
      </c>
      <c r="C11" s="67">
        <v>6</v>
      </c>
      <c r="D11" s="67" t="str">
        <f t="shared" ca="1" si="10"/>
        <v/>
      </c>
      <c r="E11" s="67" t="str">
        <f t="shared" ca="1" si="0"/>
        <v xml:space="preserve"> </v>
      </c>
      <c r="F11" s="67">
        <f t="shared" ca="1" si="7"/>
        <v>21</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22">
        <f t="shared" ca="1" si="6"/>
        <v>43982</v>
      </c>
      <c r="B12" s="87">
        <f t="shared" ca="1" si="9"/>
        <v>43976</v>
      </c>
      <c r="C12" s="67">
        <v>7</v>
      </c>
      <c r="D12" s="67" t="str">
        <f t="shared" ca="1" si="10"/>
        <v/>
      </c>
      <c r="E12" s="67" t="str">
        <f t="shared" ca="1" si="0"/>
        <v xml:space="preserve"> </v>
      </c>
      <c r="F12" s="67">
        <f t="shared" ca="1" si="7"/>
        <v>22</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22">
        <f t="shared" ca="1" si="6"/>
        <v>43989</v>
      </c>
      <c r="B13" s="87">
        <f t="shared" ca="1" si="9"/>
        <v>43983</v>
      </c>
      <c r="C13" s="67">
        <v>8</v>
      </c>
      <c r="D13" s="67" t="str">
        <f t="shared" ca="1" si="10"/>
        <v/>
      </c>
      <c r="E13" s="67" t="str">
        <f t="shared" ca="1" si="0"/>
        <v>Jun</v>
      </c>
      <c r="F13" s="67">
        <f t="shared" ca="1" si="7"/>
        <v>23</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22">
        <f t="shared" ca="1" si="6"/>
        <v>43996</v>
      </c>
      <c r="B14" s="87">
        <f t="shared" ca="1" si="9"/>
        <v>43990</v>
      </c>
      <c r="C14" s="67">
        <v>9</v>
      </c>
      <c r="D14" s="67" t="str">
        <f t="shared" ca="1" si="10"/>
        <v/>
      </c>
      <c r="E14" s="67" t="str">
        <f t="shared" ca="1" si="0"/>
        <v xml:space="preserve"> </v>
      </c>
      <c r="F14" s="67">
        <f t="shared" ca="1" si="7"/>
        <v>24</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22">
        <f t="shared" ca="1" si="6"/>
        <v>44003</v>
      </c>
      <c r="B15" s="87">
        <f t="shared" ca="1" si="9"/>
        <v>43997</v>
      </c>
      <c r="C15" s="67">
        <v>10</v>
      </c>
      <c r="D15" s="67" t="str">
        <f t="shared" ca="1" si="10"/>
        <v/>
      </c>
      <c r="E15" s="67" t="str">
        <f t="shared" ca="1" si="0"/>
        <v xml:space="preserve"> </v>
      </c>
      <c r="F15" s="67">
        <f t="shared" ca="1" si="7"/>
        <v>25</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22">
        <f t="shared" ca="1" si="6"/>
        <v>44010</v>
      </c>
      <c r="B16" s="87">
        <f t="shared" ca="1" si="9"/>
        <v>44004</v>
      </c>
      <c r="C16" s="67">
        <v>11</v>
      </c>
      <c r="D16" s="67" t="str">
        <f t="shared" ca="1" si="10"/>
        <v/>
      </c>
      <c r="E16" s="67" t="str">
        <f t="shared" ca="1" si="0"/>
        <v xml:space="preserve"> </v>
      </c>
      <c r="F16" s="67">
        <f t="shared" ca="1" si="7"/>
        <v>26</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22">
        <f t="shared" ca="1" si="6"/>
        <v>44017</v>
      </c>
      <c r="B17" s="87">
        <f t="shared" ca="1" si="9"/>
        <v>44011</v>
      </c>
      <c r="C17" s="67">
        <v>12</v>
      </c>
      <c r="D17" s="67" t="str">
        <f t="shared" ca="1" si="10"/>
        <v/>
      </c>
      <c r="E17" s="67" t="str">
        <f t="shared" ca="1" si="0"/>
        <v xml:space="preserve"> </v>
      </c>
      <c r="F17" s="67">
        <f t="shared" ca="1" si="7"/>
        <v>27</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22">
        <f t="shared" ca="1" si="6"/>
        <v>44024</v>
      </c>
      <c r="B18" s="87">
        <f t="shared" ca="1" si="9"/>
        <v>44018</v>
      </c>
      <c r="C18" s="67">
        <v>13</v>
      </c>
      <c r="D18" s="67" t="str">
        <f t="shared" ca="1" si="10"/>
        <v/>
      </c>
      <c r="E18" s="67" t="str">
        <f t="shared" ca="1" si="0"/>
        <v>Jul</v>
      </c>
      <c r="F18" s="67">
        <f t="shared" ca="1" si="7"/>
        <v>28</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22">
        <f t="shared" ca="1" si="6"/>
        <v>44031</v>
      </c>
      <c r="B19" s="87">
        <f t="shared" ca="1" si="9"/>
        <v>44025</v>
      </c>
      <c r="C19" s="67">
        <v>14</v>
      </c>
      <c r="D19" s="67" t="str">
        <f t="shared" ca="1" si="10"/>
        <v/>
      </c>
      <c r="E19" s="67" t="str">
        <f t="shared" ca="1" si="0"/>
        <v xml:space="preserve"> </v>
      </c>
      <c r="F19" s="67">
        <f t="shared" ca="1" si="7"/>
        <v>29</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22">
        <f t="shared" ca="1" si="6"/>
        <v>44038</v>
      </c>
      <c r="B20" s="87">
        <f t="shared" ca="1" si="9"/>
        <v>44032</v>
      </c>
      <c r="C20" s="67">
        <v>15</v>
      </c>
      <c r="D20" s="67" t="str">
        <f t="shared" ca="1" si="10"/>
        <v/>
      </c>
      <c r="E20" s="67" t="str">
        <f t="shared" ca="1" si="0"/>
        <v xml:space="preserve"> </v>
      </c>
      <c r="F20" s="67">
        <f t="shared" ca="1" si="7"/>
        <v>30</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22">
        <f t="shared" ca="1" si="6"/>
        <v>44045</v>
      </c>
      <c r="B21" s="87">
        <f t="shared" ca="1" si="9"/>
        <v>44039</v>
      </c>
      <c r="C21" s="67">
        <v>16</v>
      </c>
      <c r="D21" s="67" t="str">
        <f t="shared" ca="1" si="10"/>
        <v/>
      </c>
      <c r="E21" s="67" t="str">
        <f t="shared" ca="1" si="0"/>
        <v xml:space="preserve"> </v>
      </c>
      <c r="F21" s="67">
        <f t="shared" ca="1" si="7"/>
        <v>31</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22">
        <f t="shared" ca="1" si="6"/>
        <v>44052</v>
      </c>
      <c r="B22" s="87">
        <f t="shared" ca="1" si="9"/>
        <v>44046</v>
      </c>
      <c r="C22" s="67">
        <v>17</v>
      </c>
      <c r="D22" s="67" t="str">
        <f t="shared" ca="1" si="10"/>
        <v/>
      </c>
      <c r="E22" s="67" t="str">
        <f t="shared" ca="1" si="0"/>
        <v>Aug</v>
      </c>
      <c r="F22" s="67">
        <f t="shared" ca="1" si="7"/>
        <v>32</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22">
        <f t="shared" ca="1" si="6"/>
        <v>44059</v>
      </c>
      <c r="B23" s="87">
        <f t="shared" ca="1" si="9"/>
        <v>44053</v>
      </c>
      <c r="C23" s="67">
        <v>18</v>
      </c>
      <c r="D23" s="67" t="str">
        <f t="shared" ca="1" si="10"/>
        <v/>
      </c>
      <c r="E23" s="67" t="str">
        <f t="shared" ca="1" si="0"/>
        <v xml:space="preserve"> </v>
      </c>
      <c r="F23" s="67">
        <f t="shared" ca="1" si="7"/>
        <v>33</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22">
        <f t="shared" ca="1" si="6"/>
        <v>44066</v>
      </c>
      <c r="B24" s="87">
        <f t="shared" ca="1" si="9"/>
        <v>44060</v>
      </c>
      <c r="C24" s="67">
        <v>19</v>
      </c>
      <c r="D24" s="67" t="str">
        <f t="shared" ca="1" si="10"/>
        <v/>
      </c>
      <c r="E24" s="67" t="str">
        <f t="shared" ca="1" si="0"/>
        <v xml:space="preserve"> </v>
      </c>
      <c r="F24" s="67">
        <f t="shared" ca="1" si="7"/>
        <v>34</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22">
        <f t="shared" ca="1" si="6"/>
        <v>44073</v>
      </c>
      <c r="B25" s="87">
        <f t="shared" ca="1" si="9"/>
        <v>44067</v>
      </c>
      <c r="C25" s="67">
        <v>20</v>
      </c>
      <c r="D25" s="67" t="str">
        <f t="shared" ca="1" si="10"/>
        <v/>
      </c>
      <c r="E25" s="67" t="str">
        <f t="shared" ca="1" si="0"/>
        <v xml:space="preserve"> </v>
      </c>
      <c r="F25" s="67">
        <f t="shared" ca="1" si="7"/>
        <v>35</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22">
        <f t="shared" ca="1" si="6"/>
        <v>44080</v>
      </c>
      <c r="B26" s="87">
        <f t="shared" ca="1" si="9"/>
        <v>44074</v>
      </c>
      <c r="C26" s="67">
        <v>21</v>
      </c>
      <c r="D26" s="67" t="str">
        <f t="shared" ca="1" si="10"/>
        <v/>
      </c>
      <c r="E26" s="67" t="str">
        <f t="shared" ca="1" si="0"/>
        <v xml:space="preserve"> </v>
      </c>
      <c r="F26" s="67">
        <f t="shared" ca="1" si="7"/>
        <v>36</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22">
        <f t="shared" ca="1" si="6"/>
        <v>44087</v>
      </c>
      <c r="B27" s="87">
        <f t="shared" ca="1" si="9"/>
        <v>44081</v>
      </c>
      <c r="C27" s="67">
        <v>22</v>
      </c>
      <c r="D27" s="67" t="str">
        <f t="shared" ca="1" si="10"/>
        <v/>
      </c>
      <c r="E27" s="67" t="str">
        <f t="shared" ca="1" si="0"/>
        <v>Sep</v>
      </c>
      <c r="F27" s="67">
        <f t="shared" ca="1" si="7"/>
        <v>37</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22">
        <f t="shared" ca="1" si="6"/>
        <v>44094</v>
      </c>
      <c r="B28" s="87">
        <f t="shared" ca="1" si="9"/>
        <v>44088</v>
      </c>
      <c r="C28" s="67">
        <v>23</v>
      </c>
      <c r="D28" s="67" t="str">
        <f t="shared" ca="1" si="10"/>
        <v/>
      </c>
      <c r="E28" s="67" t="str">
        <f t="shared" ca="1" si="0"/>
        <v xml:space="preserve"> </v>
      </c>
      <c r="F28" s="67">
        <f t="shared" ca="1" si="7"/>
        <v>38</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22">
        <f t="shared" ca="1" si="6"/>
        <v>44101</v>
      </c>
      <c r="B29" s="87">
        <f t="shared" ca="1" si="9"/>
        <v>44095</v>
      </c>
      <c r="C29" s="67">
        <v>24</v>
      </c>
      <c r="D29" s="67" t="str">
        <f t="shared" ca="1" si="10"/>
        <v/>
      </c>
      <c r="E29" s="67" t="str">
        <f t="shared" ca="1" si="0"/>
        <v xml:space="preserve"> </v>
      </c>
      <c r="F29" s="67">
        <f t="shared" ca="1" si="7"/>
        <v>39</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22">
        <f t="shared" ca="1" si="6"/>
        <v>44108</v>
      </c>
      <c r="B30" s="87">
        <f t="shared" ca="1" si="9"/>
        <v>44102</v>
      </c>
      <c r="C30" s="67">
        <v>25</v>
      </c>
      <c r="D30" s="67" t="str">
        <f t="shared" ca="1" si="10"/>
        <v/>
      </c>
      <c r="E30" s="67" t="str">
        <f t="shared" ca="1" si="0"/>
        <v xml:space="preserve"> </v>
      </c>
      <c r="F30" s="67">
        <f t="shared" ca="1" si="7"/>
        <v>40</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22">
        <f t="shared" ca="1" si="6"/>
        <v>44115</v>
      </c>
      <c r="B31" s="87">
        <f t="shared" ca="1" si="9"/>
        <v>44109</v>
      </c>
      <c r="C31" s="67">
        <v>26</v>
      </c>
      <c r="D31" s="67" t="str">
        <f t="shared" ca="1" si="10"/>
        <v/>
      </c>
      <c r="E31" s="67" t="str">
        <f t="shared" ca="1" si="0"/>
        <v>Oct</v>
      </c>
      <c r="F31" s="67">
        <f t="shared" ca="1" si="7"/>
        <v>41</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22">
        <f t="shared" ca="1" si="6"/>
        <v>44122</v>
      </c>
      <c r="B32" s="87">
        <f t="shared" ca="1" si="9"/>
        <v>44116</v>
      </c>
      <c r="C32" s="67">
        <v>27</v>
      </c>
      <c r="D32" s="67" t="str">
        <f t="shared" ca="1" si="10"/>
        <v/>
      </c>
      <c r="E32" s="67" t="str">
        <f t="shared" ca="1" si="0"/>
        <v xml:space="preserve"> </v>
      </c>
      <c r="F32" s="67">
        <f t="shared" ca="1" si="7"/>
        <v>42</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22">
        <f t="shared" ca="1" si="6"/>
        <v>44129</v>
      </c>
      <c r="B33" s="87">
        <f t="shared" ca="1" si="9"/>
        <v>44123</v>
      </c>
      <c r="C33" s="67">
        <v>28</v>
      </c>
      <c r="D33" s="67" t="str">
        <f t="shared" ca="1" si="10"/>
        <v/>
      </c>
      <c r="E33" s="67" t="str">
        <f t="shared" ca="1" si="0"/>
        <v xml:space="preserve"> </v>
      </c>
      <c r="F33" s="67">
        <f t="shared" ca="1" si="7"/>
        <v>43</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22">
        <f t="shared" ca="1" si="6"/>
        <v>44136</v>
      </c>
      <c r="B34" s="87">
        <f t="shared" ca="1" si="9"/>
        <v>44130</v>
      </c>
      <c r="C34" s="67">
        <v>29</v>
      </c>
      <c r="D34" s="67" t="str">
        <f t="shared" ca="1" si="10"/>
        <v/>
      </c>
      <c r="E34" s="67" t="str">
        <f t="shared" ca="1" si="0"/>
        <v xml:space="preserve"> </v>
      </c>
      <c r="F34" s="67">
        <f t="shared" ca="1" si="7"/>
        <v>44</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22">
        <f t="shared" ca="1" si="6"/>
        <v>44143</v>
      </c>
      <c r="B35" s="87">
        <f t="shared" ca="1" si="9"/>
        <v>44137</v>
      </c>
      <c r="C35" s="67">
        <v>30</v>
      </c>
      <c r="D35" s="67" t="str">
        <f t="shared" ca="1" si="10"/>
        <v/>
      </c>
      <c r="E35" s="67" t="str">
        <f t="shared" ca="1" si="0"/>
        <v>Nov</v>
      </c>
      <c r="F35" s="67">
        <f t="shared" ca="1" si="7"/>
        <v>45</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22">
        <f t="shared" ca="1" si="6"/>
        <v>44150</v>
      </c>
      <c r="B36" s="87">
        <f t="shared" ca="1" si="9"/>
        <v>44144</v>
      </c>
      <c r="C36" s="67">
        <v>31</v>
      </c>
      <c r="D36" s="67" t="str">
        <f t="shared" ca="1" si="10"/>
        <v/>
      </c>
      <c r="E36" s="67" t="str">
        <f t="shared" ca="1" si="0"/>
        <v xml:space="preserve"> </v>
      </c>
      <c r="F36" s="67">
        <f t="shared" ca="1" si="7"/>
        <v>46</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22">
        <f t="shared" ca="1" si="6"/>
        <v>44157</v>
      </c>
      <c r="B37" s="87">
        <f t="shared" ca="1" si="9"/>
        <v>44151</v>
      </c>
      <c r="C37" s="67">
        <v>32</v>
      </c>
      <c r="D37" s="67" t="str">
        <f t="shared" ca="1" si="10"/>
        <v/>
      </c>
      <c r="E37" s="67" t="str">
        <f t="shared" ca="1" si="0"/>
        <v xml:space="preserve"> </v>
      </c>
      <c r="F37" s="67">
        <f t="shared" ca="1" si="7"/>
        <v>47</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22">
        <f t="shared" ca="1" si="6"/>
        <v>44164</v>
      </c>
      <c r="B38" s="87">
        <f t="shared" ca="1" si="9"/>
        <v>44158</v>
      </c>
      <c r="C38" s="67">
        <v>33</v>
      </c>
      <c r="D38" s="67" t="str">
        <f t="shared" ca="1" si="10"/>
        <v/>
      </c>
      <c r="E38" s="67" t="str">
        <f t="shared" ca="1" si="0"/>
        <v xml:space="preserve"> </v>
      </c>
      <c r="F38" s="67">
        <f t="shared" ca="1" si="7"/>
        <v>48</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22">
        <f t="shared" ca="1" si="6"/>
        <v>44171</v>
      </c>
      <c r="B39" s="87">
        <f t="shared" ca="1" si="9"/>
        <v>44165</v>
      </c>
      <c r="C39" s="67">
        <v>34</v>
      </c>
      <c r="D39" s="67" t="str">
        <f t="shared" ca="1" si="10"/>
        <v/>
      </c>
      <c r="E39" s="67" t="str">
        <f t="shared" ca="1" si="0"/>
        <v xml:space="preserve"> </v>
      </c>
      <c r="F39" s="67">
        <f t="shared" ca="1" si="7"/>
        <v>49</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22">
        <f t="shared" ca="1" si="6"/>
        <v>44178</v>
      </c>
      <c r="B40" s="87">
        <f t="shared" ca="1" si="9"/>
        <v>44172</v>
      </c>
      <c r="C40" s="67">
        <v>35</v>
      </c>
      <c r="D40" s="67" t="str">
        <f t="shared" ca="1" si="10"/>
        <v/>
      </c>
      <c r="E40" s="67" t="str">
        <f t="shared" ca="1" si="0"/>
        <v>Dec</v>
      </c>
      <c r="F40" s="67">
        <f t="shared" ca="1" si="7"/>
        <v>50</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22">
        <f t="shared" ca="1" si="6"/>
        <v>44185</v>
      </c>
      <c r="B41" s="87">
        <f t="shared" ca="1" si="9"/>
        <v>44179</v>
      </c>
      <c r="C41" s="67">
        <v>36</v>
      </c>
      <c r="D41" s="67" t="str">
        <f t="shared" ca="1" si="10"/>
        <v/>
      </c>
      <c r="E41" s="67" t="str">
        <f t="shared" ca="1" si="0"/>
        <v xml:space="preserve"> </v>
      </c>
      <c r="F41" s="67">
        <f t="shared" ca="1" si="7"/>
        <v>51</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22">
        <f t="shared" ca="1" si="6"/>
        <v>44192</v>
      </c>
      <c r="B42" s="87">
        <f t="shared" ca="1" si="9"/>
        <v>44186</v>
      </c>
      <c r="C42" s="67">
        <v>37</v>
      </c>
      <c r="D42" s="67" t="str">
        <f t="shared" ca="1" si="10"/>
        <v/>
      </c>
      <c r="E42" s="67" t="str">
        <f t="shared" ca="1" si="0"/>
        <v xml:space="preserve"> </v>
      </c>
      <c r="F42" s="67">
        <f t="shared" ca="1" si="7"/>
        <v>52</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22">
        <f t="shared" ca="1" si="6"/>
        <v>44199</v>
      </c>
      <c r="B43" s="87">
        <f t="shared" ca="1" si="9"/>
        <v>44193</v>
      </c>
      <c r="C43" s="67">
        <v>38</v>
      </c>
      <c r="D43" s="67" t="str">
        <f t="shared" ca="1" si="10"/>
        <v/>
      </c>
      <c r="E43" s="67" t="str">
        <f t="shared" ca="1" si="0"/>
        <v xml:space="preserve"> </v>
      </c>
      <c r="F43" s="67">
        <f t="shared" ca="1" si="7"/>
        <v>53</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22">
        <f t="shared" ca="1" si="6"/>
        <v>44206</v>
      </c>
      <c r="B44" s="87">
        <f t="shared" ca="1" si="9"/>
        <v>44200</v>
      </c>
      <c r="C44" s="67">
        <v>39</v>
      </c>
      <c r="D44" s="67">
        <f t="shared" ca="1" si="10"/>
        <v>2021</v>
      </c>
      <c r="E44" s="67" t="str">
        <f t="shared" ca="1" si="0"/>
        <v>Jan</v>
      </c>
      <c r="F44" s="67">
        <f t="shared" ca="1" si="7"/>
        <v>1</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22">
        <f t="shared" ca="1" si="6"/>
        <v>44213</v>
      </c>
      <c r="B45" s="87">
        <f t="shared" ca="1" si="9"/>
        <v>44207</v>
      </c>
      <c r="C45" s="67">
        <v>40</v>
      </c>
      <c r="D45" s="67" t="str">
        <f t="shared" ca="1" si="10"/>
        <v/>
      </c>
      <c r="E45" s="67" t="str">
        <f t="shared" ca="1" si="0"/>
        <v xml:space="preserve"> </v>
      </c>
      <c r="F45" s="67">
        <f t="shared" ca="1" si="7"/>
        <v>2</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22">
        <f t="shared" ca="1" si="6"/>
        <v>44220</v>
      </c>
      <c r="B46" s="87">
        <f t="shared" ca="1" si="9"/>
        <v>44214</v>
      </c>
      <c r="C46" s="67">
        <v>41</v>
      </c>
      <c r="D46" s="67" t="str">
        <f t="shared" ca="1" si="10"/>
        <v/>
      </c>
      <c r="E46" s="67" t="str">
        <f t="shared" ca="1" si="0"/>
        <v xml:space="preserve"> </v>
      </c>
      <c r="F46" s="67">
        <f t="shared" ca="1" si="7"/>
        <v>3</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22">
        <f t="shared" ca="1" si="6"/>
        <v>44227</v>
      </c>
      <c r="B47" s="87">
        <f t="shared" ca="1" si="9"/>
        <v>44221</v>
      </c>
      <c r="C47" s="67">
        <v>42</v>
      </c>
      <c r="D47" s="67" t="str">
        <f t="shared" ca="1" si="10"/>
        <v/>
      </c>
      <c r="E47" s="67" t="str">
        <f t="shared" ca="1" si="0"/>
        <v xml:space="preserve"> </v>
      </c>
      <c r="F47" s="67">
        <f t="shared" ca="1" si="7"/>
        <v>4</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22">
        <f t="shared" ca="1" si="6"/>
        <v>44234</v>
      </c>
      <c r="B48" s="87">
        <f t="shared" ca="1" si="9"/>
        <v>44228</v>
      </c>
      <c r="C48" s="67">
        <v>43</v>
      </c>
      <c r="D48" s="67" t="str">
        <f t="shared" ca="1" si="10"/>
        <v/>
      </c>
      <c r="E48" s="67" t="str">
        <f t="shared" ca="1" si="0"/>
        <v>Feb</v>
      </c>
      <c r="F48" s="67">
        <f t="shared" ca="1" si="7"/>
        <v>5</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22">
        <f t="shared" ca="1" si="6"/>
        <v>44241</v>
      </c>
      <c r="B49" s="87">
        <f t="shared" ca="1" si="9"/>
        <v>44235</v>
      </c>
      <c r="C49" s="67">
        <v>44</v>
      </c>
      <c r="D49" s="67" t="str">
        <f t="shared" ca="1" si="10"/>
        <v/>
      </c>
      <c r="E49" s="67" t="str">
        <f t="shared" ca="1" si="0"/>
        <v xml:space="preserve"> </v>
      </c>
      <c r="F49" s="67">
        <f t="shared" ca="1" si="7"/>
        <v>6</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22">
        <f t="shared" ca="1" si="6"/>
        <v>44248</v>
      </c>
      <c r="B50" s="87">
        <f t="shared" ca="1" si="9"/>
        <v>44242</v>
      </c>
      <c r="C50" s="67">
        <v>45</v>
      </c>
      <c r="D50" s="67" t="str">
        <f t="shared" ca="1" si="10"/>
        <v/>
      </c>
      <c r="E50" s="67" t="str">
        <f t="shared" ca="1" si="0"/>
        <v xml:space="preserve"> </v>
      </c>
      <c r="F50" s="67">
        <f t="shared" ca="1" si="7"/>
        <v>7</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22">
        <f t="shared" ca="1" si="6"/>
        <v>44255</v>
      </c>
      <c r="B51" s="87">
        <f t="shared" ca="1" si="9"/>
        <v>44249</v>
      </c>
      <c r="C51" s="67">
        <v>46</v>
      </c>
      <c r="D51" s="67" t="str">
        <f t="shared" ca="1" si="10"/>
        <v/>
      </c>
      <c r="E51" s="67" t="str">
        <f t="shared" ca="1" si="0"/>
        <v xml:space="preserve"> </v>
      </c>
      <c r="F51" s="67">
        <f t="shared" ca="1" si="7"/>
        <v>8</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22">
        <f t="shared" ca="1" si="6"/>
        <v>44262</v>
      </c>
      <c r="B52" s="87">
        <f t="shared" ca="1" si="9"/>
        <v>44256</v>
      </c>
      <c r="C52" s="67">
        <v>47</v>
      </c>
      <c r="D52" s="67" t="str">
        <f t="shared" ca="1" si="10"/>
        <v/>
      </c>
      <c r="E52" s="67" t="str">
        <f t="shared" ca="1" si="0"/>
        <v>Mar</v>
      </c>
      <c r="F52" s="67">
        <f t="shared" ca="1" si="7"/>
        <v>9</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22">
        <f t="shared" ca="1" si="6"/>
        <v>44269</v>
      </c>
      <c r="B53" s="87">
        <f t="shared" ca="1" si="9"/>
        <v>44263</v>
      </c>
      <c r="C53" s="67">
        <v>48</v>
      </c>
      <c r="D53" s="67" t="str">
        <f t="shared" ca="1" si="10"/>
        <v/>
      </c>
      <c r="E53" s="67" t="str">
        <f t="shared" ca="1" si="0"/>
        <v xml:space="preserve"> </v>
      </c>
      <c r="F53" s="67">
        <f t="shared" ca="1" si="7"/>
        <v>10</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22">
        <f t="shared" ca="1" si="6"/>
        <v>44276</v>
      </c>
      <c r="B54" s="87">
        <f t="shared" ca="1" si="9"/>
        <v>44270</v>
      </c>
      <c r="C54" s="67">
        <v>49</v>
      </c>
      <c r="D54" s="67" t="str">
        <f t="shared" ca="1" si="10"/>
        <v/>
      </c>
      <c r="E54" s="67" t="str">
        <f t="shared" ca="1" si="0"/>
        <v xml:space="preserve"> </v>
      </c>
      <c r="F54" s="67">
        <f t="shared" ca="1" si="7"/>
        <v>11</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22">
        <f t="shared" ca="1" si="6"/>
        <v>44283</v>
      </c>
      <c r="B55" s="87">
        <f t="shared" ca="1" si="9"/>
        <v>44277</v>
      </c>
      <c r="C55" s="67">
        <v>50</v>
      </c>
      <c r="D55" s="67" t="str">
        <f t="shared" ca="1" si="10"/>
        <v/>
      </c>
      <c r="E55" s="67" t="str">
        <f ca="1">IF(TEXT(B55,"MMM")=TEXT(B54,"MMM")," ",TEXT(B55,"MMM"))</f>
        <v xml:space="preserve"> </v>
      </c>
      <c r="F55" s="67">
        <f t="shared" ca="1" si="7"/>
        <v>12</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22">
        <f t="shared" ca="1" si="6"/>
        <v>44290</v>
      </c>
      <c r="B56" s="87">
        <f t="shared" ca="1" si="9"/>
        <v>44284</v>
      </c>
      <c r="C56" s="67">
        <v>51</v>
      </c>
      <c r="D56" s="67" t="str">
        <f t="shared" ca="1" si="10"/>
        <v/>
      </c>
      <c r="E56" s="67" t="str">
        <f t="shared" ref="E56:E57" ca="1" si="25">IF(TEXT(B56,"MMM")=TEXT(B55,"MMM")," ",TEXT(B56,"MMM"))</f>
        <v xml:space="preserve"> </v>
      </c>
      <c r="F56" s="67">
        <f t="shared" ca="1" si="7"/>
        <v>13</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22">
        <f t="shared" ca="1" si="6"/>
        <v>44297</v>
      </c>
      <c r="B57" s="87">
        <f t="shared" ca="1" si="9"/>
        <v>44291</v>
      </c>
      <c r="C57" s="67">
        <v>52</v>
      </c>
      <c r="D57" s="67" t="str">
        <f t="shared" ca="1" si="10"/>
        <v/>
      </c>
      <c r="E57" s="67" t="str">
        <f t="shared" ca="1" si="25"/>
        <v>Apr</v>
      </c>
      <c r="F57" s="67">
        <f t="shared" ca="1" si="7"/>
        <v>14</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(points)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16</v>
      </c>
      <c r="BL3" s="59">
        <f ca="1">OFFSET('Critical resources (hide)'!$F$6,COLUMN(B1)-1,0,1,1)</f>
        <v>17</v>
      </c>
      <c r="BM3" s="59">
        <f ca="1">OFFSET('Critical resources (hide)'!$F$6,COLUMN(C1)-1,0,1,1)</f>
        <v>18</v>
      </c>
      <c r="BN3" s="59">
        <f ca="1">OFFSET('Critical resources (hide)'!$F$6,COLUMN(D1)-1,0,1,1)</f>
        <v>19</v>
      </c>
      <c r="BO3" s="59">
        <f ca="1">OFFSET('Critical resources (hide)'!$F$6,COLUMN(E1)-1,0,1,1)</f>
        <v>20</v>
      </c>
      <c r="BP3" s="59">
        <f ca="1">OFFSET('Critical resources (hide)'!$F$6,COLUMN(F1)-1,0,1,1)</f>
        <v>21</v>
      </c>
      <c r="BQ3" s="59">
        <f ca="1">OFFSET('Critical resources (hide)'!$F$6,COLUMN(G1)-1,0,1,1)</f>
        <v>22</v>
      </c>
      <c r="BR3" s="59">
        <f ca="1">OFFSET('Critical resources (hide)'!$F$6,COLUMN(H1)-1,0,1,1)</f>
        <v>23</v>
      </c>
      <c r="BS3" s="59">
        <f ca="1">OFFSET('Critical resources (hide)'!$F$6,COLUMN(I1)-1,0,1,1)</f>
        <v>24</v>
      </c>
      <c r="BT3" s="59">
        <f ca="1">OFFSET('Critical resources (hide)'!$F$6,COLUMN(J1)-1,0,1,1)</f>
        <v>25</v>
      </c>
      <c r="BU3" s="59">
        <f ca="1">OFFSET('Critical resources (hide)'!$F$6,COLUMN(K1)-1,0,1,1)</f>
        <v>26</v>
      </c>
      <c r="BV3" s="59">
        <f ca="1">OFFSET('Critical resources (hide)'!$F$6,COLUMN(L1)-1,0,1,1)</f>
        <v>27</v>
      </c>
      <c r="BW3" s="59">
        <f ca="1">OFFSET('Critical resources (hide)'!$F$6,COLUMN(M1)-1,0,1,1)</f>
        <v>28</v>
      </c>
      <c r="BX3" s="59">
        <f ca="1">OFFSET('Critical resources (hide)'!$F$6,COLUMN(N1)-1,0,1,1)</f>
        <v>29</v>
      </c>
      <c r="BY3" s="59">
        <f ca="1">OFFSET('Critical resources (hide)'!$F$6,COLUMN(O1)-1,0,1,1)</f>
        <v>30</v>
      </c>
      <c r="BZ3" s="59">
        <f ca="1">OFFSET('Critical resources (hide)'!$F$6,COLUMN(P1)-1,0,1,1)</f>
        <v>31</v>
      </c>
      <c r="CA3" s="59">
        <f ca="1">OFFSET('Critical resources (hide)'!$F$6,COLUMN(Q1)-1,0,1,1)</f>
        <v>32</v>
      </c>
      <c r="CB3" s="59">
        <f ca="1">OFFSET('Critical resources (hide)'!$F$6,COLUMN(R1)-1,0,1,1)</f>
        <v>33</v>
      </c>
      <c r="CC3" s="59">
        <f ca="1">OFFSET('Critical resources (hide)'!$F$6,COLUMN(S1)-1,0,1,1)</f>
        <v>34</v>
      </c>
      <c r="CD3" s="59">
        <f ca="1">OFFSET('Critical resources (hide)'!$F$6,COLUMN(T1)-1,0,1,1)</f>
        <v>35</v>
      </c>
      <c r="CE3" s="59">
        <f ca="1">OFFSET('Critical resources (hide)'!$F$6,COLUMN(U1)-1,0,1,1)</f>
        <v>36</v>
      </c>
      <c r="CF3" s="59">
        <f ca="1">OFFSET('Critical resources (hide)'!$F$6,COLUMN(V1)-1,0,1,1)</f>
        <v>37</v>
      </c>
      <c r="CG3" s="59">
        <f ca="1">OFFSET('Critical resources (hide)'!$F$6,COLUMN(W1)-1,0,1,1)</f>
        <v>38</v>
      </c>
      <c r="CH3" s="59">
        <f ca="1">OFFSET('Critical resources (hide)'!$F$6,COLUMN(X1)-1,0,1,1)</f>
        <v>39</v>
      </c>
      <c r="CI3" s="59">
        <f ca="1">OFFSET('Critical resources (hide)'!$F$6,COLUMN(Y1)-1,0,1,1)</f>
        <v>40</v>
      </c>
      <c r="CJ3" s="59">
        <f ca="1">OFFSET('Critical resources (hide)'!$F$6,COLUMN(Z1)-1,0,1,1)</f>
        <v>41</v>
      </c>
      <c r="CK3" s="59">
        <f ca="1">OFFSET('Critical resources (hide)'!$F$6,COLUMN(AA1)-1,0,1,1)</f>
        <v>42</v>
      </c>
      <c r="CL3" s="59">
        <f ca="1">OFFSET('Critical resources (hide)'!$F$6,COLUMN(AB1)-1,0,1,1)</f>
        <v>43</v>
      </c>
      <c r="CM3" s="59">
        <f ca="1">OFFSET('Critical resources (hide)'!$F$6,COLUMN(AC1)-1,0,1,1)</f>
        <v>44</v>
      </c>
      <c r="CN3" s="59">
        <f ca="1">OFFSET('Critical resources (hide)'!$F$6,COLUMN(AD1)-1,0,1,1)</f>
        <v>45</v>
      </c>
      <c r="CO3" s="59">
        <f ca="1">OFFSET('Critical resources (hide)'!$F$6,COLUMN(AE1)-1,0,1,1)</f>
        <v>46</v>
      </c>
      <c r="CP3" s="59">
        <f ca="1">OFFSET('Critical resources (hide)'!$F$6,COLUMN(AF1)-1,0,1,1)</f>
        <v>47</v>
      </c>
      <c r="CQ3" s="59">
        <f ca="1">OFFSET('Critical resources (hide)'!$F$6,COLUMN(AG1)-1,0,1,1)</f>
        <v>48</v>
      </c>
      <c r="CR3" s="59">
        <f ca="1">OFFSET('Critical resources (hide)'!$F$6,COLUMN(AH1)-1,0,1,1)</f>
        <v>49</v>
      </c>
      <c r="CS3" s="59">
        <f ca="1">OFFSET('Critical resources (hide)'!$F$6,COLUMN(AI1)-1,0,1,1)</f>
        <v>50</v>
      </c>
      <c r="CT3" s="59">
        <f ca="1">OFFSET('Critical resources (hide)'!$F$6,COLUMN(AJ1)-1,0,1,1)</f>
        <v>51</v>
      </c>
      <c r="CU3" s="59">
        <f ca="1">OFFSET('Critical resources (hide)'!$F$6,COLUMN(AK1)-1,0,1,1)</f>
        <v>52</v>
      </c>
      <c r="CV3" s="59">
        <f ca="1">OFFSET('Critical resources (hide)'!$F$6,COLUMN(AL1)-1,0,1,1)</f>
        <v>53</v>
      </c>
      <c r="CW3" s="59">
        <f ca="1">OFFSET('Critical resources (hide)'!$F$6,COLUMN(AM1)-1,0,1,1)</f>
        <v>1</v>
      </c>
      <c r="CX3" s="59">
        <f ca="1">OFFSET('Critical resources (hide)'!$F$6,COLUMN(AN1)-1,0,1,1)</f>
        <v>2</v>
      </c>
      <c r="CY3" s="59">
        <f ca="1">OFFSET('Critical resources (hide)'!$F$6,COLUMN(AO1)-1,0,1,1)</f>
        <v>3</v>
      </c>
      <c r="CZ3" s="59">
        <f ca="1">OFFSET('Critical resources (hide)'!$F$6,COLUMN(AP1)-1,0,1,1)</f>
        <v>4</v>
      </c>
      <c r="DA3" s="59">
        <f ca="1">OFFSET('Critical resources (hide)'!$F$6,COLUMN(AQ1)-1,0,1,1)</f>
        <v>5</v>
      </c>
      <c r="DB3" s="59">
        <f ca="1">OFFSET('Critical resources (hide)'!$F$6,COLUMN(AR1)-1,0,1,1)</f>
        <v>6</v>
      </c>
      <c r="DC3" s="59">
        <f ca="1">OFFSET('Critical resources (hide)'!$F$6,COLUMN(AS1)-1,0,1,1)</f>
        <v>7</v>
      </c>
      <c r="DD3" s="59">
        <f ca="1">OFFSET('Critical resources (hide)'!$F$6,COLUMN(AT1)-1,0,1,1)</f>
        <v>8</v>
      </c>
      <c r="DE3" s="59">
        <f ca="1">OFFSET('Critical resources (hide)'!$F$6,COLUMN(AU1)-1,0,1,1)</f>
        <v>9</v>
      </c>
      <c r="DF3" s="59">
        <f ca="1">OFFSET('Critical resources (hide)'!$F$6,COLUMN(AV1)-1,0,1,1)</f>
        <v>10</v>
      </c>
      <c r="DG3" s="59">
        <f ca="1">OFFSET('Critical resources (hide)'!$F$6,COLUMN(AW1)-1,0,1,1)</f>
        <v>11</v>
      </c>
      <c r="DH3" s="59">
        <f ca="1">OFFSET('Critical resources (hide)'!$F$6,COLUMN(AX1)-1,0,1,1)</f>
        <v>12</v>
      </c>
      <c r="DI3" s="59">
        <f ca="1">OFFSET('Critical resources (hide)'!$F$6,COLUMN(AY1)-1,0,1,1)</f>
        <v>13</v>
      </c>
      <c r="DJ3" s="59">
        <f ca="1">OFFSET('Critical resources (hide)'!$F$6,COLUMN(AZ1)-1,0,1,1)</f>
        <v>14</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4">
        <f t="shared" ref="BK4:CP4" si="0">SUM(BK5:BK104)</f>
        <v>20</v>
      </c>
      <c r="BL4" s="314">
        <f t="shared" si="0"/>
        <v>20</v>
      </c>
      <c r="BM4" s="314">
        <f t="shared" si="0"/>
        <v>20</v>
      </c>
      <c r="BN4" s="314">
        <f t="shared" si="0"/>
        <v>20</v>
      </c>
      <c r="BO4" s="314">
        <f t="shared" si="0"/>
        <v>20</v>
      </c>
      <c r="BP4" s="314">
        <f t="shared" si="0"/>
        <v>20</v>
      </c>
      <c r="BQ4" s="314">
        <f t="shared" si="0"/>
        <v>40</v>
      </c>
      <c r="BR4" s="314">
        <f t="shared" si="0"/>
        <v>80</v>
      </c>
      <c r="BS4" s="314">
        <f t="shared" si="0"/>
        <v>120</v>
      </c>
      <c r="BT4" s="314">
        <f t="shared" si="0"/>
        <v>150</v>
      </c>
      <c r="BU4" s="314">
        <f t="shared" si="0"/>
        <v>180</v>
      </c>
      <c r="BV4" s="314">
        <f t="shared" si="0"/>
        <v>180</v>
      </c>
      <c r="BW4" s="314">
        <f t="shared" ca="1" si="0"/>
        <v>161.53846153846155</v>
      </c>
      <c r="BX4" s="314">
        <f t="shared" ca="1" si="0"/>
        <v>161.53846153846155</v>
      </c>
      <c r="BY4" s="314">
        <f t="shared" ca="1" si="0"/>
        <v>161.53846153846155</v>
      </c>
      <c r="BZ4" s="314">
        <f t="shared" ca="1" si="0"/>
        <v>161.53846153846155</v>
      </c>
      <c r="CA4" s="314">
        <f t="shared" ca="1" si="0"/>
        <v>161.53846153846155</v>
      </c>
      <c r="CB4" s="314">
        <f t="shared" ca="1" si="0"/>
        <v>161.53846153846155</v>
      </c>
      <c r="CC4" s="314">
        <f t="shared" ca="1" si="0"/>
        <v>161.53846153846155</v>
      </c>
      <c r="CD4" s="314">
        <f t="shared" ca="1" si="0"/>
        <v>161.53846153846155</v>
      </c>
      <c r="CE4" s="314">
        <f t="shared" ca="1" si="0"/>
        <v>161.53846153846155</v>
      </c>
      <c r="CF4" s="314">
        <f t="shared" ca="1" si="0"/>
        <v>161.53846153846155</v>
      </c>
      <c r="CG4" s="314">
        <f t="shared" ca="1" si="0"/>
        <v>161.53846153846155</v>
      </c>
      <c r="CH4" s="314">
        <f t="shared" ca="1" si="0"/>
        <v>161.53846153846155</v>
      </c>
      <c r="CI4" s="314">
        <f t="shared" ca="1" si="0"/>
        <v>161.53846153846155</v>
      </c>
      <c r="CJ4" s="314">
        <f t="shared" ca="1" si="0"/>
        <v>161.53846153846155</v>
      </c>
      <c r="CK4" s="314">
        <f t="shared" ca="1" si="0"/>
        <v>161.53846153846155</v>
      </c>
      <c r="CL4" s="314">
        <f t="shared" ca="1" si="0"/>
        <v>161.53846153846155</v>
      </c>
      <c r="CM4" s="314">
        <f t="shared" ca="1" si="0"/>
        <v>161.53846153846155</v>
      </c>
      <c r="CN4" s="314">
        <f t="shared" ca="1" si="0"/>
        <v>161.53846153846155</v>
      </c>
      <c r="CO4" s="314">
        <f t="shared" ca="1" si="0"/>
        <v>161.53846153846155</v>
      </c>
      <c r="CP4" s="314">
        <f t="shared" ca="1" si="0"/>
        <v>161.53846153846155</v>
      </c>
      <c r="CQ4" s="314">
        <f t="shared" ref="CQ4:DJ4" ca="1" si="1">SUM(CQ5:CQ104)</f>
        <v>161.53846153846155</v>
      </c>
      <c r="CR4" s="314">
        <f t="shared" ca="1" si="1"/>
        <v>161.53846153846155</v>
      </c>
      <c r="CS4" s="314">
        <f t="shared" ca="1" si="1"/>
        <v>161.53846153846155</v>
      </c>
      <c r="CT4" s="314">
        <f t="shared" ca="1" si="1"/>
        <v>161.53846153846155</v>
      </c>
      <c r="CU4" s="314">
        <f t="shared" ca="1" si="1"/>
        <v>161.53846153846155</v>
      </c>
      <c r="CV4" s="314">
        <f t="shared" ca="1" si="1"/>
        <v>161.53846153846155</v>
      </c>
      <c r="CW4" s="314">
        <f t="shared" ca="1" si="1"/>
        <v>161.53846153846155</v>
      </c>
      <c r="CX4" s="314">
        <f t="shared" ca="1" si="1"/>
        <v>161.53846153846155</v>
      </c>
      <c r="CY4" s="314">
        <f t="shared" ca="1" si="1"/>
        <v>161.53846153846155</v>
      </c>
      <c r="CZ4" s="314">
        <f t="shared" ca="1" si="1"/>
        <v>161.53846153846155</v>
      </c>
      <c r="DA4" s="314">
        <f t="shared" ca="1" si="1"/>
        <v>161.53846153846155</v>
      </c>
      <c r="DB4" s="314">
        <f t="shared" ca="1" si="1"/>
        <v>161.53846153846155</v>
      </c>
      <c r="DC4" s="314">
        <f t="shared" ca="1" si="1"/>
        <v>161.53846153846155</v>
      </c>
      <c r="DD4" s="314">
        <f t="shared" ca="1" si="1"/>
        <v>161.53846153846155</v>
      </c>
      <c r="DE4" s="314">
        <f t="shared" ca="1" si="1"/>
        <v>161.53846153846155</v>
      </c>
      <c r="DF4" s="314">
        <f t="shared" ca="1" si="1"/>
        <v>161.53846153846155</v>
      </c>
      <c r="DG4" s="314">
        <f t="shared" ca="1" si="1"/>
        <v>161.53846153846155</v>
      </c>
      <c r="DH4" s="314">
        <f t="shared" ca="1" si="1"/>
        <v>161.53846153846155</v>
      </c>
      <c r="DI4" s="314">
        <f t="shared" ca="1" si="1"/>
        <v>161.53846153846155</v>
      </c>
      <c r="DJ4" s="314">
        <f t="shared" ca="1" si="1"/>
        <v>161.53846153846155</v>
      </c>
      <c r="DK4" s="137">
        <f ca="1">SUM(BK4:DJ4)</f>
        <v>7331.5384615384664</v>
      </c>
      <c r="DL4" s="5">
        <f>SUM(DL5:DL104)</f>
        <v>8400</v>
      </c>
    </row>
    <row r="5" spans="2:120" x14ac:dyDescent="0.25">
      <c r="C5" s="67" t="str">
        <f>ROW(A1)&amp;". "&amp;Capacity!B17</f>
        <v>1. Clinic 1</v>
      </c>
      <c r="D5">
        <f>'Capacity setup'!C12</f>
        <v>0</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IF(ROW(C1)&lt;=Capacity!$A$16,IF('Capacity summary'!$D$14="No",SUM(H5:BG5),'Capacity summary'!$E124),0)</f>
        <v>52</v>
      </c>
      <c r="BI5" s="5">
        <f>IF(BH5&gt;0,IF(BH5&lt;Capacity!E17,Capacity!F17,Capacity!H17/'Capacity calculation (hide)'!BH5),"")</f>
        <v>161.53846153846155</v>
      </c>
      <c r="BK5" s="314">
        <f>IF($BI5&lt;&gt;"",IF('Capacity summary'!$D$14="Yes",IF(COUNTBLANK('Capacity summary'!$H124:$BG124)&lt;52,IF('Capacity summary'!H124&lt;&gt;"",IF(LOWER('Capacity summary'!H124)="x",$BI5*H5,VALUE('Capacity summary'!H124)),0),H5*$BI5),H5*$BI5),0)</f>
        <v>20</v>
      </c>
      <c r="BL5" s="314">
        <f>IF($BI5&lt;&gt;"",IF('Capacity summary'!$D$14="Yes",IF(COUNTBLANK('Capacity summary'!$H124:$BG124)&lt;52,IF('Capacity summary'!I124&lt;&gt;"",IF(LOWER('Capacity summary'!I124)="x",$BI5*I5,VALUE('Capacity summary'!I124)),0),I5*$BI5),I5*$BI5),0)</f>
        <v>20</v>
      </c>
      <c r="BM5" s="314">
        <f>IF($BI5&lt;&gt;"",IF('Capacity summary'!$D$14="Yes",IF(COUNTBLANK('Capacity summary'!$H124:$BG124)&lt;52,IF('Capacity summary'!J124&lt;&gt;"",IF(LOWER('Capacity summary'!J124)="x",$BI5*J5,VALUE('Capacity summary'!J124)),0),J5*$BI5),J5*$BI5),0)</f>
        <v>20</v>
      </c>
      <c r="BN5" s="314">
        <f>IF($BI5&lt;&gt;"",IF('Capacity summary'!$D$14="Yes",IF(COUNTBLANK('Capacity summary'!$H124:$BG124)&lt;52,IF('Capacity summary'!K124&lt;&gt;"",IF(LOWER('Capacity summary'!K124)="x",$BI5*K5,VALUE('Capacity summary'!K124)),0),K5*$BI5),K5*$BI5),0)</f>
        <v>20</v>
      </c>
      <c r="BO5" s="314">
        <f>IF($BI5&lt;&gt;"",IF('Capacity summary'!$D$14="Yes",IF(COUNTBLANK('Capacity summary'!$H124:$BG124)&lt;52,IF('Capacity summary'!L124&lt;&gt;"",IF(LOWER('Capacity summary'!L124)="x",$BI5*L5,VALUE('Capacity summary'!L124)),0),L5*$BI5),L5*$BI5),0)</f>
        <v>20</v>
      </c>
      <c r="BP5" s="314">
        <f>IF($BI5&lt;&gt;"",IF('Capacity summary'!$D$14="Yes",IF(COUNTBLANK('Capacity summary'!$H124:$BG124)&lt;52,IF('Capacity summary'!M124&lt;&gt;"",IF(LOWER('Capacity summary'!M124)="x",$BI5*M5,VALUE('Capacity summary'!M124)),0),M5*$BI5),M5*$BI5),0)</f>
        <v>20</v>
      </c>
      <c r="BQ5" s="314">
        <f>IF($BI5&lt;&gt;"",IF('Capacity summary'!$D$14="Yes",IF(COUNTBLANK('Capacity summary'!$H124:$BG124)&lt;52,IF('Capacity summary'!N124&lt;&gt;"",IF(LOWER('Capacity summary'!N124)="x",$BI5*N5,VALUE('Capacity summary'!N124)),0),N5*$BI5),N5*$BI5),0)</f>
        <v>40</v>
      </c>
      <c r="BR5" s="314">
        <f>IF($BI5&lt;&gt;"",IF('Capacity summary'!$D$14="Yes",IF(COUNTBLANK('Capacity summary'!$H124:$BG124)&lt;52,IF('Capacity summary'!O124&lt;&gt;"",IF(LOWER('Capacity summary'!O124)="x",$BI5*O5,VALUE('Capacity summary'!O124)),0),O5*$BI5),O5*$BI5),0)</f>
        <v>80</v>
      </c>
      <c r="BS5" s="314">
        <f>IF($BI5&lt;&gt;"",IF('Capacity summary'!$D$14="Yes",IF(COUNTBLANK('Capacity summary'!$H124:$BG124)&lt;52,IF('Capacity summary'!P124&lt;&gt;"",IF(LOWER('Capacity summary'!P124)="x",$BI5*P5,VALUE('Capacity summary'!P124)),0),P5*$BI5),P5*$BI5),0)</f>
        <v>120</v>
      </c>
      <c r="BT5" s="314">
        <f>IF($BI5&lt;&gt;"",IF('Capacity summary'!$D$14="Yes",IF(COUNTBLANK('Capacity summary'!$H124:$BG124)&lt;52,IF('Capacity summary'!Q124&lt;&gt;"",IF(LOWER('Capacity summary'!Q124)="x",$BI5*Q5,VALUE('Capacity summary'!Q124)),0),Q5*$BI5),Q5*$BI5),0)</f>
        <v>150</v>
      </c>
      <c r="BU5" s="314">
        <f>IF($BI5&lt;&gt;"",IF('Capacity summary'!$D$14="Yes",IF(COUNTBLANK('Capacity summary'!$H124:$BG124)&lt;52,IF('Capacity summary'!R124&lt;&gt;"",IF(LOWER('Capacity summary'!R124)="x",$BI5*R5,VALUE('Capacity summary'!R124)),0),R5*$BI5),R5*$BI5),0)</f>
        <v>180</v>
      </c>
      <c r="BV5" s="314">
        <f>IF($BI5&lt;&gt;"",IF('Capacity summary'!$D$14="Yes",IF(COUNTBLANK('Capacity summary'!$H124:$BG124)&lt;52,IF('Capacity summary'!S124&lt;&gt;"",IF(LOWER('Capacity summary'!S124)="x",$BI5*S5,VALUE('Capacity summary'!S124)),0),S5*$BI5),S5*$BI5),0)</f>
        <v>180</v>
      </c>
      <c r="BW5" s="314">
        <f ca="1">IF($BI5&lt;&gt;"",IF('Capacity summary'!$D$14="Yes",IF(COUNTBLANK('Capacity summary'!$H124:$BG124)&lt;52,IF('Capacity summary'!T124&lt;&gt;"",IF(LOWER('Capacity summary'!T124)="x",$BI5*T5,VALUE('Capacity summary'!T124)),0),T5*$BI5),T5*$BI5),0)</f>
        <v>161.53846153846155</v>
      </c>
      <c r="BX5" s="314">
        <f ca="1">IF($BI5&lt;&gt;"",IF('Capacity summary'!$D$14="Yes",IF(COUNTBLANK('Capacity summary'!$H124:$BG124)&lt;52,IF('Capacity summary'!U124&lt;&gt;"",IF(LOWER('Capacity summary'!U124)="x",$BI5*U5,VALUE('Capacity summary'!U124)),0),U5*$BI5),U5*$BI5),0)</f>
        <v>161.53846153846155</v>
      </c>
      <c r="BY5" s="314">
        <f ca="1">IF($BI5&lt;&gt;"",IF('Capacity summary'!$D$14="Yes",IF(COUNTBLANK('Capacity summary'!$H124:$BG124)&lt;52,IF('Capacity summary'!V124&lt;&gt;"",IF(LOWER('Capacity summary'!V124)="x",$BI5*V5,VALUE('Capacity summary'!V124)),0),V5*$BI5),V5*$BI5),0)</f>
        <v>161.53846153846155</v>
      </c>
      <c r="BZ5" s="314">
        <f ca="1">IF($BI5&lt;&gt;"",IF('Capacity summary'!$D$14="Yes",IF(COUNTBLANK('Capacity summary'!$H124:$BG124)&lt;52,IF('Capacity summary'!W124&lt;&gt;"",IF(LOWER('Capacity summary'!W124)="x",$BI5*W5,VALUE('Capacity summary'!W124)),0),W5*$BI5),W5*$BI5),0)</f>
        <v>161.53846153846155</v>
      </c>
      <c r="CA5" s="314">
        <f ca="1">IF($BI5&lt;&gt;"",IF('Capacity summary'!$D$14="Yes",IF(COUNTBLANK('Capacity summary'!$H124:$BG124)&lt;52,IF('Capacity summary'!X124&lt;&gt;"",IF(LOWER('Capacity summary'!X124)="x",$BI5*X5,VALUE('Capacity summary'!X124)),0),X5*$BI5),X5*$BI5),0)</f>
        <v>161.53846153846155</v>
      </c>
      <c r="CB5" s="314">
        <f ca="1">IF($BI5&lt;&gt;"",IF('Capacity summary'!$D$14="Yes",IF(COUNTBLANK('Capacity summary'!$H124:$BG124)&lt;52,IF('Capacity summary'!Y124&lt;&gt;"",IF(LOWER('Capacity summary'!Y124)="x",$BI5*Y5,VALUE('Capacity summary'!Y124)),0),Y5*$BI5),Y5*$BI5),0)</f>
        <v>161.53846153846155</v>
      </c>
      <c r="CC5" s="314">
        <f ca="1">IF($BI5&lt;&gt;"",IF('Capacity summary'!$D$14="Yes",IF(COUNTBLANK('Capacity summary'!$H124:$BG124)&lt;52,IF('Capacity summary'!Z124&lt;&gt;"",IF(LOWER('Capacity summary'!Z124)="x",$BI5*Z5,VALUE('Capacity summary'!Z124)),0),Z5*$BI5),Z5*$BI5),0)</f>
        <v>161.53846153846155</v>
      </c>
      <c r="CD5" s="314">
        <f ca="1">IF($BI5&lt;&gt;"",IF('Capacity summary'!$D$14="Yes",IF(COUNTBLANK('Capacity summary'!$H124:$BG124)&lt;52,IF('Capacity summary'!AA124&lt;&gt;"",IF(LOWER('Capacity summary'!AA124)="x",$BI5*AA5,VALUE('Capacity summary'!AA124)),0),AA5*$BI5),AA5*$BI5),0)</f>
        <v>161.53846153846155</v>
      </c>
      <c r="CE5" s="314">
        <f ca="1">IF($BI5&lt;&gt;"",IF('Capacity summary'!$D$14="Yes",IF(COUNTBLANK('Capacity summary'!$H124:$BG124)&lt;52,IF('Capacity summary'!AB124&lt;&gt;"",IF(LOWER('Capacity summary'!AB124)="x",$BI5*AB5,VALUE('Capacity summary'!AB124)),0),AB5*$BI5),AB5*$BI5),0)</f>
        <v>161.53846153846155</v>
      </c>
      <c r="CF5" s="314">
        <f ca="1">IF($BI5&lt;&gt;"",IF('Capacity summary'!$D$14="Yes",IF(COUNTBLANK('Capacity summary'!$H124:$BG124)&lt;52,IF('Capacity summary'!AC124&lt;&gt;"",IF(LOWER('Capacity summary'!AC124)="x",$BI5*AC5,VALUE('Capacity summary'!AC124)),0),AC5*$BI5),AC5*$BI5),0)</f>
        <v>161.53846153846155</v>
      </c>
      <c r="CG5" s="314">
        <f ca="1">IF($BI5&lt;&gt;"",IF('Capacity summary'!$D$14="Yes",IF(COUNTBLANK('Capacity summary'!$H124:$BG124)&lt;52,IF('Capacity summary'!AD124&lt;&gt;"",IF(LOWER('Capacity summary'!AD124)="x",$BI5*AD5,VALUE('Capacity summary'!AD124)),0),AD5*$BI5),AD5*$BI5),0)</f>
        <v>161.53846153846155</v>
      </c>
      <c r="CH5" s="314">
        <f ca="1">IF($BI5&lt;&gt;"",IF('Capacity summary'!$D$14="Yes",IF(COUNTBLANK('Capacity summary'!$H124:$BG124)&lt;52,IF('Capacity summary'!AE124&lt;&gt;"",IF(LOWER('Capacity summary'!AE124)="x",$BI5*AE5,VALUE('Capacity summary'!AE124)),0),AE5*$BI5),AE5*$BI5),0)</f>
        <v>161.53846153846155</v>
      </c>
      <c r="CI5" s="314">
        <f ca="1">IF($BI5&lt;&gt;"",IF('Capacity summary'!$D$14="Yes",IF(COUNTBLANK('Capacity summary'!$H124:$BG124)&lt;52,IF('Capacity summary'!AF124&lt;&gt;"",IF(LOWER('Capacity summary'!AF124)="x",$BI5*AF5,VALUE('Capacity summary'!AF124)),0),AF5*$BI5),AF5*$BI5),0)</f>
        <v>161.53846153846155</v>
      </c>
      <c r="CJ5" s="314">
        <f ca="1">IF($BI5&lt;&gt;"",IF('Capacity summary'!$D$14="Yes",IF(COUNTBLANK('Capacity summary'!$H124:$BG124)&lt;52,IF('Capacity summary'!AG124&lt;&gt;"",IF(LOWER('Capacity summary'!AG124)="x",$BI5*AG5,VALUE('Capacity summary'!AG124)),0),AG5*$BI5),AG5*$BI5),0)</f>
        <v>161.53846153846155</v>
      </c>
      <c r="CK5" s="314">
        <f ca="1">IF($BI5&lt;&gt;"",IF('Capacity summary'!$D$14="Yes",IF(COUNTBLANK('Capacity summary'!$H124:$BG124)&lt;52,IF('Capacity summary'!AH124&lt;&gt;"",IF(LOWER('Capacity summary'!AH124)="x",$BI5*AH5,VALUE('Capacity summary'!AH124)),0),AH5*$BI5),AH5*$BI5),0)</f>
        <v>161.53846153846155</v>
      </c>
      <c r="CL5" s="314">
        <f ca="1">IF($BI5&lt;&gt;"",IF('Capacity summary'!$D$14="Yes",IF(COUNTBLANK('Capacity summary'!$H124:$BG124)&lt;52,IF('Capacity summary'!AI124&lt;&gt;"",IF(LOWER('Capacity summary'!AI124)="x",$BI5*AI5,VALUE('Capacity summary'!AI124)),0),AI5*$BI5),AI5*$BI5),0)</f>
        <v>161.53846153846155</v>
      </c>
      <c r="CM5" s="314">
        <f ca="1">IF($BI5&lt;&gt;"",IF('Capacity summary'!$D$14="Yes",IF(COUNTBLANK('Capacity summary'!$H124:$BG124)&lt;52,IF('Capacity summary'!AJ124&lt;&gt;"",IF(LOWER('Capacity summary'!AJ124)="x",$BI5*AJ5,VALUE('Capacity summary'!AJ124)),0),AJ5*$BI5),AJ5*$BI5),0)</f>
        <v>161.53846153846155</v>
      </c>
      <c r="CN5" s="314">
        <f ca="1">IF($BI5&lt;&gt;"",IF('Capacity summary'!$D$14="Yes",IF(COUNTBLANK('Capacity summary'!$H124:$BG124)&lt;52,IF('Capacity summary'!AK124&lt;&gt;"",IF(LOWER('Capacity summary'!AK124)="x",$BI5*AK5,VALUE('Capacity summary'!AK124)),0),AK5*$BI5),AK5*$BI5),0)</f>
        <v>161.53846153846155</v>
      </c>
      <c r="CO5" s="314">
        <f ca="1">IF($BI5&lt;&gt;"",IF('Capacity summary'!$D$14="Yes",IF(COUNTBLANK('Capacity summary'!$H124:$BG124)&lt;52,IF('Capacity summary'!AL124&lt;&gt;"",IF(LOWER('Capacity summary'!AL124)="x",$BI5*AL5,VALUE('Capacity summary'!AL124)),0),AL5*$BI5),AL5*$BI5),0)</f>
        <v>161.53846153846155</v>
      </c>
      <c r="CP5" s="314">
        <f ca="1">IF($BI5&lt;&gt;"",IF('Capacity summary'!$D$14="Yes",IF(COUNTBLANK('Capacity summary'!$H124:$BG124)&lt;52,IF('Capacity summary'!AM124&lt;&gt;"",IF(LOWER('Capacity summary'!AM124)="x",$BI5*AM5,VALUE('Capacity summary'!AM124)),0),AM5*$BI5),AM5*$BI5),0)</f>
        <v>161.53846153846155</v>
      </c>
      <c r="CQ5" s="314">
        <f ca="1">IF($BI5&lt;&gt;"",IF('Capacity summary'!$D$14="Yes",IF(COUNTBLANK('Capacity summary'!$H124:$BG124)&lt;52,IF('Capacity summary'!AN124&lt;&gt;"",IF(LOWER('Capacity summary'!AN124)="x",$BI5*AN5,VALUE('Capacity summary'!AN124)),0),AN5*$BI5),AN5*$BI5),0)</f>
        <v>161.53846153846155</v>
      </c>
      <c r="CR5" s="314">
        <f ca="1">IF($BI5&lt;&gt;"",IF('Capacity summary'!$D$14="Yes",IF(COUNTBLANK('Capacity summary'!$H124:$BG124)&lt;52,IF('Capacity summary'!AO124&lt;&gt;"",IF(LOWER('Capacity summary'!AO124)="x",$BI5*AO5,VALUE('Capacity summary'!AO124)),0),AO5*$BI5),AO5*$BI5),0)</f>
        <v>161.53846153846155</v>
      </c>
      <c r="CS5" s="314">
        <f ca="1">IF($BI5&lt;&gt;"",IF('Capacity summary'!$D$14="Yes",IF(COUNTBLANK('Capacity summary'!$H124:$BG124)&lt;52,IF('Capacity summary'!AP124&lt;&gt;"",IF(LOWER('Capacity summary'!AP124)="x",$BI5*AP5,VALUE('Capacity summary'!AP124)),0),AP5*$BI5),AP5*$BI5),0)</f>
        <v>161.53846153846155</v>
      </c>
      <c r="CT5" s="314">
        <f ca="1">IF($BI5&lt;&gt;"",IF('Capacity summary'!$D$14="Yes",IF(COUNTBLANK('Capacity summary'!$H124:$BG124)&lt;52,IF('Capacity summary'!AQ124&lt;&gt;"",IF(LOWER('Capacity summary'!AQ124)="x",$BI5*AQ5,VALUE('Capacity summary'!AQ124)),0),AQ5*$BI5),AQ5*$BI5),0)</f>
        <v>161.53846153846155</v>
      </c>
      <c r="CU5" s="314">
        <f ca="1">IF($BI5&lt;&gt;"",IF('Capacity summary'!$D$14="Yes",IF(COUNTBLANK('Capacity summary'!$H124:$BG124)&lt;52,IF('Capacity summary'!AR124&lt;&gt;"",IF(LOWER('Capacity summary'!AR124)="x",$BI5*AR5,VALUE('Capacity summary'!AR124)),0),AR5*$BI5),AR5*$BI5),0)</f>
        <v>161.53846153846155</v>
      </c>
      <c r="CV5" s="314">
        <f ca="1">IF($BI5&lt;&gt;"",IF('Capacity summary'!$D$14="Yes",IF(COUNTBLANK('Capacity summary'!$H124:$BG124)&lt;52,IF('Capacity summary'!AS124&lt;&gt;"",IF(LOWER('Capacity summary'!AS124)="x",$BI5*AS5,VALUE('Capacity summary'!AS124)),0),AS5*$BI5),AS5*$BI5),0)</f>
        <v>161.53846153846155</v>
      </c>
      <c r="CW5" s="314">
        <f ca="1">IF($BI5&lt;&gt;"",IF('Capacity summary'!$D$14="Yes",IF(COUNTBLANK('Capacity summary'!$H124:$BG124)&lt;52,IF('Capacity summary'!AT124&lt;&gt;"",IF(LOWER('Capacity summary'!AT124)="x",$BI5*AT5,VALUE('Capacity summary'!AT124)),0),AT5*$BI5),AT5*$BI5),0)</f>
        <v>161.53846153846155</v>
      </c>
      <c r="CX5" s="314">
        <f ca="1">IF($BI5&lt;&gt;"",IF('Capacity summary'!$D$14="Yes",IF(COUNTBLANK('Capacity summary'!$H124:$BG124)&lt;52,IF('Capacity summary'!AU124&lt;&gt;"",IF(LOWER('Capacity summary'!AU124)="x",$BI5*AU5,VALUE('Capacity summary'!AU124)),0),AU5*$BI5),AU5*$BI5),0)</f>
        <v>161.53846153846155</v>
      </c>
      <c r="CY5" s="314">
        <f ca="1">IF($BI5&lt;&gt;"",IF('Capacity summary'!$D$14="Yes",IF(COUNTBLANK('Capacity summary'!$H124:$BG124)&lt;52,IF('Capacity summary'!AV124&lt;&gt;"",IF(LOWER('Capacity summary'!AV124)="x",$BI5*AV5,VALUE('Capacity summary'!AV124)),0),AV5*$BI5),AV5*$BI5),0)</f>
        <v>161.53846153846155</v>
      </c>
      <c r="CZ5" s="314">
        <f ca="1">IF($BI5&lt;&gt;"",IF('Capacity summary'!$D$14="Yes",IF(COUNTBLANK('Capacity summary'!$H124:$BG124)&lt;52,IF('Capacity summary'!AW124&lt;&gt;"",IF(LOWER('Capacity summary'!AW124)="x",$BI5*AW5,VALUE('Capacity summary'!AW124)),0),AW5*$BI5),AW5*$BI5),0)</f>
        <v>161.53846153846155</v>
      </c>
      <c r="DA5" s="314">
        <f ca="1">IF($BI5&lt;&gt;"",IF('Capacity summary'!$D$14="Yes",IF(COUNTBLANK('Capacity summary'!$H124:$BG124)&lt;52,IF('Capacity summary'!AX124&lt;&gt;"",IF(LOWER('Capacity summary'!AX124)="x",$BI5*AX5,VALUE('Capacity summary'!AX124)),0),AX5*$BI5),AX5*$BI5),0)</f>
        <v>161.53846153846155</v>
      </c>
      <c r="DB5" s="314">
        <f ca="1">IF($BI5&lt;&gt;"",IF('Capacity summary'!$D$14="Yes",IF(COUNTBLANK('Capacity summary'!$H124:$BG124)&lt;52,IF('Capacity summary'!AY124&lt;&gt;"",IF(LOWER('Capacity summary'!AY124)="x",$BI5*AY5,VALUE('Capacity summary'!AY124)),0),AY5*$BI5),AY5*$BI5),0)</f>
        <v>161.53846153846155</v>
      </c>
      <c r="DC5" s="314">
        <f ca="1">IF($BI5&lt;&gt;"",IF('Capacity summary'!$D$14="Yes",IF(COUNTBLANK('Capacity summary'!$H124:$BG124)&lt;52,IF('Capacity summary'!AZ124&lt;&gt;"",IF(LOWER('Capacity summary'!AZ124)="x",$BI5*AZ5,VALUE('Capacity summary'!AZ124)),0),AZ5*$BI5),AZ5*$BI5),0)</f>
        <v>161.53846153846155</v>
      </c>
      <c r="DD5" s="314">
        <f ca="1">IF($BI5&lt;&gt;"",IF('Capacity summary'!$D$14="Yes",IF(COUNTBLANK('Capacity summary'!$H124:$BG124)&lt;52,IF('Capacity summary'!BA124&lt;&gt;"",IF(LOWER('Capacity summary'!BA124)="x",$BI5*BA5,VALUE('Capacity summary'!BA124)),0),BA5*$BI5),BA5*$BI5),0)</f>
        <v>161.53846153846155</v>
      </c>
      <c r="DE5" s="314">
        <f ca="1">IF($BI5&lt;&gt;"",IF('Capacity summary'!$D$14="Yes",IF(COUNTBLANK('Capacity summary'!$H124:$BG124)&lt;52,IF('Capacity summary'!BB124&lt;&gt;"",IF(LOWER('Capacity summary'!BB124)="x",$BI5*BB5,VALUE('Capacity summary'!BB124)),0),BB5*$BI5),BB5*$BI5),0)</f>
        <v>161.53846153846155</v>
      </c>
      <c r="DF5" s="314">
        <f ca="1">IF($BI5&lt;&gt;"",IF('Capacity summary'!$D$14="Yes",IF(COUNTBLANK('Capacity summary'!$H124:$BG124)&lt;52,IF('Capacity summary'!BC124&lt;&gt;"",IF(LOWER('Capacity summary'!BC124)="x",$BI5*BC5,VALUE('Capacity summary'!BC124)),0),BC5*$BI5),BC5*$BI5),0)</f>
        <v>161.53846153846155</v>
      </c>
      <c r="DG5" s="314">
        <f ca="1">IF($BI5&lt;&gt;"",IF('Capacity summary'!$D$14="Yes",IF(COUNTBLANK('Capacity summary'!$H124:$BG124)&lt;52,IF('Capacity summary'!BD124&lt;&gt;"",IF(LOWER('Capacity summary'!BD124)="x",$BI5*BD5,VALUE('Capacity summary'!BD124)),0),BD5*$BI5),BD5*$BI5),0)</f>
        <v>161.53846153846155</v>
      </c>
      <c r="DH5" s="314">
        <f ca="1">IF($BI5&lt;&gt;"",IF('Capacity summary'!$D$14="Yes",IF(COUNTBLANK('Capacity summary'!$H124:$BG124)&lt;52,IF('Capacity summary'!BE124&lt;&gt;"",IF(LOWER('Capacity summary'!BE124)="x",$BI5*BE5,VALUE('Capacity summary'!BE124)),0),BE5*$BI5),BE5*$BI5),0)</f>
        <v>161.53846153846155</v>
      </c>
      <c r="DI5" s="314">
        <f ca="1">IF($BI5&lt;&gt;"",IF('Capacity summary'!$D$14="Yes",IF(COUNTBLANK('Capacity summary'!$H124:$BG124)&lt;52,IF('Capacity summary'!BF124&lt;&gt;"",IF(LOWER('Capacity summary'!BF124)="x",$BI5*BF5,VALUE('Capacity summary'!BF124)),0),BF5*$BI5),BF5*$BI5),0)</f>
        <v>161.53846153846155</v>
      </c>
      <c r="DJ5" s="314">
        <f ca="1">IF($BI5&lt;&gt;"",IF('Capacity summary'!$D$14="Yes",IF(COUNTBLANK('Capacity summary'!$H124:$BG124)&lt;52,IF('Capacity summary'!BG124&lt;&gt;"",IF(LOWER('Capacity summary'!BG124)="x",$BI5*BG5,VALUE('Capacity summary'!BG124)),0),BG5*$BI5),BG5*$BI5),0)</f>
        <v>161.53846153846155</v>
      </c>
      <c r="DK5" s="137">
        <f t="shared" ref="DK5:DK68" ca="1" si="2">SUM(BK5:DJ5)</f>
        <v>7331.5384615384664</v>
      </c>
      <c r="DL5" s="314">
        <f>Capacity!H17</f>
        <v>8400</v>
      </c>
      <c r="DP5" s="5"/>
    </row>
    <row r="6" spans="2:120" x14ac:dyDescent="0.25">
      <c r="B6" s="67"/>
      <c r="C6" s="67" t="str">
        <f>ROW(A2)&amp;". "&amp;Capacity!B18</f>
        <v xml:space="preserve">2. </v>
      </c>
      <c r="D6" s="67">
        <f>'Capacity setup'!C13</f>
        <v>0</v>
      </c>
      <c r="E6" s="67">
        <f>'Capacity setup'!D13</f>
        <v>0</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IF(ROW(C2)&lt;=Capacity!$A$16,IF('Capacity summary'!$D$14="No",SUM(H6:BG6),'Capacity summary'!$E125),0)</f>
        <v>0</v>
      </c>
      <c r="BI6" s="5" t="str">
        <f>IF(BH6&gt;0,IF(BH6&lt;Capacity!E18,Capacity!F18,Capacity!H18/'Capacity calculation (hide)'!BH6),"")</f>
        <v/>
      </c>
      <c r="BK6" s="314">
        <f>IF($BI6&lt;&gt;"",IF('Capacity summary'!$D$14="Yes",IF(COUNTBLANK('Capacity summary'!$H125:$BG125)&lt;52,IF('Capacity summary'!H125&lt;&gt;"",IF(LOWER('Capacity summary'!H125)="x",$BI6*H6,VALUE('Capacity summary'!H125)),0),H6*$BI6),H6*$BI6),0)</f>
        <v>0</v>
      </c>
      <c r="BL6" s="314">
        <f>IF($BI6&lt;&gt;"",IF('Capacity summary'!$D$14="Yes",IF(COUNTBLANK('Capacity summary'!$H125:$BG125)&lt;52,IF('Capacity summary'!I125&lt;&gt;"",IF(LOWER('Capacity summary'!I125)="x",$BI6*I6,VALUE('Capacity summary'!I125)),0),I6*$BI6),I6*$BI6),0)</f>
        <v>0</v>
      </c>
      <c r="BM6" s="314">
        <f>IF($BI6&lt;&gt;"",IF('Capacity summary'!$D$14="Yes",IF(COUNTBLANK('Capacity summary'!$H125:$BG125)&lt;52,IF('Capacity summary'!J125&lt;&gt;"",IF(LOWER('Capacity summary'!J125)="x",$BI6*J6,VALUE('Capacity summary'!J125)),0),J6*$BI6),J6*$BI6),0)</f>
        <v>0</v>
      </c>
      <c r="BN6" s="314">
        <f>IF($BI6&lt;&gt;"",IF('Capacity summary'!$D$14="Yes",IF(COUNTBLANK('Capacity summary'!$H125:$BG125)&lt;52,IF('Capacity summary'!K125&lt;&gt;"",IF(LOWER('Capacity summary'!K125)="x",$BI6*K6,VALUE('Capacity summary'!K125)),0),K6*$BI6),K6*$BI6),0)</f>
        <v>0</v>
      </c>
      <c r="BO6" s="314">
        <f>IF($BI6&lt;&gt;"",IF('Capacity summary'!$D$14="Yes",IF(COUNTBLANK('Capacity summary'!$H125:$BG125)&lt;52,IF('Capacity summary'!L125&lt;&gt;"",IF(LOWER('Capacity summary'!L125)="x",$BI6*L6,VALUE('Capacity summary'!L125)),0),L6*$BI6),L6*$BI6),0)</f>
        <v>0</v>
      </c>
      <c r="BP6" s="314">
        <f>IF($BI6&lt;&gt;"",IF('Capacity summary'!$D$14="Yes",IF(COUNTBLANK('Capacity summary'!$H125:$BG125)&lt;52,IF('Capacity summary'!M125&lt;&gt;"",IF(LOWER('Capacity summary'!M125)="x",$BI6*M6,VALUE('Capacity summary'!M125)),0),M6*$BI6),M6*$BI6),0)</f>
        <v>0</v>
      </c>
      <c r="BQ6" s="314">
        <f>IF($BI6&lt;&gt;"",IF('Capacity summary'!$D$14="Yes",IF(COUNTBLANK('Capacity summary'!$H125:$BG125)&lt;52,IF('Capacity summary'!N125&lt;&gt;"",IF(LOWER('Capacity summary'!N125)="x",$BI6*N6,VALUE('Capacity summary'!N125)),0),N6*$BI6),N6*$BI6),0)</f>
        <v>0</v>
      </c>
      <c r="BR6" s="314">
        <f>IF($BI6&lt;&gt;"",IF('Capacity summary'!$D$14="Yes",IF(COUNTBLANK('Capacity summary'!$H125:$BG125)&lt;52,IF('Capacity summary'!O125&lt;&gt;"",IF(LOWER('Capacity summary'!O125)="x",$BI6*O6,VALUE('Capacity summary'!O125)),0),O6*$BI6),O6*$BI6),0)</f>
        <v>0</v>
      </c>
      <c r="BS6" s="314">
        <f>IF($BI6&lt;&gt;"",IF('Capacity summary'!$D$14="Yes",IF(COUNTBLANK('Capacity summary'!$H125:$BG125)&lt;52,IF('Capacity summary'!P125&lt;&gt;"",IF(LOWER('Capacity summary'!P125)="x",$BI6*P6,VALUE('Capacity summary'!P125)),0),P6*$BI6),P6*$BI6),0)</f>
        <v>0</v>
      </c>
      <c r="BT6" s="314">
        <f>IF($BI6&lt;&gt;"",IF('Capacity summary'!$D$14="Yes",IF(COUNTBLANK('Capacity summary'!$H125:$BG125)&lt;52,IF('Capacity summary'!Q125&lt;&gt;"",IF(LOWER('Capacity summary'!Q125)="x",$BI6*Q6,VALUE('Capacity summary'!Q125)),0),Q6*$BI6),Q6*$BI6),0)</f>
        <v>0</v>
      </c>
      <c r="BU6" s="314">
        <f>IF($BI6&lt;&gt;"",IF('Capacity summary'!$D$14="Yes",IF(COUNTBLANK('Capacity summary'!$H125:$BG125)&lt;52,IF('Capacity summary'!R125&lt;&gt;"",IF(LOWER('Capacity summary'!R125)="x",$BI6*R6,VALUE('Capacity summary'!R125)),0),R6*$BI6),R6*$BI6),0)</f>
        <v>0</v>
      </c>
      <c r="BV6" s="314">
        <f>IF($BI6&lt;&gt;"",IF('Capacity summary'!$D$14="Yes",IF(COUNTBLANK('Capacity summary'!$H125:$BG125)&lt;52,IF('Capacity summary'!S125&lt;&gt;"",IF(LOWER('Capacity summary'!S125)="x",$BI6*S6,VALUE('Capacity summary'!S125)),0),S6*$BI6),S6*$BI6),0)</f>
        <v>0</v>
      </c>
      <c r="BW6" s="314">
        <f>IF($BI6&lt;&gt;"",IF('Capacity summary'!$D$14="Yes",IF(COUNTBLANK('Capacity summary'!$H125:$BG125)&lt;52,IF('Capacity summary'!T125&lt;&gt;"",IF(LOWER('Capacity summary'!T125)="x",$BI6*T6,VALUE('Capacity summary'!T125)),0),T6*$BI6),T6*$BI6),0)</f>
        <v>0</v>
      </c>
      <c r="BX6" s="314">
        <f>IF($BI6&lt;&gt;"",IF('Capacity summary'!$D$14="Yes",IF(COUNTBLANK('Capacity summary'!$H125:$BG125)&lt;52,IF('Capacity summary'!U125&lt;&gt;"",IF(LOWER('Capacity summary'!U125)="x",$BI6*U6,VALUE('Capacity summary'!U125)),0),U6*$BI6),U6*$BI6),0)</f>
        <v>0</v>
      </c>
      <c r="BY6" s="314">
        <f>IF($BI6&lt;&gt;"",IF('Capacity summary'!$D$14="Yes",IF(COUNTBLANK('Capacity summary'!$H125:$BG125)&lt;52,IF('Capacity summary'!V125&lt;&gt;"",IF(LOWER('Capacity summary'!V125)="x",$BI6*V6,VALUE('Capacity summary'!V125)),0),V6*$BI6),V6*$BI6),0)</f>
        <v>0</v>
      </c>
      <c r="BZ6" s="314">
        <f>IF($BI6&lt;&gt;"",IF('Capacity summary'!$D$14="Yes",IF(COUNTBLANK('Capacity summary'!$H125:$BG125)&lt;52,IF('Capacity summary'!W125&lt;&gt;"",IF(LOWER('Capacity summary'!W125)="x",$BI6*W6,VALUE('Capacity summary'!W125)),0),W6*$BI6),W6*$BI6),0)</f>
        <v>0</v>
      </c>
      <c r="CA6" s="314">
        <f>IF($BI6&lt;&gt;"",IF('Capacity summary'!$D$14="Yes",IF(COUNTBLANK('Capacity summary'!$H125:$BG125)&lt;52,IF('Capacity summary'!X125&lt;&gt;"",IF(LOWER('Capacity summary'!X125)="x",$BI6*X6,VALUE('Capacity summary'!X125)),0),X6*$BI6),X6*$BI6),0)</f>
        <v>0</v>
      </c>
      <c r="CB6" s="314">
        <f>IF($BI6&lt;&gt;"",IF('Capacity summary'!$D$14="Yes",IF(COUNTBLANK('Capacity summary'!$H125:$BG125)&lt;52,IF('Capacity summary'!Y125&lt;&gt;"",IF(LOWER('Capacity summary'!Y125)="x",$BI6*Y6,VALUE('Capacity summary'!Y125)),0),Y6*$BI6),Y6*$BI6),0)</f>
        <v>0</v>
      </c>
      <c r="CC6" s="314">
        <f>IF($BI6&lt;&gt;"",IF('Capacity summary'!$D$14="Yes",IF(COUNTBLANK('Capacity summary'!$H125:$BG125)&lt;52,IF('Capacity summary'!Z125&lt;&gt;"",IF(LOWER('Capacity summary'!Z125)="x",$BI6*Z6,VALUE('Capacity summary'!Z125)),0),Z6*$BI6),Z6*$BI6),0)</f>
        <v>0</v>
      </c>
      <c r="CD6" s="314">
        <f>IF($BI6&lt;&gt;"",IF('Capacity summary'!$D$14="Yes",IF(COUNTBLANK('Capacity summary'!$H125:$BG125)&lt;52,IF('Capacity summary'!AA125&lt;&gt;"",IF(LOWER('Capacity summary'!AA125)="x",$BI6*AA6,VALUE('Capacity summary'!AA125)),0),AA6*$BI6),AA6*$BI6),0)</f>
        <v>0</v>
      </c>
      <c r="CE6" s="314">
        <f>IF($BI6&lt;&gt;"",IF('Capacity summary'!$D$14="Yes",IF(COUNTBLANK('Capacity summary'!$H125:$BG125)&lt;52,IF('Capacity summary'!AB125&lt;&gt;"",IF(LOWER('Capacity summary'!AB125)="x",$BI6*AB6,VALUE('Capacity summary'!AB125)),0),AB6*$BI6),AB6*$BI6),0)</f>
        <v>0</v>
      </c>
      <c r="CF6" s="314">
        <f>IF($BI6&lt;&gt;"",IF('Capacity summary'!$D$14="Yes",IF(COUNTBLANK('Capacity summary'!$H125:$BG125)&lt;52,IF('Capacity summary'!AC125&lt;&gt;"",IF(LOWER('Capacity summary'!AC125)="x",$BI6*AC6,VALUE('Capacity summary'!AC125)),0),AC6*$BI6),AC6*$BI6),0)</f>
        <v>0</v>
      </c>
      <c r="CG6" s="314">
        <f>IF($BI6&lt;&gt;"",IF('Capacity summary'!$D$14="Yes",IF(COUNTBLANK('Capacity summary'!$H125:$BG125)&lt;52,IF('Capacity summary'!AD125&lt;&gt;"",IF(LOWER('Capacity summary'!AD125)="x",$BI6*AD6,VALUE('Capacity summary'!AD125)),0),AD6*$BI6),AD6*$BI6),0)</f>
        <v>0</v>
      </c>
      <c r="CH6" s="314">
        <f>IF($BI6&lt;&gt;"",IF('Capacity summary'!$D$14="Yes",IF(COUNTBLANK('Capacity summary'!$H125:$BG125)&lt;52,IF('Capacity summary'!AE125&lt;&gt;"",IF(LOWER('Capacity summary'!AE125)="x",$BI6*AE6,VALUE('Capacity summary'!AE125)),0),AE6*$BI6),AE6*$BI6),0)</f>
        <v>0</v>
      </c>
      <c r="CI6" s="314">
        <f>IF($BI6&lt;&gt;"",IF('Capacity summary'!$D$14="Yes",IF(COUNTBLANK('Capacity summary'!$H125:$BG125)&lt;52,IF('Capacity summary'!AF125&lt;&gt;"",IF(LOWER('Capacity summary'!AF125)="x",$BI6*AF6,VALUE('Capacity summary'!AF125)),0),AF6*$BI6),AF6*$BI6),0)</f>
        <v>0</v>
      </c>
      <c r="CJ6" s="314">
        <f>IF($BI6&lt;&gt;"",IF('Capacity summary'!$D$14="Yes",IF(COUNTBLANK('Capacity summary'!$H125:$BG125)&lt;52,IF('Capacity summary'!AG125&lt;&gt;"",IF(LOWER('Capacity summary'!AG125)="x",$BI6*AG6,VALUE('Capacity summary'!AG125)),0),AG6*$BI6),AG6*$BI6),0)</f>
        <v>0</v>
      </c>
      <c r="CK6" s="314">
        <f>IF($BI6&lt;&gt;"",IF('Capacity summary'!$D$14="Yes",IF(COUNTBLANK('Capacity summary'!$H125:$BG125)&lt;52,IF('Capacity summary'!AH125&lt;&gt;"",IF(LOWER('Capacity summary'!AH125)="x",$BI6*AH6,VALUE('Capacity summary'!AH125)),0),AH6*$BI6),AH6*$BI6),0)</f>
        <v>0</v>
      </c>
      <c r="CL6" s="314">
        <f>IF($BI6&lt;&gt;"",IF('Capacity summary'!$D$14="Yes",IF(COUNTBLANK('Capacity summary'!$H125:$BG125)&lt;52,IF('Capacity summary'!AI125&lt;&gt;"",IF(LOWER('Capacity summary'!AI125)="x",$BI6*AI6,VALUE('Capacity summary'!AI125)),0),AI6*$BI6),AI6*$BI6),0)</f>
        <v>0</v>
      </c>
      <c r="CM6" s="314">
        <f>IF($BI6&lt;&gt;"",IF('Capacity summary'!$D$14="Yes",IF(COUNTBLANK('Capacity summary'!$H125:$BG125)&lt;52,IF('Capacity summary'!AJ125&lt;&gt;"",IF(LOWER('Capacity summary'!AJ125)="x",$BI6*AJ6,VALUE('Capacity summary'!AJ125)),0),AJ6*$BI6),AJ6*$BI6),0)</f>
        <v>0</v>
      </c>
      <c r="CN6" s="314">
        <f>IF($BI6&lt;&gt;"",IF('Capacity summary'!$D$14="Yes",IF(COUNTBLANK('Capacity summary'!$H125:$BG125)&lt;52,IF('Capacity summary'!AK125&lt;&gt;"",IF(LOWER('Capacity summary'!AK125)="x",$BI6*AK6,VALUE('Capacity summary'!AK125)),0),AK6*$BI6),AK6*$BI6),0)</f>
        <v>0</v>
      </c>
      <c r="CO6" s="314">
        <f>IF($BI6&lt;&gt;"",IF('Capacity summary'!$D$14="Yes",IF(COUNTBLANK('Capacity summary'!$H125:$BG125)&lt;52,IF('Capacity summary'!AL125&lt;&gt;"",IF(LOWER('Capacity summary'!AL125)="x",$BI6*AL6,VALUE('Capacity summary'!AL125)),0),AL6*$BI6),AL6*$BI6),0)</f>
        <v>0</v>
      </c>
      <c r="CP6" s="314">
        <f>IF($BI6&lt;&gt;"",IF('Capacity summary'!$D$14="Yes",IF(COUNTBLANK('Capacity summary'!$H125:$BG125)&lt;52,IF('Capacity summary'!AM125&lt;&gt;"",IF(LOWER('Capacity summary'!AM125)="x",$BI6*AM6,VALUE('Capacity summary'!AM125)),0),AM6*$BI6),AM6*$BI6),0)</f>
        <v>0</v>
      </c>
      <c r="CQ6" s="314">
        <f>IF($BI6&lt;&gt;"",IF('Capacity summary'!$D$14="Yes",IF(COUNTBLANK('Capacity summary'!$H125:$BG125)&lt;52,IF('Capacity summary'!AN125&lt;&gt;"",IF(LOWER('Capacity summary'!AN125)="x",$BI6*AN6,VALUE('Capacity summary'!AN125)),0),AN6*$BI6),AN6*$BI6),0)</f>
        <v>0</v>
      </c>
      <c r="CR6" s="314">
        <f>IF($BI6&lt;&gt;"",IF('Capacity summary'!$D$14="Yes",IF(COUNTBLANK('Capacity summary'!$H125:$BG125)&lt;52,IF('Capacity summary'!AO125&lt;&gt;"",IF(LOWER('Capacity summary'!AO125)="x",$BI6*AO6,VALUE('Capacity summary'!AO125)),0),AO6*$BI6),AO6*$BI6),0)</f>
        <v>0</v>
      </c>
      <c r="CS6" s="314">
        <f>IF($BI6&lt;&gt;"",IF('Capacity summary'!$D$14="Yes",IF(COUNTBLANK('Capacity summary'!$H125:$BG125)&lt;52,IF('Capacity summary'!AP125&lt;&gt;"",IF(LOWER('Capacity summary'!AP125)="x",$BI6*AP6,VALUE('Capacity summary'!AP125)),0),AP6*$BI6),AP6*$BI6),0)</f>
        <v>0</v>
      </c>
      <c r="CT6" s="314">
        <f>IF($BI6&lt;&gt;"",IF('Capacity summary'!$D$14="Yes",IF(COUNTBLANK('Capacity summary'!$H125:$BG125)&lt;52,IF('Capacity summary'!AQ125&lt;&gt;"",IF(LOWER('Capacity summary'!AQ125)="x",$BI6*AQ6,VALUE('Capacity summary'!AQ125)),0),AQ6*$BI6),AQ6*$BI6),0)</f>
        <v>0</v>
      </c>
      <c r="CU6" s="314">
        <f>IF($BI6&lt;&gt;"",IF('Capacity summary'!$D$14="Yes",IF(COUNTBLANK('Capacity summary'!$H125:$BG125)&lt;52,IF('Capacity summary'!AR125&lt;&gt;"",IF(LOWER('Capacity summary'!AR125)="x",$BI6*AR6,VALUE('Capacity summary'!AR125)),0),AR6*$BI6),AR6*$BI6),0)</f>
        <v>0</v>
      </c>
      <c r="CV6" s="314">
        <f>IF($BI6&lt;&gt;"",IF('Capacity summary'!$D$14="Yes",IF(COUNTBLANK('Capacity summary'!$H125:$BG125)&lt;52,IF('Capacity summary'!AS125&lt;&gt;"",IF(LOWER('Capacity summary'!AS125)="x",$BI6*AS6,VALUE('Capacity summary'!AS125)),0),AS6*$BI6),AS6*$BI6),0)</f>
        <v>0</v>
      </c>
      <c r="CW6" s="314">
        <f>IF($BI6&lt;&gt;"",IF('Capacity summary'!$D$14="Yes",IF(COUNTBLANK('Capacity summary'!$H125:$BG125)&lt;52,IF('Capacity summary'!AT125&lt;&gt;"",IF(LOWER('Capacity summary'!AT125)="x",$BI6*AT6,VALUE('Capacity summary'!AT125)),0),AT6*$BI6),AT6*$BI6),0)</f>
        <v>0</v>
      </c>
      <c r="CX6" s="314">
        <f>IF($BI6&lt;&gt;"",IF('Capacity summary'!$D$14="Yes",IF(COUNTBLANK('Capacity summary'!$H125:$BG125)&lt;52,IF('Capacity summary'!AU125&lt;&gt;"",IF(LOWER('Capacity summary'!AU125)="x",$BI6*AU6,VALUE('Capacity summary'!AU125)),0),AU6*$BI6),AU6*$BI6),0)</f>
        <v>0</v>
      </c>
      <c r="CY6" s="314">
        <f>IF($BI6&lt;&gt;"",IF('Capacity summary'!$D$14="Yes",IF(COUNTBLANK('Capacity summary'!$H125:$BG125)&lt;52,IF('Capacity summary'!AV125&lt;&gt;"",IF(LOWER('Capacity summary'!AV125)="x",$BI6*AV6,VALUE('Capacity summary'!AV125)),0),AV6*$BI6),AV6*$BI6),0)</f>
        <v>0</v>
      </c>
      <c r="CZ6" s="314">
        <f>IF($BI6&lt;&gt;"",IF('Capacity summary'!$D$14="Yes",IF(COUNTBLANK('Capacity summary'!$H125:$BG125)&lt;52,IF('Capacity summary'!AW125&lt;&gt;"",IF(LOWER('Capacity summary'!AW125)="x",$BI6*AW6,VALUE('Capacity summary'!AW125)),0),AW6*$BI6),AW6*$BI6),0)</f>
        <v>0</v>
      </c>
      <c r="DA6" s="314">
        <f>IF($BI6&lt;&gt;"",IF('Capacity summary'!$D$14="Yes",IF(COUNTBLANK('Capacity summary'!$H125:$BG125)&lt;52,IF('Capacity summary'!AX125&lt;&gt;"",IF(LOWER('Capacity summary'!AX125)="x",$BI6*AX6,VALUE('Capacity summary'!AX125)),0),AX6*$BI6),AX6*$BI6),0)</f>
        <v>0</v>
      </c>
      <c r="DB6" s="314">
        <f>IF($BI6&lt;&gt;"",IF('Capacity summary'!$D$14="Yes",IF(COUNTBLANK('Capacity summary'!$H125:$BG125)&lt;52,IF('Capacity summary'!AY125&lt;&gt;"",IF(LOWER('Capacity summary'!AY125)="x",$BI6*AY6,VALUE('Capacity summary'!AY125)),0),AY6*$BI6),AY6*$BI6),0)</f>
        <v>0</v>
      </c>
      <c r="DC6" s="314">
        <f>IF($BI6&lt;&gt;"",IF('Capacity summary'!$D$14="Yes",IF(COUNTBLANK('Capacity summary'!$H125:$BG125)&lt;52,IF('Capacity summary'!AZ125&lt;&gt;"",IF(LOWER('Capacity summary'!AZ125)="x",$BI6*AZ6,VALUE('Capacity summary'!AZ125)),0),AZ6*$BI6),AZ6*$BI6),0)</f>
        <v>0</v>
      </c>
      <c r="DD6" s="314">
        <f>IF($BI6&lt;&gt;"",IF('Capacity summary'!$D$14="Yes",IF(COUNTBLANK('Capacity summary'!$H125:$BG125)&lt;52,IF('Capacity summary'!BA125&lt;&gt;"",IF(LOWER('Capacity summary'!BA125)="x",$BI6*BA6,VALUE('Capacity summary'!BA125)),0),BA6*$BI6),BA6*$BI6),0)</f>
        <v>0</v>
      </c>
      <c r="DE6" s="314">
        <f>IF($BI6&lt;&gt;"",IF('Capacity summary'!$D$14="Yes",IF(COUNTBLANK('Capacity summary'!$H125:$BG125)&lt;52,IF('Capacity summary'!BB125&lt;&gt;"",IF(LOWER('Capacity summary'!BB125)="x",$BI6*BB6,VALUE('Capacity summary'!BB125)),0),BB6*$BI6),BB6*$BI6),0)</f>
        <v>0</v>
      </c>
      <c r="DF6" s="314">
        <f>IF($BI6&lt;&gt;"",IF('Capacity summary'!$D$14="Yes",IF(COUNTBLANK('Capacity summary'!$H125:$BG125)&lt;52,IF('Capacity summary'!BC125&lt;&gt;"",IF(LOWER('Capacity summary'!BC125)="x",$BI6*BC6,VALUE('Capacity summary'!BC125)),0),BC6*$BI6),BC6*$BI6),0)</f>
        <v>0</v>
      </c>
      <c r="DG6" s="314">
        <f>IF($BI6&lt;&gt;"",IF('Capacity summary'!$D$14="Yes",IF(COUNTBLANK('Capacity summary'!$H125:$BG125)&lt;52,IF('Capacity summary'!BD125&lt;&gt;"",IF(LOWER('Capacity summary'!BD125)="x",$BI6*BD6,VALUE('Capacity summary'!BD125)),0),BD6*$BI6),BD6*$BI6),0)</f>
        <v>0</v>
      </c>
      <c r="DH6" s="314">
        <f>IF($BI6&lt;&gt;"",IF('Capacity summary'!$D$14="Yes",IF(COUNTBLANK('Capacity summary'!$H125:$BG125)&lt;52,IF('Capacity summary'!BE125&lt;&gt;"",IF(LOWER('Capacity summary'!BE125)="x",$BI6*BE6,VALUE('Capacity summary'!BE125)),0),BE6*$BI6),BE6*$BI6),0)</f>
        <v>0</v>
      </c>
      <c r="DI6" s="314">
        <f>IF($BI6&lt;&gt;"",IF('Capacity summary'!$D$14="Yes",IF(COUNTBLANK('Capacity summary'!$H125:$BG125)&lt;52,IF('Capacity summary'!BF125&lt;&gt;"",IF(LOWER('Capacity summary'!BF125)="x",$BI6*BF6,VALUE('Capacity summary'!BF125)),0),BF6*$BI6),BF6*$BI6),0)</f>
        <v>0</v>
      </c>
      <c r="DJ6" s="314">
        <f>IF($BI6&lt;&gt;"",IF('Capacity summary'!$D$14="Yes",IF(COUNTBLANK('Capacity summary'!$H125:$BG125)&lt;52,IF('Capacity summary'!BG125&lt;&gt;"",IF(LOWER('Capacity summary'!BG125)="x",$BI6*BG6,VALUE('Capacity summary'!BG125)),0),BG6*$BI6),BG6*$BI6),0)</f>
        <v>0</v>
      </c>
      <c r="DK6" s="137">
        <f t="shared" si="2"/>
        <v>0</v>
      </c>
      <c r="DL6" s="314" t="str">
        <f>Capacity!H18</f>
        <v/>
      </c>
      <c r="DP6" s="5"/>
    </row>
    <row r="7" spans="2:120" x14ac:dyDescent="0.25">
      <c r="B7" s="67"/>
      <c r="C7" s="67" t="str">
        <f>ROW(A3)&amp;". "&amp;Capacity!B19</f>
        <v xml:space="preserve">3. </v>
      </c>
      <c r="D7" s="67">
        <f>'Capacity setup'!C14</f>
        <v>0</v>
      </c>
      <c r="E7" s="67">
        <f>'Capacity setup'!D14</f>
        <v>0</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IF(ROW(C3)&lt;=Capacity!$A$16,IF('Capacity summary'!$D$14="No",SUM(H7:BG7),'Capacity summary'!$E126),0)</f>
        <v>0</v>
      </c>
      <c r="BI7" s="5" t="str">
        <f>IF(BH7&gt;0,IF(BH7&lt;Capacity!E19,Capacity!F19,Capacity!H19/'Capacity calculation (hide)'!BH7),"")</f>
        <v/>
      </c>
      <c r="BK7" s="314">
        <f>IF($BI7&lt;&gt;"",IF('Capacity summary'!$D$14="Yes",IF(COUNTBLANK('Capacity summary'!$H126:$BG126)&lt;52,IF('Capacity summary'!H126&lt;&gt;"",IF(LOWER('Capacity summary'!H126)="x",$BI7*H7,VALUE('Capacity summary'!H126)),0),H7*$BI7),H7*$BI7),0)</f>
        <v>0</v>
      </c>
      <c r="BL7" s="314">
        <f>IF($BI7&lt;&gt;"",IF('Capacity summary'!$D$14="Yes",IF(COUNTBLANK('Capacity summary'!$H126:$BG126)&lt;52,IF('Capacity summary'!I126&lt;&gt;"",IF(LOWER('Capacity summary'!I126)="x",$BI7*I7,VALUE('Capacity summary'!I126)),0),I7*$BI7),I7*$BI7),0)</f>
        <v>0</v>
      </c>
      <c r="BM7" s="314">
        <f>IF($BI7&lt;&gt;"",IF('Capacity summary'!$D$14="Yes",IF(COUNTBLANK('Capacity summary'!$H126:$BG126)&lt;52,IF('Capacity summary'!J126&lt;&gt;"",IF(LOWER('Capacity summary'!J126)="x",$BI7*J7,VALUE('Capacity summary'!J126)),0),J7*$BI7),J7*$BI7),0)</f>
        <v>0</v>
      </c>
      <c r="BN7" s="314">
        <f>IF($BI7&lt;&gt;"",IF('Capacity summary'!$D$14="Yes",IF(COUNTBLANK('Capacity summary'!$H126:$BG126)&lt;52,IF('Capacity summary'!K126&lt;&gt;"",IF(LOWER('Capacity summary'!K126)="x",$BI7*K7,VALUE('Capacity summary'!K126)),0),K7*$BI7),K7*$BI7),0)</f>
        <v>0</v>
      </c>
      <c r="BO7" s="314">
        <f>IF($BI7&lt;&gt;"",IF('Capacity summary'!$D$14="Yes",IF(COUNTBLANK('Capacity summary'!$H126:$BG126)&lt;52,IF('Capacity summary'!L126&lt;&gt;"",IF(LOWER('Capacity summary'!L126)="x",$BI7*L7,VALUE('Capacity summary'!L126)),0),L7*$BI7),L7*$BI7),0)</f>
        <v>0</v>
      </c>
      <c r="BP7" s="314">
        <f>IF($BI7&lt;&gt;"",IF('Capacity summary'!$D$14="Yes",IF(COUNTBLANK('Capacity summary'!$H126:$BG126)&lt;52,IF('Capacity summary'!M126&lt;&gt;"",IF(LOWER('Capacity summary'!M126)="x",$BI7*M7,VALUE('Capacity summary'!M126)),0),M7*$BI7),M7*$BI7),0)</f>
        <v>0</v>
      </c>
      <c r="BQ7" s="314">
        <f>IF($BI7&lt;&gt;"",IF('Capacity summary'!$D$14="Yes",IF(COUNTBLANK('Capacity summary'!$H126:$BG126)&lt;52,IF('Capacity summary'!N126&lt;&gt;"",IF(LOWER('Capacity summary'!N126)="x",$BI7*N7,VALUE('Capacity summary'!N126)),0),N7*$BI7),N7*$BI7),0)</f>
        <v>0</v>
      </c>
      <c r="BR7" s="314">
        <f>IF($BI7&lt;&gt;"",IF('Capacity summary'!$D$14="Yes",IF(COUNTBLANK('Capacity summary'!$H126:$BG126)&lt;52,IF('Capacity summary'!O126&lt;&gt;"",IF(LOWER('Capacity summary'!O126)="x",$BI7*O7,VALUE('Capacity summary'!O126)),0),O7*$BI7),O7*$BI7),0)</f>
        <v>0</v>
      </c>
      <c r="BS7" s="314">
        <f>IF($BI7&lt;&gt;"",IF('Capacity summary'!$D$14="Yes",IF(COUNTBLANK('Capacity summary'!$H126:$BG126)&lt;52,IF('Capacity summary'!P126&lt;&gt;"",IF(LOWER('Capacity summary'!P126)="x",$BI7*P7,VALUE('Capacity summary'!P126)),0),P7*$BI7),P7*$BI7),0)</f>
        <v>0</v>
      </c>
      <c r="BT7" s="314">
        <f>IF($BI7&lt;&gt;"",IF('Capacity summary'!$D$14="Yes",IF(COUNTBLANK('Capacity summary'!$H126:$BG126)&lt;52,IF('Capacity summary'!Q126&lt;&gt;"",IF(LOWER('Capacity summary'!Q126)="x",$BI7*Q7,VALUE('Capacity summary'!Q126)),0),Q7*$BI7),Q7*$BI7),0)</f>
        <v>0</v>
      </c>
      <c r="BU7" s="314">
        <f>IF($BI7&lt;&gt;"",IF('Capacity summary'!$D$14="Yes",IF(COUNTBLANK('Capacity summary'!$H126:$BG126)&lt;52,IF('Capacity summary'!R126&lt;&gt;"",IF(LOWER('Capacity summary'!R126)="x",$BI7*R7,VALUE('Capacity summary'!R126)),0),R7*$BI7),R7*$BI7),0)</f>
        <v>0</v>
      </c>
      <c r="BV7" s="314">
        <f>IF($BI7&lt;&gt;"",IF('Capacity summary'!$D$14="Yes",IF(COUNTBLANK('Capacity summary'!$H126:$BG126)&lt;52,IF('Capacity summary'!S126&lt;&gt;"",IF(LOWER('Capacity summary'!S126)="x",$BI7*S7,VALUE('Capacity summary'!S126)),0),S7*$BI7),S7*$BI7),0)</f>
        <v>0</v>
      </c>
      <c r="BW7" s="314">
        <f>IF($BI7&lt;&gt;"",IF('Capacity summary'!$D$14="Yes",IF(COUNTBLANK('Capacity summary'!$H126:$BG126)&lt;52,IF('Capacity summary'!T126&lt;&gt;"",IF(LOWER('Capacity summary'!T126)="x",$BI7*T7,VALUE('Capacity summary'!T126)),0),T7*$BI7),T7*$BI7),0)</f>
        <v>0</v>
      </c>
      <c r="BX7" s="314">
        <f>IF($BI7&lt;&gt;"",IF('Capacity summary'!$D$14="Yes",IF(COUNTBLANK('Capacity summary'!$H126:$BG126)&lt;52,IF('Capacity summary'!U126&lt;&gt;"",IF(LOWER('Capacity summary'!U126)="x",$BI7*U7,VALUE('Capacity summary'!U126)),0),U7*$BI7),U7*$BI7),0)</f>
        <v>0</v>
      </c>
      <c r="BY7" s="314">
        <f>IF($BI7&lt;&gt;"",IF('Capacity summary'!$D$14="Yes",IF(COUNTBLANK('Capacity summary'!$H126:$BG126)&lt;52,IF('Capacity summary'!V126&lt;&gt;"",IF(LOWER('Capacity summary'!V126)="x",$BI7*V7,VALUE('Capacity summary'!V126)),0),V7*$BI7),V7*$BI7),0)</f>
        <v>0</v>
      </c>
      <c r="BZ7" s="314">
        <f>IF($BI7&lt;&gt;"",IF('Capacity summary'!$D$14="Yes",IF(COUNTBLANK('Capacity summary'!$H126:$BG126)&lt;52,IF('Capacity summary'!W126&lt;&gt;"",IF(LOWER('Capacity summary'!W126)="x",$BI7*W7,VALUE('Capacity summary'!W126)),0),W7*$BI7),W7*$BI7),0)</f>
        <v>0</v>
      </c>
      <c r="CA7" s="314">
        <f>IF($BI7&lt;&gt;"",IF('Capacity summary'!$D$14="Yes",IF(COUNTBLANK('Capacity summary'!$H126:$BG126)&lt;52,IF('Capacity summary'!X126&lt;&gt;"",IF(LOWER('Capacity summary'!X126)="x",$BI7*X7,VALUE('Capacity summary'!X126)),0),X7*$BI7),X7*$BI7),0)</f>
        <v>0</v>
      </c>
      <c r="CB7" s="314">
        <f>IF($BI7&lt;&gt;"",IF('Capacity summary'!$D$14="Yes",IF(COUNTBLANK('Capacity summary'!$H126:$BG126)&lt;52,IF('Capacity summary'!Y126&lt;&gt;"",IF(LOWER('Capacity summary'!Y126)="x",$BI7*Y7,VALUE('Capacity summary'!Y126)),0),Y7*$BI7),Y7*$BI7),0)</f>
        <v>0</v>
      </c>
      <c r="CC7" s="314">
        <f>IF($BI7&lt;&gt;"",IF('Capacity summary'!$D$14="Yes",IF(COUNTBLANK('Capacity summary'!$H126:$BG126)&lt;52,IF('Capacity summary'!Z126&lt;&gt;"",IF(LOWER('Capacity summary'!Z126)="x",$BI7*Z7,VALUE('Capacity summary'!Z126)),0),Z7*$BI7),Z7*$BI7),0)</f>
        <v>0</v>
      </c>
      <c r="CD7" s="314">
        <f>IF($BI7&lt;&gt;"",IF('Capacity summary'!$D$14="Yes",IF(COUNTBLANK('Capacity summary'!$H126:$BG126)&lt;52,IF('Capacity summary'!AA126&lt;&gt;"",IF(LOWER('Capacity summary'!AA126)="x",$BI7*AA7,VALUE('Capacity summary'!AA126)),0),AA7*$BI7),AA7*$BI7),0)</f>
        <v>0</v>
      </c>
      <c r="CE7" s="314">
        <f>IF($BI7&lt;&gt;"",IF('Capacity summary'!$D$14="Yes",IF(COUNTBLANK('Capacity summary'!$H126:$BG126)&lt;52,IF('Capacity summary'!AB126&lt;&gt;"",IF(LOWER('Capacity summary'!AB126)="x",$BI7*AB7,VALUE('Capacity summary'!AB126)),0),AB7*$BI7),AB7*$BI7),0)</f>
        <v>0</v>
      </c>
      <c r="CF7" s="314">
        <f>IF($BI7&lt;&gt;"",IF('Capacity summary'!$D$14="Yes",IF(COUNTBLANK('Capacity summary'!$H126:$BG126)&lt;52,IF('Capacity summary'!AC126&lt;&gt;"",IF(LOWER('Capacity summary'!AC126)="x",$BI7*AC7,VALUE('Capacity summary'!AC126)),0),AC7*$BI7),AC7*$BI7),0)</f>
        <v>0</v>
      </c>
      <c r="CG7" s="314">
        <f>IF($BI7&lt;&gt;"",IF('Capacity summary'!$D$14="Yes",IF(COUNTBLANK('Capacity summary'!$H126:$BG126)&lt;52,IF('Capacity summary'!AD126&lt;&gt;"",IF(LOWER('Capacity summary'!AD126)="x",$BI7*AD7,VALUE('Capacity summary'!AD126)),0),AD7*$BI7),AD7*$BI7),0)</f>
        <v>0</v>
      </c>
      <c r="CH7" s="314">
        <f>IF($BI7&lt;&gt;"",IF('Capacity summary'!$D$14="Yes",IF(COUNTBLANK('Capacity summary'!$H126:$BG126)&lt;52,IF('Capacity summary'!AE126&lt;&gt;"",IF(LOWER('Capacity summary'!AE126)="x",$BI7*AE7,VALUE('Capacity summary'!AE126)),0),AE7*$BI7),AE7*$BI7),0)</f>
        <v>0</v>
      </c>
      <c r="CI7" s="314">
        <f>IF($BI7&lt;&gt;"",IF('Capacity summary'!$D$14="Yes",IF(COUNTBLANK('Capacity summary'!$H126:$BG126)&lt;52,IF('Capacity summary'!AF126&lt;&gt;"",IF(LOWER('Capacity summary'!AF126)="x",$BI7*AF7,VALUE('Capacity summary'!AF126)),0),AF7*$BI7),AF7*$BI7),0)</f>
        <v>0</v>
      </c>
      <c r="CJ7" s="314">
        <f>IF($BI7&lt;&gt;"",IF('Capacity summary'!$D$14="Yes",IF(COUNTBLANK('Capacity summary'!$H126:$BG126)&lt;52,IF('Capacity summary'!AG126&lt;&gt;"",IF(LOWER('Capacity summary'!AG126)="x",$BI7*AG7,VALUE('Capacity summary'!AG126)),0),AG7*$BI7),AG7*$BI7),0)</f>
        <v>0</v>
      </c>
      <c r="CK7" s="314">
        <f>IF($BI7&lt;&gt;"",IF('Capacity summary'!$D$14="Yes",IF(COUNTBLANK('Capacity summary'!$H126:$BG126)&lt;52,IF('Capacity summary'!AH126&lt;&gt;"",IF(LOWER('Capacity summary'!AH126)="x",$BI7*AH7,VALUE('Capacity summary'!AH126)),0),AH7*$BI7),AH7*$BI7),0)</f>
        <v>0</v>
      </c>
      <c r="CL7" s="314">
        <f>IF($BI7&lt;&gt;"",IF('Capacity summary'!$D$14="Yes",IF(COUNTBLANK('Capacity summary'!$H126:$BG126)&lt;52,IF('Capacity summary'!AI126&lt;&gt;"",IF(LOWER('Capacity summary'!AI126)="x",$BI7*AI7,VALUE('Capacity summary'!AI126)),0),AI7*$BI7),AI7*$BI7),0)</f>
        <v>0</v>
      </c>
      <c r="CM7" s="314">
        <f>IF($BI7&lt;&gt;"",IF('Capacity summary'!$D$14="Yes",IF(COUNTBLANK('Capacity summary'!$H126:$BG126)&lt;52,IF('Capacity summary'!AJ126&lt;&gt;"",IF(LOWER('Capacity summary'!AJ126)="x",$BI7*AJ7,VALUE('Capacity summary'!AJ126)),0),AJ7*$BI7),AJ7*$BI7),0)</f>
        <v>0</v>
      </c>
      <c r="CN7" s="314">
        <f>IF($BI7&lt;&gt;"",IF('Capacity summary'!$D$14="Yes",IF(COUNTBLANK('Capacity summary'!$H126:$BG126)&lt;52,IF('Capacity summary'!AK126&lt;&gt;"",IF(LOWER('Capacity summary'!AK126)="x",$BI7*AK7,VALUE('Capacity summary'!AK126)),0),AK7*$BI7),AK7*$BI7),0)</f>
        <v>0</v>
      </c>
      <c r="CO7" s="314">
        <f>IF($BI7&lt;&gt;"",IF('Capacity summary'!$D$14="Yes",IF(COUNTBLANK('Capacity summary'!$H126:$BG126)&lt;52,IF('Capacity summary'!AL126&lt;&gt;"",IF(LOWER('Capacity summary'!AL126)="x",$BI7*AL7,VALUE('Capacity summary'!AL126)),0),AL7*$BI7),AL7*$BI7),0)</f>
        <v>0</v>
      </c>
      <c r="CP7" s="314">
        <f>IF($BI7&lt;&gt;"",IF('Capacity summary'!$D$14="Yes",IF(COUNTBLANK('Capacity summary'!$H126:$BG126)&lt;52,IF('Capacity summary'!AM126&lt;&gt;"",IF(LOWER('Capacity summary'!AM126)="x",$BI7*AM7,VALUE('Capacity summary'!AM126)),0),AM7*$BI7),AM7*$BI7),0)</f>
        <v>0</v>
      </c>
      <c r="CQ7" s="314">
        <f>IF($BI7&lt;&gt;"",IF('Capacity summary'!$D$14="Yes",IF(COUNTBLANK('Capacity summary'!$H126:$BG126)&lt;52,IF('Capacity summary'!AN126&lt;&gt;"",IF(LOWER('Capacity summary'!AN126)="x",$BI7*AN7,VALUE('Capacity summary'!AN126)),0),AN7*$BI7),AN7*$BI7),0)</f>
        <v>0</v>
      </c>
      <c r="CR7" s="314">
        <f>IF($BI7&lt;&gt;"",IF('Capacity summary'!$D$14="Yes",IF(COUNTBLANK('Capacity summary'!$H126:$BG126)&lt;52,IF('Capacity summary'!AO126&lt;&gt;"",IF(LOWER('Capacity summary'!AO126)="x",$BI7*AO7,VALUE('Capacity summary'!AO126)),0),AO7*$BI7),AO7*$BI7),0)</f>
        <v>0</v>
      </c>
      <c r="CS7" s="314">
        <f>IF($BI7&lt;&gt;"",IF('Capacity summary'!$D$14="Yes",IF(COUNTBLANK('Capacity summary'!$H126:$BG126)&lt;52,IF('Capacity summary'!AP126&lt;&gt;"",IF(LOWER('Capacity summary'!AP126)="x",$BI7*AP7,VALUE('Capacity summary'!AP126)),0),AP7*$BI7),AP7*$BI7),0)</f>
        <v>0</v>
      </c>
      <c r="CT7" s="314">
        <f>IF($BI7&lt;&gt;"",IF('Capacity summary'!$D$14="Yes",IF(COUNTBLANK('Capacity summary'!$H126:$BG126)&lt;52,IF('Capacity summary'!AQ126&lt;&gt;"",IF(LOWER('Capacity summary'!AQ126)="x",$BI7*AQ7,VALUE('Capacity summary'!AQ126)),0),AQ7*$BI7),AQ7*$BI7),0)</f>
        <v>0</v>
      </c>
      <c r="CU7" s="314">
        <f>IF($BI7&lt;&gt;"",IF('Capacity summary'!$D$14="Yes",IF(COUNTBLANK('Capacity summary'!$H126:$BG126)&lt;52,IF('Capacity summary'!AR126&lt;&gt;"",IF(LOWER('Capacity summary'!AR126)="x",$BI7*AR7,VALUE('Capacity summary'!AR126)),0),AR7*$BI7),AR7*$BI7),0)</f>
        <v>0</v>
      </c>
      <c r="CV7" s="314">
        <f>IF($BI7&lt;&gt;"",IF('Capacity summary'!$D$14="Yes",IF(COUNTBLANK('Capacity summary'!$H126:$BG126)&lt;52,IF('Capacity summary'!AS126&lt;&gt;"",IF(LOWER('Capacity summary'!AS126)="x",$BI7*AS7,VALUE('Capacity summary'!AS126)),0),AS7*$BI7),AS7*$BI7),0)</f>
        <v>0</v>
      </c>
      <c r="CW7" s="314">
        <f>IF($BI7&lt;&gt;"",IF('Capacity summary'!$D$14="Yes",IF(COUNTBLANK('Capacity summary'!$H126:$BG126)&lt;52,IF('Capacity summary'!AT126&lt;&gt;"",IF(LOWER('Capacity summary'!AT126)="x",$BI7*AT7,VALUE('Capacity summary'!AT126)),0),AT7*$BI7),AT7*$BI7),0)</f>
        <v>0</v>
      </c>
      <c r="CX7" s="314">
        <f>IF($BI7&lt;&gt;"",IF('Capacity summary'!$D$14="Yes",IF(COUNTBLANK('Capacity summary'!$H126:$BG126)&lt;52,IF('Capacity summary'!AU126&lt;&gt;"",IF(LOWER('Capacity summary'!AU126)="x",$BI7*AU7,VALUE('Capacity summary'!AU126)),0),AU7*$BI7),AU7*$BI7),0)</f>
        <v>0</v>
      </c>
      <c r="CY7" s="314">
        <f>IF($BI7&lt;&gt;"",IF('Capacity summary'!$D$14="Yes",IF(COUNTBLANK('Capacity summary'!$H126:$BG126)&lt;52,IF('Capacity summary'!AV126&lt;&gt;"",IF(LOWER('Capacity summary'!AV126)="x",$BI7*AV7,VALUE('Capacity summary'!AV126)),0),AV7*$BI7),AV7*$BI7),0)</f>
        <v>0</v>
      </c>
      <c r="CZ7" s="314">
        <f>IF($BI7&lt;&gt;"",IF('Capacity summary'!$D$14="Yes",IF(COUNTBLANK('Capacity summary'!$H126:$BG126)&lt;52,IF('Capacity summary'!AW126&lt;&gt;"",IF(LOWER('Capacity summary'!AW126)="x",$BI7*AW7,VALUE('Capacity summary'!AW126)),0),AW7*$BI7),AW7*$BI7),0)</f>
        <v>0</v>
      </c>
      <c r="DA7" s="314">
        <f>IF($BI7&lt;&gt;"",IF('Capacity summary'!$D$14="Yes",IF(COUNTBLANK('Capacity summary'!$H126:$BG126)&lt;52,IF('Capacity summary'!AX126&lt;&gt;"",IF(LOWER('Capacity summary'!AX126)="x",$BI7*AX7,VALUE('Capacity summary'!AX126)),0),AX7*$BI7),AX7*$BI7),0)</f>
        <v>0</v>
      </c>
      <c r="DB7" s="314">
        <f>IF($BI7&lt;&gt;"",IF('Capacity summary'!$D$14="Yes",IF(COUNTBLANK('Capacity summary'!$H126:$BG126)&lt;52,IF('Capacity summary'!AY126&lt;&gt;"",IF(LOWER('Capacity summary'!AY126)="x",$BI7*AY7,VALUE('Capacity summary'!AY126)),0),AY7*$BI7),AY7*$BI7),0)</f>
        <v>0</v>
      </c>
      <c r="DC7" s="314">
        <f>IF($BI7&lt;&gt;"",IF('Capacity summary'!$D$14="Yes",IF(COUNTBLANK('Capacity summary'!$H126:$BG126)&lt;52,IF('Capacity summary'!AZ126&lt;&gt;"",IF(LOWER('Capacity summary'!AZ126)="x",$BI7*AZ7,VALUE('Capacity summary'!AZ126)),0),AZ7*$BI7),AZ7*$BI7),0)</f>
        <v>0</v>
      </c>
      <c r="DD7" s="314">
        <f>IF($BI7&lt;&gt;"",IF('Capacity summary'!$D$14="Yes",IF(COUNTBLANK('Capacity summary'!$H126:$BG126)&lt;52,IF('Capacity summary'!BA126&lt;&gt;"",IF(LOWER('Capacity summary'!BA126)="x",$BI7*BA7,VALUE('Capacity summary'!BA126)),0),BA7*$BI7),BA7*$BI7),0)</f>
        <v>0</v>
      </c>
      <c r="DE7" s="314">
        <f>IF($BI7&lt;&gt;"",IF('Capacity summary'!$D$14="Yes",IF(COUNTBLANK('Capacity summary'!$H126:$BG126)&lt;52,IF('Capacity summary'!BB126&lt;&gt;"",IF(LOWER('Capacity summary'!BB126)="x",$BI7*BB7,VALUE('Capacity summary'!BB126)),0),BB7*$BI7),BB7*$BI7),0)</f>
        <v>0</v>
      </c>
      <c r="DF7" s="314">
        <f>IF($BI7&lt;&gt;"",IF('Capacity summary'!$D$14="Yes",IF(COUNTBLANK('Capacity summary'!$H126:$BG126)&lt;52,IF('Capacity summary'!BC126&lt;&gt;"",IF(LOWER('Capacity summary'!BC126)="x",$BI7*BC7,VALUE('Capacity summary'!BC126)),0),BC7*$BI7),BC7*$BI7),0)</f>
        <v>0</v>
      </c>
      <c r="DG7" s="314">
        <f>IF($BI7&lt;&gt;"",IF('Capacity summary'!$D$14="Yes",IF(COUNTBLANK('Capacity summary'!$H126:$BG126)&lt;52,IF('Capacity summary'!BD126&lt;&gt;"",IF(LOWER('Capacity summary'!BD126)="x",$BI7*BD7,VALUE('Capacity summary'!BD126)),0),BD7*$BI7),BD7*$BI7),0)</f>
        <v>0</v>
      </c>
      <c r="DH7" s="314">
        <f>IF($BI7&lt;&gt;"",IF('Capacity summary'!$D$14="Yes",IF(COUNTBLANK('Capacity summary'!$H126:$BG126)&lt;52,IF('Capacity summary'!BE126&lt;&gt;"",IF(LOWER('Capacity summary'!BE126)="x",$BI7*BE7,VALUE('Capacity summary'!BE126)),0),BE7*$BI7),BE7*$BI7),0)</f>
        <v>0</v>
      </c>
      <c r="DI7" s="314">
        <f>IF($BI7&lt;&gt;"",IF('Capacity summary'!$D$14="Yes",IF(COUNTBLANK('Capacity summary'!$H126:$BG126)&lt;52,IF('Capacity summary'!BF126&lt;&gt;"",IF(LOWER('Capacity summary'!BF126)="x",$BI7*BF7,VALUE('Capacity summary'!BF126)),0),BF7*$BI7),BF7*$BI7),0)</f>
        <v>0</v>
      </c>
      <c r="DJ7" s="314">
        <f>IF($BI7&lt;&gt;"",IF('Capacity summary'!$D$14="Yes",IF(COUNTBLANK('Capacity summary'!$H126:$BG126)&lt;52,IF('Capacity summary'!BG126&lt;&gt;"",IF(LOWER('Capacity summary'!BG126)="x",$BI7*BG7,VALUE('Capacity summary'!BG126)),0),BG7*$BI7),BG7*$BI7),0)</f>
        <v>0</v>
      </c>
      <c r="DK7" s="137">
        <f t="shared" si="2"/>
        <v>0</v>
      </c>
      <c r="DL7" s="314" t="str">
        <f>Capacity!H19</f>
        <v/>
      </c>
      <c r="DP7" s="5"/>
    </row>
    <row r="8" spans="2:120" x14ac:dyDescent="0.25">
      <c r="B8" s="67"/>
      <c r="C8" s="67" t="str">
        <f>ROW(A4)&amp;". "&amp;Capacity!B20</f>
        <v xml:space="preserve">4. </v>
      </c>
      <c r="D8" s="67">
        <f>'Capacity setup'!C15</f>
        <v>0</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IF(ROW(C4)&lt;=Capacity!$A$16,IF('Capacity summary'!$D$14="No",SUM(H8:BG8),'Capacity summary'!$E127),0)</f>
        <v>0</v>
      </c>
      <c r="BI8" s="5" t="str">
        <f>IF(BH8&gt;0,IF(BH8&lt;Capacity!E20,Capacity!F20,Capacity!H20/'Capacity calculation (hide)'!BH8),"")</f>
        <v/>
      </c>
      <c r="BK8" s="314">
        <f>IF($BI8&lt;&gt;"",IF('Capacity summary'!$D$14="Yes",IF(COUNTBLANK('Capacity summary'!$H127:$BG127)&lt;52,IF('Capacity summary'!H127&lt;&gt;"",IF(LOWER('Capacity summary'!H127)="x",$BI8*H8,VALUE('Capacity summary'!H127)),0),H8*$BI8),H8*$BI8),0)</f>
        <v>0</v>
      </c>
      <c r="BL8" s="314">
        <f>IF($BI8&lt;&gt;"",IF('Capacity summary'!$D$14="Yes",IF(COUNTBLANK('Capacity summary'!$H127:$BG127)&lt;52,IF('Capacity summary'!I127&lt;&gt;"",IF(LOWER('Capacity summary'!I127)="x",$BI8*I8,VALUE('Capacity summary'!I127)),0),I8*$BI8),I8*$BI8),0)</f>
        <v>0</v>
      </c>
      <c r="BM8" s="314">
        <f>IF($BI8&lt;&gt;"",IF('Capacity summary'!$D$14="Yes",IF(COUNTBLANK('Capacity summary'!$H127:$BG127)&lt;52,IF('Capacity summary'!J127&lt;&gt;"",IF(LOWER('Capacity summary'!J127)="x",$BI8*J8,VALUE('Capacity summary'!J127)),0),J8*$BI8),J8*$BI8),0)</f>
        <v>0</v>
      </c>
      <c r="BN8" s="314">
        <f>IF($BI8&lt;&gt;"",IF('Capacity summary'!$D$14="Yes",IF(COUNTBLANK('Capacity summary'!$H127:$BG127)&lt;52,IF('Capacity summary'!K127&lt;&gt;"",IF(LOWER('Capacity summary'!K127)="x",$BI8*K8,VALUE('Capacity summary'!K127)),0),K8*$BI8),K8*$BI8),0)</f>
        <v>0</v>
      </c>
      <c r="BO8" s="314">
        <f>IF($BI8&lt;&gt;"",IF('Capacity summary'!$D$14="Yes",IF(COUNTBLANK('Capacity summary'!$H127:$BG127)&lt;52,IF('Capacity summary'!L127&lt;&gt;"",IF(LOWER('Capacity summary'!L127)="x",$BI8*L8,VALUE('Capacity summary'!L127)),0),L8*$BI8),L8*$BI8),0)</f>
        <v>0</v>
      </c>
      <c r="BP8" s="314">
        <f>IF($BI8&lt;&gt;"",IF('Capacity summary'!$D$14="Yes",IF(COUNTBLANK('Capacity summary'!$H127:$BG127)&lt;52,IF('Capacity summary'!M127&lt;&gt;"",IF(LOWER('Capacity summary'!M127)="x",$BI8*M8,VALUE('Capacity summary'!M127)),0),M8*$BI8),M8*$BI8),0)</f>
        <v>0</v>
      </c>
      <c r="BQ8" s="314">
        <f>IF($BI8&lt;&gt;"",IF('Capacity summary'!$D$14="Yes",IF(COUNTBLANK('Capacity summary'!$H127:$BG127)&lt;52,IF('Capacity summary'!N127&lt;&gt;"",IF(LOWER('Capacity summary'!N127)="x",$BI8*N8,VALUE('Capacity summary'!N127)),0),N8*$BI8),N8*$BI8),0)</f>
        <v>0</v>
      </c>
      <c r="BR8" s="314">
        <f>IF($BI8&lt;&gt;"",IF('Capacity summary'!$D$14="Yes",IF(COUNTBLANK('Capacity summary'!$H127:$BG127)&lt;52,IF('Capacity summary'!O127&lt;&gt;"",IF(LOWER('Capacity summary'!O127)="x",$BI8*O8,VALUE('Capacity summary'!O127)),0),O8*$BI8),O8*$BI8),0)</f>
        <v>0</v>
      </c>
      <c r="BS8" s="314">
        <f>IF($BI8&lt;&gt;"",IF('Capacity summary'!$D$14="Yes",IF(COUNTBLANK('Capacity summary'!$H127:$BG127)&lt;52,IF('Capacity summary'!P127&lt;&gt;"",IF(LOWER('Capacity summary'!P127)="x",$BI8*P8,VALUE('Capacity summary'!P127)),0),P8*$BI8),P8*$BI8),0)</f>
        <v>0</v>
      </c>
      <c r="BT8" s="314">
        <f>IF($BI8&lt;&gt;"",IF('Capacity summary'!$D$14="Yes",IF(COUNTBLANK('Capacity summary'!$H127:$BG127)&lt;52,IF('Capacity summary'!Q127&lt;&gt;"",IF(LOWER('Capacity summary'!Q127)="x",$BI8*Q8,VALUE('Capacity summary'!Q127)),0),Q8*$BI8),Q8*$BI8),0)</f>
        <v>0</v>
      </c>
      <c r="BU8" s="314">
        <f>IF($BI8&lt;&gt;"",IF('Capacity summary'!$D$14="Yes",IF(COUNTBLANK('Capacity summary'!$H127:$BG127)&lt;52,IF('Capacity summary'!R127&lt;&gt;"",IF(LOWER('Capacity summary'!R127)="x",$BI8*R8,VALUE('Capacity summary'!R127)),0),R8*$BI8),R8*$BI8),0)</f>
        <v>0</v>
      </c>
      <c r="BV8" s="314">
        <f>IF($BI8&lt;&gt;"",IF('Capacity summary'!$D$14="Yes",IF(COUNTBLANK('Capacity summary'!$H127:$BG127)&lt;52,IF('Capacity summary'!S127&lt;&gt;"",IF(LOWER('Capacity summary'!S127)="x",$BI8*S8,VALUE('Capacity summary'!S127)),0),S8*$BI8),S8*$BI8),0)</f>
        <v>0</v>
      </c>
      <c r="BW8" s="314">
        <f>IF($BI8&lt;&gt;"",IF('Capacity summary'!$D$14="Yes",IF(COUNTBLANK('Capacity summary'!$H127:$BG127)&lt;52,IF('Capacity summary'!T127&lt;&gt;"",IF(LOWER('Capacity summary'!T127)="x",$BI8*T8,VALUE('Capacity summary'!T127)),0),T8*$BI8),T8*$BI8),0)</f>
        <v>0</v>
      </c>
      <c r="BX8" s="314">
        <f>IF($BI8&lt;&gt;"",IF('Capacity summary'!$D$14="Yes",IF(COUNTBLANK('Capacity summary'!$H127:$BG127)&lt;52,IF('Capacity summary'!U127&lt;&gt;"",IF(LOWER('Capacity summary'!U127)="x",$BI8*U8,VALUE('Capacity summary'!U127)),0),U8*$BI8),U8*$BI8),0)</f>
        <v>0</v>
      </c>
      <c r="BY8" s="314">
        <f>IF($BI8&lt;&gt;"",IF('Capacity summary'!$D$14="Yes",IF(COUNTBLANK('Capacity summary'!$H127:$BG127)&lt;52,IF('Capacity summary'!V127&lt;&gt;"",IF(LOWER('Capacity summary'!V127)="x",$BI8*V8,VALUE('Capacity summary'!V127)),0),V8*$BI8),V8*$BI8),0)</f>
        <v>0</v>
      </c>
      <c r="BZ8" s="314">
        <f>IF($BI8&lt;&gt;"",IF('Capacity summary'!$D$14="Yes",IF(COUNTBLANK('Capacity summary'!$H127:$BG127)&lt;52,IF('Capacity summary'!W127&lt;&gt;"",IF(LOWER('Capacity summary'!W127)="x",$BI8*W8,VALUE('Capacity summary'!W127)),0),W8*$BI8),W8*$BI8),0)</f>
        <v>0</v>
      </c>
      <c r="CA8" s="314">
        <f>IF($BI8&lt;&gt;"",IF('Capacity summary'!$D$14="Yes",IF(COUNTBLANK('Capacity summary'!$H127:$BG127)&lt;52,IF('Capacity summary'!X127&lt;&gt;"",IF(LOWER('Capacity summary'!X127)="x",$BI8*X8,VALUE('Capacity summary'!X127)),0),X8*$BI8),X8*$BI8),0)</f>
        <v>0</v>
      </c>
      <c r="CB8" s="314">
        <f>IF($BI8&lt;&gt;"",IF('Capacity summary'!$D$14="Yes",IF(COUNTBLANK('Capacity summary'!$H127:$BG127)&lt;52,IF('Capacity summary'!Y127&lt;&gt;"",IF(LOWER('Capacity summary'!Y127)="x",$BI8*Y8,VALUE('Capacity summary'!Y127)),0),Y8*$BI8),Y8*$BI8),0)</f>
        <v>0</v>
      </c>
      <c r="CC8" s="314">
        <f>IF($BI8&lt;&gt;"",IF('Capacity summary'!$D$14="Yes",IF(COUNTBLANK('Capacity summary'!$H127:$BG127)&lt;52,IF('Capacity summary'!Z127&lt;&gt;"",IF(LOWER('Capacity summary'!Z127)="x",$BI8*Z8,VALUE('Capacity summary'!Z127)),0),Z8*$BI8),Z8*$BI8),0)</f>
        <v>0</v>
      </c>
      <c r="CD8" s="314">
        <f>IF($BI8&lt;&gt;"",IF('Capacity summary'!$D$14="Yes",IF(COUNTBLANK('Capacity summary'!$H127:$BG127)&lt;52,IF('Capacity summary'!AA127&lt;&gt;"",IF(LOWER('Capacity summary'!AA127)="x",$BI8*AA8,VALUE('Capacity summary'!AA127)),0),AA8*$BI8),AA8*$BI8),0)</f>
        <v>0</v>
      </c>
      <c r="CE8" s="314">
        <f>IF($BI8&lt;&gt;"",IF('Capacity summary'!$D$14="Yes",IF(COUNTBLANK('Capacity summary'!$H127:$BG127)&lt;52,IF('Capacity summary'!AB127&lt;&gt;"",IF(LOWER('Capacity summary'!AB127)="x",$BI8*AB8,VALUE('Capacity summary'!AB127)),0),AB8*$BI8),AB8*$BI8),0)</f>
        <v>0</v>
      </c>
      <c r="CF8" s="314">
        <f>IF($BI8&lt;&gt;"",IF('Capacity summary'!$D$14="Yes",IF(COUNTBLANK('Capacity summary'!$H127:$BG127)&lt;52,IF('Capacity summary'!AC127&lt;&gt;"",IF(LOWER('Capacity summary'!AC127)="x",$BI8*AC8,VALUE('Capacity summary'!AC127)),0),AC8*$BI8),AC8*$BI8),0)</f>
        <v>0</v>
      </c>
      <c r="CG8" s="314">
        <f>IF($BI8&lt;&gt;"",IF('Capacity summary'!$D$14="Yes",IF(COUNTBLANK('Capacity summary'!$H127:$BG127)&lt;52,IF('Capacity summary'!AD127&lt;&gt;"",IF(LOWER('Capacity summary'!AD127)="x",$BI8*AD8,VALUE('Capacity summary'!AD127)),0),AD8*$BI8),AD8*$BI8),0)</f>
        <v>0</v>
      </c>
      <c r="CH8" s="314">
        <f>IF($BI8&lt;&gt;"",IF('Capacity summary'!$D$14="Yes",IF(COUNTBLANK('Capacity summary'!$H127:$BG127)&lt;52,IF('Capacity summary'!AE127&lt;&gt;"",IF(LOWER('Capacity summary'!AE127)="x",$BI8*AE8,VALUE('Capacity summary'!AE127)),0),AE8*$BI8),AE8*$BI8),0)</f>
        <v>0</v>
      </c>
      <c r="CI8" s="314">
        <f>IF($BI8&lt;&gt;"",IF('Capacity summary'!$D$14="Yes",IF(COUNTBLANK('Capacity summary'!$H127:$BG127)&lt;52,IF('Capacity summary'!AF127&lt;&gt;"",IF(LOWER('Capacity summary'!AF127)="x",$BI8*AF8,VALUE('Capacity summary'!AF127)),0),AF8*$BI8),AF8*$BI8),0)</f>
        <v>0</v>
      </c>
      <c r="CJ8" s="314">
        <f>IF($BI8&lt;&gt;"",IF('Capacity summary'!$D$14="Yes",IF(COUNTBLANK('Capacity summary'!$H127:$BG127)&lt;52,IF('Capacity summary'!AG127&lt;&gt;"",IF(LOWER('Capacity summary'!AG127)="x",$BI8*AG8,VALUE('Capacity summary'!AG127)),0),AG8*$BI8),AG8*$BI8),0)</f>
        <v>0</v>
      </c>
      <c r="CK8" s="314">
        <f>IF($BI8&lt;&gt;"",IF('Capacity summary'!$D$14="Yes",IF(COUNTBLANK('Capacity summary'!$H127:$BG127)&lt;52,IF('Capacity summary'!AH127&lt;&gt;"",IF(LOWER('Capacity summary'!AH127)="x",$BI8*AH8,VALUE('Capacity summary'!AH127)),0),AH8*$BI8),AH8*$BI8),0)</f>
        <v>0</v>
      </c>
      <c r="CL8" s="314">
        <f>IF($BI8&lt;&gt;"",IF('Capacity summary'!$D$14="Yes",IF(COUNTBLANK('Capacity summary'!$H127:$BG127)&lt;52,IF('Capacity summary'!AI127&lt;&gt;"",IF(LOWER('Capacity summary'!AI127)="x",$BI8*AI8,VALUE('Capacity summary'!AI127)),0),AI8*$BI8),AI8*$BI8),0)</f>
        <v>0</v>
      </c>
      <c r="CM8" s="314">
        <f>IF($BI8&lt;&gt;"",IF('Capacity summary'!$D$14="Yes",IF(COUNTBLANK('Capacity summary'!$H127:$BG127)&lt;52,IF('Capacity summary'!AJ127&lt;&gt;"",IF(LOWER('Capacity summary'!AJ127)="x",$BI8*AJ8,VALUE('Capacity summary'!AJ127)),0),AJ8*$BI8),AJ8*$BI8),0)</f>
        <v>0</v>
      </c>
      <c r="CN8" s="314">
        <f>IF($BI8&lt;&gt;"",IF('Capacity summary'!$D$14="Yes",IF(COUNTBLANK('Capacity summary'!$H127:$BG127)&lt;52,IF('Capacity summary'!AK127&lt;&gt;"",IF(LOWER('Capacity summary'!AK127)="x",$BI8*AK8,VALUE('Capacity summary'!AK127)),0),AK8*$BI8),AK8*$BI8),0)</f>
        <v>0</v>
      </c>
      <c r="CO8" s="314">
        <f>IF($BI8&lt;&gt;"",IF('Capacity summary'!$D$14="Yes",IF(COUNTBLANK('Capacity summary'!$H127:$BG127)&lt;52,IF('Capacity summary'!AL127&lt;&gt;"",IF(LOWER('Capacity summary'!AL127)="x",$BI8*AL8,VALUE('Capacity summary'!AL127)),0),AL8*$BI8),AL8*$BI8),0)</f>
        <v>0</v>
      </c>
      <c r="CP8" s="314">
        <f>IF($BI8&lt;&gt;"",IF('Capacity summary'!$D$14="Yes",IF(COUNTBLANK('Capacity summary'!$H127:$BG127)&lt;52,IF('Capacity summary'!AM127&lt;&gt;"",IF(LOWER('Capacity summary'!AM127)="x",$BI8*AM8,VALUE('Capacity summary'!AM127)),0),AM8*$BI8),AM8*$BI8),0)</f>
        <v>0</v>
      </c>
      <c r="CQ8" s="314">
        <f>IF($BI8&lt;&gt;"",IF('Capacity summary'!$D$14="Yes",IF(COUNTBLANK('Capacity summary'!$H127:$BG127)&lt;52,IF('Capacity summary'!AN127&lt;&gt;"",IF(LOWER('Capacity summary'!AN127)="x",$BI8*AN8,VALUE('Capacity summary'!AN127)),0),AN8*$BI8),AN8*$BI8),0)</f>
        <v>0</v>
      </c>
      <c r="CR8" s="314">
        <f>IF($BI8&lt;&gt;"",IF('Capacity summary'!$D$14="Yes",IF(COUNTBLANK('Capacity summary'!$H127:$BG127)&lt;52,IF('Capacity summary'!AO127&lt;&gt;"",IF(LOWER('Capacity summary'!AO127)="x",$BI8*AO8,VALUE('Capacity summary'!AO127)),0),AO8*$BI8),AO8*$BI8),0)</f>
        <v>0</v>
      </c>
      <c r="CS8" s="314">
        <f>IF($BI8&lt;&gt;"",IF('Capacity summary'!$D$14="Yes",IF(COUNTBLANK('Capacity summary'!$H127:$BG127)&lt;52,IF('Capacity summary'!AP127&lt;&gt;"",IF(LOWER('Capacity summary'!AP127)="x",$BI8*AP8,VALUE('Capacity summary'!AP127)),0),AP8*$BI8),AP8*$BI8),0)</f>
        <v>0</v>
      </c>
      <c r="CT8" s="314">
        <f>IF($BI8&lt;&gt;"",IF('Capacity summary'!$D$14="Yes",IF(COUNTBLANK('Capacity summary'!$H127:$BG127)&lt;52,IF('Capacity summary'!AQ127&lt;&gt;"",IF(LOWER('Capacity summary'!AQ127)="x",$BI8*AQ8,VALUE('Capacity summary'!AQ127)),0),AQ8*$BI8),AQ8*$BI8),0)</f>
        <v>0</v>
      </c>
      <c r="CU8" s="314">
        <f>IF($BI8&lt;&gt;"",IF('Capacity summary'!$D$14="Yes",IF(COUNTBLANK('Capacity summary'!$H127:$BG127)&lt;52,IF('Capacity summary'!AR127&lt;&gt;"",IF(LOWER('Capacity summary'!AR127)="x",$BI8*AR8,VALUE('Capacity summary'!AR127)),0),AR8*$BI8),AR8*$BI8),0)</f>
        <v>0</v>
      </c>
      <c r="CV8" s="314">
        <f>IF($BI8&lt;&gt;"",IF('Capacity summary'!$D$14="Yes",IF(COUNTBLANK('Capacity summary'!$H127:$BG127)&lt;52,IF('Capacity summary'!AS127&lt;&gt;"",IF(LOWER('Capacity summary'!AS127)="x",$BI8*AS8,VALUE('Capacity summary'!AS127)),0),AS8*$BI8),AS8*$BI8),0)</f>
        <v>0</v>
      </c>
      <c r="CW8" s="314">
        <f>IF($BI8&lt;&gt;"",IF('Capacity summary'!$D$14="Yes",IF(COUNTBLANK('Capacity summary'!$H127:$BG127)&lt;52,IF('Capacity summary'!AT127&lt;&gt;"",IF(LOWER('Capacity summary'!AT127)="x",$BI8*AT8,VALUE('Capacity summary'!AT127)),0),AT8*$BI8),AT8*$BI8),0)</f>
        <v>0</v>
      </c>
      <c r="CX8" s="314">
        <f>IF($BI8&lt;&gt;"",IF('Capacity summary'!$D$14="Yes",IF(COUNTBLANK('Capacity summary'!$H127:$BG127)&lt;52,IF('Capacity summary'!AU127&lt;&gt;"",IF(LOWER('Capacity summary'!AU127)="x",$BI8*AU8,VALUE('Capacity summary'!AU127)),0),AU8*$BI8),AU8*$BI8),0)</f>
        <v>0</v>
      </c>
      <c r="CY8" s="314">
        <f>IF($BI8&lt;&gt;"",IF('Capacity summary'!$D$14="Yes",IF(COUNTBLANK('Capacity summary'!$H127:$BG127)&lt;52,IF('Capacity summary'!AV127&lt;&gt;"",IF(LOWER('Capacity summary'!AV127)="x",$BI8*AV8,VALUE('Capacity summary'!AV127)),0),AV8*$BI8),AV8*$BI8),0)</f>
        <v>0</v>
      </c>
      <c r="CZ8" s="314">
        <f>IF($BI8&lt;&gt;"",IF('Capacity summary'!$D$14="Yes",IF(COUNTBLANK('Capacity summary'!$H127:$BG127)&lt;52,IF('Capacity summary'!AW127&lt;&gt;"",IF(LOWER('Capacity summary'!AW127)="x",$BI8*AW8,VALUE('Capacity summary'!AW127)),0),AW8*$BI8),AW8*$BI8),0)</f>
        <v>0</v>
      </c>
      <c r="DA8" s="314">
        <f>IF($BI8&lt;&gt;"",IF('Capacity summary'!$D$14="Yes",IF(COUNTBLANK('Capacity summary'!$H127:$BG127)&lt;52,IF('Capacity summary'!AX127&lt;&gt;"",IF(LOWER('Capacity summary'!AX127)="x",$BI8*AX8,VALUE('Capacity summary'!AX127)),0),AX8*$BI8),AX8*$BI8),0)</f>
        <v>0</v>
      </c>
      <c r="DB8" s="314">
        <f>IF($BI8&lt;&gt;"",IF('Capacity summary'!$D$14="Yes",IF(COUNTBLANK('Capacity summary'!$H127:$BG127)&lt;52,IF('Capacity summary'!AY127&lt;&gt;"",IF(LOWER('Capacity summary'!AY127)="x",$BI8*AY8,VALUE('Capacity summary'!AY127)),0),AY8*$BI8),AY8*$BI8),0)</f>
        <v>0</v>
      </c>
      <c r="DC8" s="314">
        <f>IF($BI8&lt;&gt;"",IF('Capacity summary'!$D$14="Yes",IF(COUNTBLANK('Capacity summary'!$H127:$BG127)&lt;52,IF('Capacity summary'!AZ127&lt;&gt;"",IF(LOWER('Capacity summary'!AZ127)="x",$BI8*AZ8,VALUE('Capacity summary'!AZ127)),0),AZ8*$BI8),AZ8*$BI8),0)</f>
        <v>0</v>
      </c>
      <c r="DD8" s="314">
        <f>IF($BI8&lt;&gt;"",IF('Capacity summary'!$D$14="Yes",IF(COUNTBLANK('Capacity summary'!$H127:$BG127)&lt;52,IF('Capacity summary'!BA127&lt;&gt;"",IF(LOWER('Capacity summary'!BA127)="x",$BI8*BA8,VALUE('Capacity summary'!BA127)),0),BA8*$BI8),BA8*$BI8),0)</f>
        <v>0</v>
      </c>
      <c r="DE8" s="314">
        <f>IF($BI8&lt;&gt;"",IF('Capacity summary'!$D$14="Yes",IF(COUNTBLANK('Capacity summary'!$H127:$BG127)&lt;52,IF('Capacity summary'!BB127&lt;&gt;"",IF(LOWER('Capacity summary'!BB127)="x",$BI8*BB8,VALUE('Capacity summary'!BB127)),0),BB8*$BI8),BB8*$BI8),0)</f>
        <v>0</v>
      </c>
      <c r="DF8" s="314">
        <f>IF($BI8&lt;&gt;"",IF('Capacity summary'!$D$14="Yes",IF(COUNTBLANK('Capacity summary'!$H127:$BG127)&lt;52,IF('Capacity summary'!BC127&lt;&gt;"",IF(LOWER('Capacity summary'!BC127)="x",$BI8*BC8,VALUE('Capacity summary'!BC127)),0),BC8*$BI8),BC8*$BI8),0)</f>
        <v>0</v>
      </c>
      <c r="DG8" s="314">
        <f>IF($BI8&lt;&gt;"",IF('Capacity summary'!$D$14="Yes",IF(COUNTBLANK('Capacity summary'!$H127:$BG127)&lt;52,IF('Capacity summary'!BD127&lt;&gt;"",IF(LOWER('Capacity summary'!BD127)="x",$BI8*BD8,VALUE('Capacity summary'!BD127)),0),BD8*$BI8),BD8*$BI8),0)</f>
        <v>0</v>
      </c>
      <c r="DH8" s="314">
        <f>IF($BI8&lt;&gt;"",IF('Capacity summary'!$D$14="Yes",IF(COUNTBLANK('Capacity summary'!$H127:$BG127)&lt;52,IF('Capacity summary'!BE127&lt;&gt;"",IF(LOWER('Capacity summary'!BE127)="x",$BI8*BE8,VALUE('Capacity summary'!BE127)),0),BE8*$BI8),BE8*$BI8),0)</f>
        <v>0</v>
      </c>
      <c r="DI8" s="314">
        <f>IF($BI8&lt;&gt;"",IF('Capacity summary'!$D$14="Yes",IF(COUNTBLANK('Capacity summary'!$H127:$BG127)&lt;52,IF('Capacity summary'!BF127&lt;&gt;"",IF(LOWER('Capacity summary'!BF127)="x",$BI8*BF8,VALUE('Capacity summary'!BF127)),0),BF8*$BI8),BF8*$BI8),0)</f>
        <v>0</v>
      </c>
      <c r="DJ8" s="314">
        <f>IF($BI8&lt;&gt;"",IF('Capacity summary'!$D$14="Yes",IF(COUNTBLANK('Capacity summary'!$H127:$BG127)&lt;52,IF('Capacity summary'!BG127&lt;&gt;"",IF(LOWER('Capacity summary'!BG127)="x",$BI8*BG8,VALUE('Capacity summary'!BG127)),0),BG8*$BI8),BG8*$BI8),0)</f>
        <v>0</v>
      </c>
      <c r="DK8" s="137">
        <f t="shared" si="2"/>
        <v>0</v>
      </c>
      <c r="DL8" s="314" t="str">
        <f>Capacity!H20</f>
        <v/>
      </c>
      <c r="DP8" s="5"/>
    </row>
    <row r="9" spans="2:120" x14ac:dyDescent="0.25">
      <c r="B9" s="67"/>
      <c r="C9" s="67" t="str">
        <f>ROW(A5)&amp;". "&amp;Capacity!B21</f>
        <v xml:space="preserve">5. </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IF(ROW(C5)&lt;=Capacity!$A$16,IF('Capacity summary'!$D$14="No",SUM(H9:BG9),'Capacity summary'!$E128),0)</f>
        <v>0</v>
      </c>
      <c r="BI9" s="5" t="str">
        <f>IF(BH9&gt;0,IF(BH9&lt;Capacity!E21,Capacity!F21,Capacity!H21/'Capacity calculation (hide)'!BH9),"")</f>
        <v/>
      </c>
      <c r="BK9" s="314">
        <f>IF($BI9&lt;&gt;"",IF('Capacity summary'!$D$14="Yes",IF(COUNTBLANK('Capacity summary'!$H128:$BG128)&lt;52,IF('Capacity summary'!H128&lt;&gt;"",IF(LOWER('Capacity summary'!H128)="x",$BI9*H9,VALUE('Capacity summary'!H128)),0),H9*$BI9),H9*$BI9),0)</f>
        <v>0</v>
      </c>
      <c r="BL9" s="314">
        <f>IF($BI9&lt;&gt;"",IF('Capacity summary'!$D$14="Yes",IF(COUNTBLANK('Capacity summary'!$H128:$BG128)&lt;52,IF('Capacity summary'!I128&lt;&gt;"",IF(LOWER('Capacity summary'!I128)="x",$BI9*I9,VALUE('Capacity summary'!I128)),0),I9*$BI9),I9*$BI9),0)</f>
        <v>0</v>
      </c>
      <c r="BM9" s="314">
        <f>IF($BI9&lt;&gt;"",IF('Capacity summary'!$D$14="Yes",IF(COUNTBLANK('Capacity summary'!$H128:$BG128)&lt;52,IF('Capacity summary'!J128&lt;&gt;"",IF(LOWER('Capacity summary'!J128)="x",$BI9*J9,VALUE('Capacity summary'!J128)),0),J9*$BI9),J9*$BI9),0)</f>
        <v>0</v>
      </c>
      <c r="BN9" s="314">
        <f>IF($BI9&lt;&gt;"",IF('Capacity summary'!$D$14="Yes",IF(COUNTBLANK('Capacity summary'!$H128:$BG128)&lt;52,IF('Capacity summary'!K128&lt;&gt;"",IF(LOWER('Capacity summary'!K128)="x",$BI9*K9,VALUE('Capacity summary'!K128)),0),K9*$BI9),K9*$BI9),0)</f>
        <v>0</v>
      </c>
      <c r="BO9" s="314">
        <f>IF($BI9&lt;&gt;"",IF('Capacity summary'!$D$14="Yes",IF(COUNTBLANK('Capacity summary'!$H128:$BG128)&lt;52,IF('Capacity summary'!L128&lt;&gt;"",IF(LOWER('Capacity summary'!L128)="x",$BI9*L9,VALUE('Capacity summary'!L128)),0),L9*$BI9),L9*$BI9),0)</f>
        <v>0</v>
      </c>
      <c r="BP9" s="314">
        <f>IF($BI9&lt;&gt;"",IF('Capacity summary'!$D$14="Yes",IF(COUNTBLANK('Capacity summary'!$H128:$BG128)&lt;52,IF('Capacity summary'!M128&lt;&gt;"",IF(LOWER('Capacity summary'!M128)="x",$BI9*M9,VALUE('Capacity summary'!M128)),0),M9*$BI9),M9*$BI9),0)</f>
        <v>0</v>
      </c>
      <c r="BQ9" s="314">
        <f>IF($BI9&lt;&gt;"",IF('Capacity summary'!$D$14="Yes",IF(COUNTBLANK('Capacity summary'!$H128:$BG128)&lt;52,IF('Capacity summary'!N128&lt;&gt;"",IF(LOWER('Capacity summary'!N128)="x",$BI9*N9,VALUE('Capacity summary'!N128)),0),N9*$BI9),N9*$BI9),0)</f>
        <v>0</v>
      </c>
      <c r="BR9" s="314">
        <f>IF($BI9&lt;&gt;"",IF('Capacity summary'!$D$14="Yes",IF(COUNTBLANK('Capacity summary'!$H128:$BG128)&lt;52,IF('Capacity summary'!O128&lt;&gt;"",IF(LOWER('Capacity summary'!O128)="x",$BI9*O9,VALUE('Capacity summary'!O128)),0),O9*$BI9),O9*$BI9),0)</f>
        <v>0</v>
      </c>
      <c r="BS9" s="314">
        <f>IF($BI9&lt;&gt;"",IF('Capacity summary'!$D$14="Yes",IF(COUNTBLANK('Capacity summary'!$H128:$BG128)&lt;52,IF('Capacity summary'!P128&lt;&gt;"",IF(LOWER('Capacity summary'!P128)="x",$BI9*P9,VALUE('Capacity summary'!P128)),0),P9*$BI9),P9*$BI9),0)</f>
        <v>0</v>
      </c>
      <c r="BT9" s="314">
        <f>IF($BI9&lt;&gt;"",IF('Capacity summary'!$D$14="Yes",IF(COUNTBLANK('Capacity summary'!$H128:$BG128)&lt;52,IF('Capacity summary'!Q128&lt;&gt;"",IF(LOWER('Capacity summary'!Q128)="x",$BI9*Q9,VALUE('Capacity summary'!Q128)),0),Q9*$BI9),Q9*$BI9),0)</f>
        <v>0</v>
      </c>
      <c r="BU9" s="314">
        <f>IF($BI9&lt;&gt;"",IF('Capacity summary'!$D$14="Yes",IF(COUNTBLANK('Capacity summary'!$H128:$BG128)&lt;52,IF('Capacity summary'!R128&lt;&gt;"",IF(LOWER('Capacity summary'!R128)="x",$BI9*R9,VALUE('Capacity summary'!R128)),0),R9*$BI9),R9*$BI9),0)</f>
        <v>0</v>
      </c>
      <c r="BV9" s="314">
        <f>IF($BI9&lt;&gt;"",IF('Capacity summary'!$D$14="Yes",IF(COUNTBLANK('Capacity summary'!$H128:$BG128)&lt;52,IF('Capacity summary'!S128&lt;&gt;"",IF(LOWER('Capacity summary'!S128)="x",$BI9*S9,VALUE('Capacity summary'!S128)),0),S9*$BI9),S9*$BI9),0)</f>
        <v>0</v>
      </c>
      <c r="BW9" s="314">
        <f>IF($BI9&lt;&gt;"",IF('Capacity summary'!$D$14="Yes",IF(COUNTBLANK('Capacity summary'!$H128:$BG128)&lt;52,IF('Capacity summary'!T128&lt;&gt;"",IF(LOWER('Capacity summary'!T128)="x",$BI9*T9,VALUE('Capacity summary'!T128)),0),T9*$BI9),T9*$BI9),0)</f>
        <v>0</v>
      </c>
      <c r="BX9" s="314">
        <f>IF($BI9&lt;&gt;"",IF('Capacity summary'!$D$14="Yes",IF(COUNTBLANK('Capacity summary'!$H128:$BG128)&lt;52,IF('Capacity summary'!U128&lt;&gt;"",IF(LOWER('Capacity summary'!U128)="x",$BI9*U9,VALUE('Capacity summary'!U128)),0),U9*$BI9),U9*$BI9),0)</f>
        <v>0</v>
      </c>
      <c r="BY9" s="314">
        <f>IF($BI9&lt;&gt;"",IF('Capacity summary'!$D$14="Yes",IF(COUNTBLANK('Capacity summary'!$H128:$BG128)&lt;52,IF('Capacity summary'!V128&lt;&gt;"",IF(LOWER('Capacity summary'!V128)="x",$BI9*V9,VALUE('Capacity summary'!V128)),0),V9*$BI9),V9*$BI9),0)</f>
        <v>0</v>
      </c>
      <c r="BZ9" s="314">
        <f>IF($BI9&lt;&gt;"",IF('Capacity summary'!$D$14="Yes",IF(COUNTBLANK('Capacity summary'!$H128:$BG128)&lt;52,IF('Capacity summary'!W128&lt;&gt;"",IF(LOWER('Capacity summary'!W128)="x",$BI9*W9,VALUE('Capacity summary'!W128)),0),W9*$BI9),W9*$BI9),0)</f>
        <v>0</v>
      </c>
      <c r="CA9" s="314">
        <f>IF($BI9&lt;&gt;"",IF('Capacity summary'!$D$14="Yes",IF(COUNTBLANK('Capacity summary'!$H128:$BG128)&lt;52,IF('Capacity summary'!X128&lt;&gt;"",IF(LOWER('Capacity summary'!X128)="x",$BI9*X9,VALUE('Capacity summary'!X128)),0),X9*$BI9),X9*$BI9),0)</f>
        <v>0</v>
      </c>
      <c r="CB9" s="314">
        <f>IF($BI9&lt;&gt;"",IF('Capacity summary'!$D$14="Yes",IF(COUNTBLANK('Capacity summary'!$H128:$BG128)&lt;52,IF('Capacity summary'!Y128&lt;&gt;"",IF(LOWER('Capacity summary'!Y128)="x",$BI9*Y9,VALUE('Capacity summary'!Y128)),0),Y9*$BI9),Y9*$BI9),0)</f>
        <v>0</v>
      </c>
      <c r="CC9" s="314">
        <f>IF($BI9&lt;&gt;"",IF('Capacity summary'!$D$14="Yes",IF(COUNTBLANK('Capacity summary'!$H128:$BG128)&lt;52,IF('Capacity summary'!Z128&lt;&gt;"",IF(LOWER('Capacity summary'!Z128)="x",$BI9*Z9,VALUE('Capacity summary'!Z128)),0),Z9*$BI9),Z9*$BI9),0)</f>
        <v>0</v>
      </c>
      <c r="CD9" s="314">
        <f>IF($BI9&lt;&gt;"",IF('Capacity summary'!$D$14="Yes",IF(COUNTBLANK('Capacity summary'!$H128:$BG128)&lt;52,IF('Capacity summary'!AA128&lt;&gt;"",IF(LOWER('Capacity summary'!AA128)="x",$BI9*AA9,VALUE('Capacity summary'!AA128)),0),AA9*$BI9),AA9*$BI9),0)</f>
        <v>0</v>
      </c>
      <c r="CE9" s="314">
        <f>IF($BI9&lt;&gt;"",IF('Capacity summary'!$D$14="Yes",IF(COUNTBLANK('Capacity summary'!$H128:$BG128)&lt;52,IF('Capacity summary'!AB128&lt;&gt;"",IF(LOWER('Capacity summary'!AB128)="x",$BI9*AB9,VALUE('Capacity summary'!AB128)),0),AB9*$BI9),AB9*$BI9),0)</f>
        <v>0</v>
      </c>
      <c r="CF9" s="314">
        <f>IF($BI9&lt;&gt;"",IF('Capacity summary'!$D$14="Yes",IF(COUNTBLANK('Capacity summary'!$H128:$BG128)&lt;52,IF('Capacity summary'!AC128&lt;&gt;"",IF(LOWER('Capacity summary'!AC128)="x",$BI9*AC9,VALUE('Capacity summary'!AC128)),0),AC9*$BI9),AC9*$BI9),0)</f>
        <v>0</v>
      </c>
      <c r="CG9" s="314">
        <f>IF($BI9&lt;&gt;"",IF('Capacity summary'!$D$14="Yes",IF(COUNTBLANK('Capacity summary'!$H128:$BG128)&lt;52,IF('Capacity summary'!AD128&lt;&gt;"",IF(LOWER('Capacity summary'!AD128)="x",$BI9*AD9,VALUE('Capacity summary'!AD128)),0),AD9*$BI9),AD9*$BI9),0)</f>
        <v>0</v>
      </c>
      <c r="CH9" s="314">
        <f>IF($BI9&lt;&gt;"",IF('Capacity summary'!$D$14="Yes",IF(COUNTBLANK('Capacity summary'!$H128:$BG128)&lt;52,IF('Capacity summary'!AE128&lt;&gt;"",IF(LOWER('Capacity summary'!AE128)="x",$BI9*AE9,VALUE('Capacity summary'!AE128)),0),AE9*$BI9),AE9*$BI9),0)</f>
        <v>0</v>
      </c>
      <c r="CI9" s="314">
        <f>IF($BI9&lt;&gt;"",IF('Capacity summary'!$D$14="Yes",IF(COUNTBLANK('Capacity summary'!$H128:$BG128)&lt;52,IF('Capacity summary'!AF128&lt;&gt;"",IF(LOWER('Capacity summary'!AF128)="x",$BI9*AF9,VALUE('Capacity summary'!AF128)),0),AF9*$BI9),AF9*$BI9),0)</f>
        <v>0</v>
      </c>
      <c r="CJ9" s="314">
        <f>IF($BI9&lt;&gt;"",IF('Capacity summary'!$D$14="Yes",IF(COUNTBLANK('Capacity summary'!$H128:$BG128)&lt;52,IF('Capacity summary'!AG128&lt;&gt;"",IF(LOWER('Capacity summary'!AG128)="x",$BI9*AG9,VALUE('Capacity summary'!AG128)),0),AG9*$BI9),AG9*$BI9),0)</f>
        <v>0</v>
      </c>
      <c r="CK9" s="314">
        <f>IF($BI9&lt;&gt;"",IF('Capacity summary'!$D$14="Yes",IF(COUNTBLANK('Capacity summary'!$H128:$BG128)&lt;52,IF('Capacity summary'!AH128&lt;&gt;"",IF(LOWER('Capacity summary'!AH128)="x",$BI9*AH9,VALUE('Capacity summary'!AH128)),0),AH9*$BI9),AH9*$BI9),0)</f>
        <v>0</v>
      </c>
      <c r="CL9" s="314">
        <f>IF($BI9&lt;&gt;"",IF('Capacity summary'!$D$14="Yes",IF(COUNTBLANK('Capacity summary'!$H128:$BG128)&lt;52,IF('Capacity summary'!AI128&lt;&gt;"",IF(LOWER('Capacity summary'!AI128)="x",$BI9*AI9,VALUE('Capacity summary'!AI128)),0),AI9*$BI9),AI9*$BI9),0)</f>
        <v>0</v>
      </c>
      <c r="CM9" s="314">
        <f>IF($BI9&lt;&gt;"",IF('Capacity summary'!$D$14="Yes",IF(COUNTBLANK('Capacity summary'!$H128:$BG128)&lt;52,IF('Capacity summary'!AJ128&lt;&gt;"",IF(LOWER('Capacity summary'!AJ128)="x",$BI9*AJ9,VALUE('Capacity summary'!AJ128)),0),AJ9*$BI9),AJ9*$BI9),0)</f>
        <v>0</v>
      </c>
      <c r="CN9" s="314">
        <f>IF($BI9&lt;&gt;"",IF('Capacity summary'!$D$14="Yes",IF(COUNTBLANK('Capacity summary'!$H128:$BG128)&lt;52,IF('Capacity summary'!AK128&lt;&gt;"",IF(LOWER('Capacity summary'!AK128)="x",$BI9*AK9,VALUE('Capacity summary'!AK128)),0),AK9*$BI9),AK9*$BI9),0)</f>
        <v>0</v>
      </c>
      <c r="CO9" s="314">
        <f>IF($BI9&lt;&gt;"",IF('Capacity summary'!$D$14="Yes",IF(COUNTBLANK('Capacity summary'!$H128:$BG128)&lt;52,IF('Capacity summary'!AL128&lt;&gt;"",IF(LOWER('Capacity summary'!AL128)="x",$BI9*AL9,VALUE('Capacity summary'!AL128)),0),AL9*$BI9),AL9*$BI9),0)</f>
        <v>0</v>
      </c>
      <c r="CP9" s="314">
        <f>IF($BI9&lt;&gt;"",IF('Capacity summary'!$D$14="Yes",IF(COUNTBLANK('Capacity summary'!$H128:$BG128)&lt;52,IF('Capacity summary'!AM128&lt;&gt;"",IF(LOWER('Capacity summary'!AM128)="x",$BI9*AM9,VALUE('Capacity summary'!AM128)),0),AM9*$BI9),AM9*$BI9),0)</f>
        <v>0</v>
      </c>
      <c r="CQ9" s="314">
        <f>IF($BI9&lt;&gt;"",IF('Capacity summary'!$D$14="Yes",IF(COUNTBLANK('Capacity summary'!$H128:$BG128)&lt;52,IF('Capacity summary'!AN128&lt;&gt;"",IF(LOWER('Capacity summary'!AN128)="x",$BI9*AN9,VALUE('Capacity summary'!AN128)),0),AN9*$BI9),AN9*$BI9),0)</f>
        <v>0</v>
      </c>
      <c r="CR9" s="314">
        <f>IF($BI9&lt;&gt;"",IF('Capacity summary'!$D$14="Yes",IF(COUNTBLANK('Capacity summary'!$H128:$BG128)&lt;52,IF('Capacity summary'!AO128&lt;&gt;"",IF(LOWER('Capacity summary'!AO128)="x",$BI9*AO9,VALUE('Capacity summary'!AO128)),0),AO9*$BI9),AO9*$BI9),0)</f>
        <v>0</v>
      </c>
      <c r="CS9" s="314">
        <f>IF($BI9&lt;&gt;"",IF('Capacity summary'!$D$14="Yes",IF(COUNTBLANK('Capacity summary'!$H128:$BG128)&lt;52,IF('Capacity summary'!AP128&lt;&gt;"",IF(LOWER('Capacity summary'!AP128)="x",$BI9*AP9,VALUE('Capacity summary'!AP128)),0),AP9*$BI9),AP9*$BI9),0)</f>
        <v>0</v>
      </c>
      <c r="CT9" s="314">
        <f>IF($BI9&lt;&gt;"",IF('Capacity summary'!$D$14="Yes",IF(COUNTBLANK('Capacity summary'!$H128:$BG128)&lt;52,IF('Capacity summary'!AQ128&lt;&gt;"",IF(LOWER('Capacity summary'!AQ128)="x",$BI9*AQ9,VALUE('Capacity summary'!AQ128)),0),AQ9*$BI9),AQ9*$BI9),0)</f>
        <v>0</v>
      </c>
      <c r="CU9" s="314">
        <f>IF($BI9&lt;&gt;"",IF('Capacity summary'!$D$14="Yes",IF(COUNTBLANK('Capacity summary'!$H128:$BG128)&lt;52,IF('Capacity summary'!AR128&lt;&gt;"",IF(LOWER('Capacity summary'!AR128)="x",$BI9*AR9,VALUE('Capacity summary'!AR128)),0),AR9*$BI9),AR9*$BI9),0)</f>
        <v>0</v>
      </c>
      <c r="CV9" s="314">
        <f>IF($BI9&lt;&gt;"",IF('Capacity summary'!$D$14="Yes",IF(COUNTBLANK('Capacity summary'!$H128:$BG128)&lt;52,IF('Capacity summary'!AS128&lt;&gt;"",IF(LOWER('Capacity summary'!AS128)="x",$BI9*AS9,VALUE('Capacity summary'!AS128)),0),AS9*$BI9),AS9*$BI9),0)</f>
        <v>0</v>
      </c>
      <c r="CW9" s="314">
        <f>IF($BI9&lt;&gt;"",IF('Capacity summary'!$D$14="Yes",IF(COUNTBLANK('Capacity summary'!$H128:$BG128)&lt;52,IF('Capacity summary'!AT128&lt;&gt;"",IF(LOWER('Capacity summary'!AT128)="x",$BI9*AT9,VALUE('Capacity summary'!AT128)),0),AT9*$BI9),AT9*$BI9),0)</f>
        <v>0</v>
      </c>
      <c r="CX9" s="314">
        <f>IF($BI9&lt;&gt;"",IF('Capacity summary'!$D$14="Yes",IF(COUNTBLANK('Capacity summary'!$H128:$BG128)&lt;52,IF('Capacity summary'!AU128&lt;&gt;"",IF(LOWER('Capacity summary'!AU128)="x",$BI9*AU9,VALUE('Capacity summary'!AU128)),0),AU9*$BI9),AU9*$BI9),0)</f>
        <v>0</v>
      </c>
      <c r="CY9" s="314">
        <f>IF($BI9&lt;&gt;"",IF('Capacity summary'!$D$14="Yes",IF(COUNTBLANK('Capacity summary'!$H128:$BG128)&lt;52,IF('Capacity summary'!AV128&lt;&gt;"",IF(LOWER('Capacity summary'!AV128)="x",$BI9*AV9,VALUE('Capacity summary'!AV128)),0),AV9*$BI9),AV9*$BI9),0)</f>
        <v>0</v>
      </c>
      <c r="CZ9" s="314">
        <f>IF($BI9&lt;&gt;"",IF('Capacity summary'!$D$14="Yes",IF(COUNTBLANK('Capacity summary'!$H128:$BG128)&lt;52,IF('Capacity summary'!AW128&lt;&gt;"",IF(LOWER('Capacity summary'!AW128)="x",$BI9*AW9,VALUE('Capacity summary'!AW128)),0),AW9*$BI9),AW9*$BI9),0)</f>
        <v>0</v>
      </c>
      <c r="DA9" s="314">
        <f>IF($BI9&lt;&gt;"",IF('Capacity summary'!$D$14="Yes",IF(COUNTBLANK('Capacity summary'!$H128:$BG128)&lt;52,IF('Capacity summary'!AX128&lt;&gt;"",IF(LOWER('Capacity summary'!AX128)="x",$BI9*AX9,VALUE('Capacity summary'!AX128)),0),AX9*$BI9),AX9*$BI9),0)</f>
        <v>0</v>
      </c>
      <c r="DB9" s="314">
        <f>IF($BI9&lt;&gt;"",IF('Capacity summary'!$D$14="Yes",IF(COUNTBLANK('Capacity summary'!$H128:$BG128)&lt;52,IF('Capacity summary'!AY128&lt;&gt;"",IF(LOWER('Capacity summary'!AY128)="x",$BI9*AY9,VALUE('Capacity summary'!AY128)),0),AY9*$BI9),AY9*$BI9),0)</f>
        <v>0</v>
      </c>
      <c r="DC9" s="314">
        <f>IF($BI9&lt;&gt;"",IF('Capacity summary'!$D$14="Yes",IF(COUNTBLANK('Capacity summary'!$H128:$BG128)&lt;52,IF('Capacity summary'!AZ128&lt;&gt;"",IF(LOWER('Capacity summary'!AZ128)="x",$BI9*AZ9,VALUE('Capacity summary'!AZ128)),0),AZ9*$BI9),AZ9*$BI9),0)</f>
        <v>0</v>
      </c>
      <c r="DD9" s="314">
        <f>IF($BI9&lt;&gt;"",IF('Capacity summary'!$D$14="Yes",IF(COUNTBLANK('Capacity summary'!$H128:$BG128)&lt;52,IF('Capacity summary'!BA128&lt;&gt;"",IF(LOWER('Capacity summary'!BA128)="x",$BI9*BA9,VALUE('Capacity summary'!BA128)),0),BA9*$BI9),BA9*$BI9),0)</f>
        <v>0</v>
      </c>
      <c r="DE9" s="314">
        <f>IF($BI9&lt;&gt;"",IF('Capacity summary'!$D$14="Yes",IF(COUNTBLANK('Capacity summary'!$H128:$BG128)&lt;52,IF('Capacity summary'!BB128&lt;&gt;"",IF(LOWER('Capacity summary'!BB128)="x",$BI9*BB9,VALUE('Capacity summary'!BB128)),0),BB9*$BI9),BB9*$BI9),0)</f>
        <v>0</v>
      </c>
      <c r="DF9" s="314">
        <f>IF($BI9&lt;&gt;"",IF('Capacity summary'!$D$14="Yes",IF(COUNTBLANK('Capacity summary'!$H128:$BG128)&lt;52,IF('Capacity summary'!BC128&lt;&gt;"",IF(LOWER('Capacity summary'!BC128)="x",$BI9*BC9,VALUE('Capacity summary'!BC128)),0),BC9*$BI9),BC9*$BI9),0)</f>
        <v>0</v>
      </c>
      <c r="DG9" s="314">
        <f>IF($BI9&lt;&gt;"",IF('Capacity summary'!$D$14="Yes",IF(COUNTBLANK('Capacity summary'!$H128:$BG128)&lt;52,IF('Capacity summary'!BD128&lt;&gt;"",IF(LOWER('Capacity summary'!BD128)="x",$BI9*BD9,VALUE('Capacity summary'!BD128)),0),BD9*$BI9),BD9*$BI9),0)</f>
        <v>0</v>
      </c>
      <c r="DH9" s="314">
        <f>IF($BI9&lt;&gt;"",IF('Capacity summary'!$D$14="Yes",IF(COUNTBLANK('Capacity summary'!$H128:$BG128)&lt;52,IF('Capacity summary'!BE128&lt;&gt;"",IF(LOWER('Capacity summary'!BE128)="x",$BI9*BE9,VALUE('Capacity summary'!BE128)),0),BE9*$BI9),BE9*$BI9),0)</f>
        <v>0</v>
      </c>
      <c r="DI9" s="314">
        <f>IF($BI9&lt;&gt;"",IF('Capacity summary'!$D$14="Yes",IF(COUNTBLANK('Capacity summary'!$H128:$BG128)&lt;52,IF('Capacity summary'!BF128&lt;&gt;"",IF(LOWER('Capacity summary'!BF128)="x",$BI9*BF9,VALUE('Capacity summary'!BF128)),0),BF9*$BI9),BF9*$BI9),0)</f>
        <v>0</v>
      </c>
      <c r="DJ9" s="314">
        <f>IF($BI9&lt;&gt;"",IF('Capacity summary'!$D$14="Yes",IF(COUNTBLANK('Capacity summary'!$H128:$BG128)&lt;52,IF('Capacity summary'!BG128&lt;&gt;"",IF(LOWER('Capacity summary'!BG128)="x",$BI9*BG9,VALUE('Capacity summary'!BG128)),0),BG9*$BI9),BG9*$BI9),0)</f>
        <v>0</v>
      </c>
      <c r="DK9" s="137">
        <f t="shared" si="2"/>
        <v>0</v>
      </c>
      <c r="DL9" s="314" t="str">
        <f>Capacity!H21</f>
        <v/>
      </c>
      <c r="DP9" s="5"/>
    </row>
    <row r="10" spans="2:120" x14ac:dyDescent="0.25">
      <c r="B10" s="67"/>
      <c r="C10" s="67" t="str">
        <f>ROW(A6)&amp;". "&amp;Capacity!B22</f>
        <v xml:space="preserve">6.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IF(ROW(C6)&lt;=Capacity!$A$16,IF('Capacity summary'!$D$14="No",SUM(H10:BG10),'Capacity summary'!$E129),0)</f>
        <v>0</v>
      </c>
      <c r="BI10" s="5" t="str">
        <f>IF(BH10&gt;0,IF(BH10&lt;Capacity!E22,Capacity!F22,Capacity!H22/'Capacity calculation (hide)'!BH10),"")</f>
        <v/>
      </c>
      <c r="BK10" s="314">
        <f>IF($BI10&lt;&gt;"",IF('Capacity summary'!$D$14="Yes",IF(COUNTBLANK('Capacity summary'!$H129:$BG129)&lt;52,IF('Capacity summary'!H129&lt;&gt;"",IF(LOWER('Capacity summary'!H129)="x",$BI10*H10,VALUE('Capacity summary'!H129)),0),H10*$BI10),H10*$BI10),0)</f>
        <v>0</v>
      </c>
      <c r="BL10" s="314">
        <f>IF($BI10&lt;&gt;"",IF('Capacity summary'!$D$14="Yes",IF(COUNTBLANK('Capacity summary'!$H129:$BG129)&lt;52,IF('Capacity summary'!I129&lt;&gt;"",IF(LOWER('Capacity summary'!I129)="x",$BI10*I10,VALUE('Capacity summary'!I129)),0),I10*$BI10),I10*$BI10),0)</f>
        <v>0</v>
      </c>
      <c r="BM10" s="314">
        <f>IF($BI10&lt;&gt;"",IF('Capacity summary'!$D$14="Yes",IF(COUNTBLANK('Capacity summary'!$H129:$BG129)&lt;52,IF('Capacity summary'!J129&lt;&gt;"",IF(LOWER('Capacity summary'!J129)="x",$BI10*J10,VALUE('Capacity summary'!J129)),0),J10*$BI10),J10*$BI10),0)</f>
        <v>0</v>
      </c>
      <c r="BN10" s="314">
        <f>IF($BI10&lt;&gt;"",IF('Capacity summary'!$D$14="Yes",IF(COUNTBLANK('Capacity summary'!$H129:$BG129)&lt;52,IF('Capacity summary'!K129&lt;&gt;"",IF(LOWER('Capacity summary'!K129)="x",$BI10*K10,VALUE('Capacity summary'!K129)),0),K10*$BI10),K10*$BI10),0)</f>
        <v>0</v>
      </c>
      <c r="BO10" s="314">
        <f>IF($BI10&lt;&gt;"",IF('Capacity summary'!$D$14="Yes",IF(COUNTBLANK('Capacity summary'!$H129:$BG129)&lt;52,IF('Capacity summary'!L129&lt;&gt;"",IF(LOWER('Capacity summary'!L129)="x",$BI10*L10,VALUE('Capacity summary'!L129)),0),L10*$BI10),L10*$BI10),0)</f>
        <v>0</v>
      </c>
      <c r="BP10" s="314">
        <f>IF($BI10&lt;&gt;"",IF('Capacity summary'!$D$14="Yes",IF(COUNTBLANK('Capacity summary'!$H129:$BG129)&lt;52,IF('Capacity summary'!M129&lt;&gt;"",IF(LOWER('Capacity summary'!M129)="x",$BI10*M10,VALUE('Capacity summary'!M129)),0),M10*$BI10),M10*$BI10),0)</f>
        <v>0</v>
      </c>
      <c r="BQ10" s="314">
        <f>IF($BI10&lt;&gt;"",IF('Capacity summary'!$D$14="Yes",IF(COUNTBLANK('Capacity summary'!$H129:$BG129)&lt;52,IF('Capacity summary'!N129&lt;&gt;"",IF(LOWER('Capacity summary'!N129)="x",$BI10*N10,VALUE('Capacity summary'!N129)),0),N10*$BI10),N10*$BI10),0)</f>
        <v>0</v>
      </c>
      <c r="BR10" s="314">
        <f>IF($BI10&lt;&gt;"",IF('Capacity summary'!$D$14="Yes",IF(COUNTBLANK('Capacity summary'!$H129:$BG129)&lt;52,IF('Capacity summary'!O129&lt;&gt;"",IF(LOWER('Capacity summary'!O129)="x",$BI10*O10,VALUE('Capacity summary'!O129)),0),O10*$BI10),O10*$BI10),0)</f>
        <v>0</v>
      </c>
      <c r="BS10" s="314">
        <f>IF($BI10&lt;&gt;"",IF('Capacity summary'!$D$14="Yes",IF(COUNTBLANK('Capacity summary'!$H129:$BG129)&lt;52,IF('Capacity summary'!P129&lt;&gt;"",IF(LOWER('Capacity summary'!P129)="x",$BI10*P10,VALUE('Capacity summary'!P129)),0),P10*$BI10),P10*$BI10),0)</f>
        <v>0</v>
      </c>
      <c r="BT10" s="314">
        <f>IF($BI10&lt;&gt;"",IF('Capacity summary'!$D$14="Yes",IF(COUNTBLANK('Capacity summary'!$H129:$BG129)&lt;52,IF('Capacity summary'!Q129&lt;&gt;"",IF(LOWER('Capacity summary'!Q129)="x",$BI10*Q10,VALUE('Capacity summary'!Q129)),0),Q10*$BI10),Q10*$BI10),0)</f>
        <v>0</v>
      </c>
      <c r="BU10" s="314">
        <f>IF($BI10&lt;&gt;"",IF('Capacity summary'!$D$14="Yes",IF(COUNTBLANK('Capacity summary'!$H129:$BG129)&lt;52,IF('Capacity summary'!R129&lt;&gt;"",IF(LOWER('Capacity summary'!R129)="x",$BI10*R10,VALUE('Capacity summary'!R129)),0),R10*$BI10),R10*$BI10),0)</f>
        <v>0</v>
      </c>
      <c r="BV10" s="314">
        <f>IF($BI10&lt;&gt;"",IF('Capacity summary'!$D$14="Yes",IF(COUNTBLANK('Capacity summary'!$H129:$BG129)&lt;52,IF('Capacity summary'!S129&lt;&gt;"",IF(LOWER('Capacity summary'!S129)="x",$BI10*S10,VALUE('Capacity summary'!S129)),0),S10*$BI10),S10*$BI10),0)</f>
        <v>0</v>
      </c>
      <c r="BW10" s="314">
        <f>IF($BI10&lt;&gt;"",IF('Capacity summary'!$D$14="Yes",IF(COUNTBLANK('Capacity summary'!$H129:$BG129)&lt;52,IF('Capacity summary'!T129&lt;&gt;"",IF(LOWER('Capacity summary'!T129)="x",$BI10*T10,VALUE('Capacity summary'!T129)),0),T10*$BI10),T10*$BI10),0)</f>
        <v>0</v>
      </c>
      <c r="BX10" s="314">
        <f>IF($BI10&lt;&gt;"",IF('Capacity summary'!$D$14="Yes",IF(COUNTBLANK('Capacity summary'!$H129:$BG129)&lt;52,IF('Capacity summary'!U129&lt;&gt;"",IF(LOWER('Capacity summary'!U129)="x",$BI10*U10,VALUE('Capacity summary'!U129)),0),U10*$BI10),U10*$BI10),0)</f>
        <v>0</v>
      </c>
      <c r="BY10" s="314">
        <f>IF($BI10&lt;&gt;"",IF('Capacity summary'!$D$14="Yes",IF(COUNTBLANK('Capacity summary'!$H129:$BG129)&lt;52,IF('Capacity summary'!V129&lt;&gt;"",IF(LOWER('Capacity summary'!V129)="x",$BI10*V10,VALUE('Capacity summary'!V129)),0),V10*$BI10),V10*$BI10),0)</f>
        <v>0</v>
      </c>
      <c r="BZ10" s="314">
        <f>IF($BI10&lt;&gt;"",IF('Capacity summary'!$D$14="Yes",IF(COUNTBLANK('Capacity summary'!$H129:$BG129)&lt;52,IF('Capacity summary'!W129&lt;&gt;"",IF(LOWER('Capacity summary'!W129)="x",$BI10*W10,VALUE('Capacity summary'!W129)),0),W10*$BI10),W10*$BI10),0)</f>
        <v>0</v>
      </c>
      <c r="CA10" s="314">
        <f>IF($BI10&lt;&gt;"",IF('Capacity summary'!$D$14="Yes",IF(COUNTBLANK('Capacity summary'!$H129:$BG129)&lt;52,IF('Capacity summary'!X129&lt;&gt;"",IF(LOWER('Capacity summary'!X129)="x",$BI10*X10,VALUE('Capacity summary'!X129)),0),X10*$BI10),X10*$BI10),0)</f>
        <v>0</v>
      </c>
      <c r="CB10" s="314">
        <f>IF($BI10&lt;&gt;"",IF('Capacity summary'!$D$14="Yes",IF(COUNTBLANK('Capacity summary'!$H129:$BG129)&lt;52,IF('Capacity summary'!Y129&lt;&gt;"",IF(LOWER('Capacity summary'!Y129)="x",$BI10*Y10,VALUE('Capacity summary'!Y129)),0),Y10*$BI10),Y10*$BI10),0)</f>
        <v>0</v>
      </c>
      <c r="CC10" s="314">
        <f>IF($BI10&lt;&gt;"",IF('Capacity summary'!$D$14="Yes",IF(COUNTBLANK('Capacity summary'!$H129:$BG129)&lt;52,IF('Capacity summary'!Z129&lt;&gt;"",IF(LOWER('Capacity summary'!Z129)="x",$BI10*Z10,VALUE('Capacity summary'!Z129)),0),Z10*$BI10),Z10*$BI10),0)</f>
        <v>0</v>
      </c>
      <c r="CD10" s="314">
        <f>IF($BI10&lt;&gt;"",IF('Capacity summary'!$D$14="Yes",IF(COUNTBLANK('Capacity summary'!$H129:$BG129)&lt;52,IF('Capacity summary'!AA129&lt;&gt;"",IF(LOWER('Capacity summary'!AA129)="x",$BI10*AA10,VALUE('Capacity summary'!AA129)),0),AA10*$BI10),AA10*$BI10),0)</f>
        <v>0</v>
      </c>
      <c r="CE10" s="314">
        <f>IF($BI10&lt;&gt;"",IF('Capacity summary'!$D$14="Yes",IF(COUNTBLANK('Capacity summary'!$H129:$BG129)&lt;52,IF('Capacity summary'!AB129&lt;&gt;"",IF(LOWER('Capacity summary'!AB129)="x",$BI10*AB10,VALUE('Capacity summary'!AB129)),0),AB10*$BI10),AB10*$BI10),0)</f>
        <v>0</v>
      </c>
      <c r="CF10" s="314">
        <f>IF($BI10&lt;&gt;"",IF('Capacity summary'!$D$14="Yes",IF(COUNTBLANK('Capacity summary'!$H129:$BG129)&lt;52,IF('Capacity summary'!AC129&lt;&gt;"",IF(LOWER('Capacity summary'!AC129)="x",$BI10*AC10,VALUE('Capacity summary'!AC129)),0),AC10*$BI10),AC10*$BI10),0)</f>
        <v>0</v>
      </c>
      <c r="CG10" s="314">
        <f>IF($BI10&lt;&gt;"",IF('Capacity summary'!$D$14="Yes",IF(COUNTBLANK('Capacity summary'!$H129:$BG129)&lt;52,IF('Capacity summary'!AD129&lt;&gt;"",IF(LOWER('Capacity summary'!AD129)="x",$BI10*AD10,VALUE('Capacity summary'!AD129)),0),AD10*$BI10),AD10*$BI10),0)</f>
        <v>0</v>
      </c>
      <c r="CH10" s="314">
        <f>IF($BI10&lt;&gt;"",IF('Capacity summary'!$D$14="Yes",IF(COUNTBLANK('Capacity summary'!$H129:$BG129)&lt;52,IF('Capacity summary'!AE129&lt;&gt;"",IF(LOWER('Capacity summary'!AE129)="x",$BI10*AE10,VALUE('Capacity summary'!AE129)),0),AE10*$BI10),AE10*$BI10),0)</f>
        <v>0</v>
      </c>
      <c r="CI10" s="314">
        <f>IF($BI10&lt;&gt;"",IF('Capacity summary'!$D$14="Yes",IF(COUNTBLANK('Capacity summary'!$H129:$BG129)&lt;52,IF('Capacity summary'!AF129&lt;&gt;"",IF(LOWER('Capacity summary'!AF129)="x",$BI10*AF10,VALUE('Capacity summary'!AF129)),0),AF10*$BI10),AF10*$BI10),0)</f>
        <v>0</v>
      </c>
      <c r="CJ10" s="314">
        <f>IF($BI10&lt;&gt;"",IF('Capacity summary'!$D$14="Yes",IF(COUNTBLANK('Capacity summary'!$H129:$BG129)&lt;52,IF('Capacity summary'!AG129&lt;&gt;"",IF(LOWER('Capacity summary'!AG129)="x",$BI10*AG10,VALUE('Capacity summary'!AG129)),0),AG10*$BI10),AG10*$BI10),0)</f>
        <v>0</v>
      </c>
      <c r="CK10" s="314">
        <f>IF($BI10&lt;&gt;"",IF('Capacity summary'!$D$14="Yes",IF(COUNTBLANK('Capacity summary'!$H129:$BG129)&lt;52,IF('Capacity summary'!AH129&lt;&gt;"",IF(LOWER('Capacity summary'!AH129)="x",$BI10*AH10,VALUE('Capacity summary'!AH129)),0),AH10*$BI10),AH10*$BI10),0)</f>
        <v>0</v>
      </c>
      <c r="CL10" s="314">
        <f>IF($BI10&lt;&gt;"",IF('Capacity summary'!$D$14="Yes",IF(COUNTBLANK('Capacity summary'!$H129:$BG129)&lt;52,IF('Capacity summary'!AI129&lt;&gt;"",IF(LOWER('Capacity summary'!AI129)="x",$BI10*AI10,VALUE('Capacity summary'!AI129)),0),AI10*$BI10),AI10*$BI10),0)</f>
        <v>0</v>
      </c>
      <c r="CM10" s="314">
        <f>IF($BI10&lt;&gt;"",IF('Capacity summary'!$D$14="Yes",IF(COUNTBLANK('Capacity summary'!$H129:$BG129)&lt;52,IF('Capacity summary'!AJ129&lt;&gt;"",IF(LOWER('Capacity summary'!AJ129)="x",$BI10*AJ10,VALUE('Capacity summary'!AJ129)),0),AJ10*$BI10),AJ10*$BI10),0)</f>
        <v>0</v>
      </c>
      <c r="CN10" s="314">
        <f>IF($BI10&lt;&gt;"",IF('Capacity summary'!$D$14="Yes",IF(COUNTBLANK('Capacity summary'!$H129:$BG129)&lt;52,IF('Capacity summary'!AK129&lt;&gt;"",IF(LOWER('Capacity summary'!AK129)="x",$BI10*AK10,VALUE('Capacity summary'!AK129)),0),AK10*$BI10),AK10*$BI10),0)</f>
        <v>0</v>
      </c>
      <c r="CO10" s="314">
        <f>IF($BI10&lt;&gt;"",IF('Capacity summary'!$D$14="Yes",IF(COUNTBLANK('Capacity summary'!$H129:$BG129)&lt;52,IF('Capacity summary'!AL129&lt;&gt;"",IF(LOWER('Capacity summary'!AL129)="x",$BI10*AL10,VALUE('Capacity summary'!AL129)),0),AL10*$BI10),AL10*$BI10),0)</f>
        <v>0</v>
      </c>
      <c r="CP10" s="314">
        <f>IF($BI10&lt;&gt;"",IF('Capacity summary'!$D$14="Yes",IF(COUNTBLANK('Capacity summary'!$H129:$BG129)&lt;52,IF('Capacity summary'!AM129&lt;&gt;"",IF(LOWER('Capacity summary'!AM129)="x",$BI10*AM10,VALUE('Capacity summary'!AM129)),0),AM10*$BI10),AM10*$BI10),0)</f>
        <v>0</v>
      </c>
      <c r="CQ10" s="314">
        <f>IF($BI10&lt;&gt;"",IF('Capacity summary'!$D$14="Yes",IF(COUNTBLANK('Capacity summary'!$H129:$BG129)&lt;52,IF('Capacity summary'!AN129&lt;&gt;"",IF(LOWER('Capacity summary'!AN129)="x",$BI10*AN10,VALUE('Capacity summary'!AN129)),0),AN10*$BI10),AN10*$BI10),0)</f>
        <v>0</v>
      </c>
      <c r="CR10" s="314">
        <f>IF($BI10&lt;&gt;"",IF('Capacity summary'!$D$14="Yes",IF(COUNTBLANK('Capacity summary'!$H129:$BG129)&lt;52,IF('Capacity summary'!AO129&lt;&gt;"",IF(LOWER('Capacity summary'!AO129)="x",$BI10*AO10,VALUE('Capacity summary'!AO129)),0),AO10*$BI10),AO10*$BI10),0)</f>
        <v>0</v>
      </c>
      <c r="CS10" s="314">
        <f>IF($BI10&lt;&gt;"",IF('Capacity summary'!$D$14="Yes",IF(COUNTBLANK('Capacity summary'!$H129:$BG129)&lt;52,IF('Capacity summary'!AP129&lt;&gt;"",IF(LOWER('Capacity summary'!AP129)="x",$BI10*AP10,VALUE('Capacity summary'!AP129)),0),AP10*$BI10),AP10*$BI10),0)</f>
        <v>0</v>
      </c>
      <c r="CT10" s="314">
        <f>IF($BI10&lt;&gt;"",IF('Capacity summary'!$D$14="Yes",IF(COUNTBLANK('Capacity summary'!$H129:$BG129)&lt;52,IF('Capacity summary'!AQ129&lt;&gt;"",IF(LOWER('Capacity summary'!AQ129)="x",$BI10*AQ10,VALUE('Capacity summary'!AQ129)),0),AQ10*$BI10),AQ10*$BI10),0)</f>
        <v>0</v>
      </c>
      <c r="CU10" s="314">
        <f>IF($BI10&lt;&gt;"",IF('Capacity summary'!$D$14="Yes",IF(COUNTBLANK('Capacity summary'!$H129:$BG129)&lt;52,IF('Capacity summary'!AR129&lt;&gt;"",IF(LOWER('Capacity summary'!AR129)="x",$BI10*AR10,VALUE('Capacity summary'!AR129)),0),AR10*$BI10),AR10*$BI10),0)</f>
        <v>0</v>
      </c>
      <c r="CV10" s="314">
        <f>IF($BI10&lt;&gt;"",IF('Capacity summary'!$D$14="Yes",IF(COUNTBLANK('Capacity summary'!$H129:$BG129)&lt;52,IF('Capacity summary'!AS129&lt;&gt;"",IF(LOWER('Capacity summary'!AS129)="x",$BI10*AS10,VALUE('Capacity summary'!AS129)),0),AS10*$BI10),AS10*$BI10),0)</f>
        <v>0</v>
      </c>
      <c r="CW10" s="314">
        <f>IF($BI10&lt;&gt;"",IF('Capacity summary'!$D$14="Yes",IF(COUNTBLANK('Capacity summary'!$H129:$BG129)&lt;52,IF('Capacity summary'!AT129&lt;&gt;"",IF(LOWER('Capacity summary'!AT129)="x",$BI10*AT10,VALUE('Capacity summary'!AT129)),0),AT10*$BI10),AT10*$BI10),0)</f>
        <v>0</v>
      </c>
      <c r="CX10" s="314">
        <f>IF($BI10&lt;&gt;"",IF('Capacity summary'!$D$14="Yes",IF(COUNTBLANK('Capacity summary'!$H129:$BG129)&lt;52,IF('Capacity summary'!AU129&lt;&gt;"",IF(LOWER('Capacity summary'!AU129)="x",$BI10*AU10,VALUE('Capacity summary'!AU129)),0),AU10*$BI10),AU10*$BI10),0)</f>
        <v>0</v>
      </c>
      <c r="CY10" s="314">
        <f>IF($BI10&lt;&gt;"",IF('Capacity summary'!$D$14="Yes",IF(COUNTBLANK('Capacity summary'!$H129:$BG129)&lt;52,IF('Capacity summary'!AV129&lt;&gt;"",IF(LOWER('Capacity summary'!AV129)="x",$BI10*AV10,VALUE('Capacity summary'!AV129)),0),AV10*$BI10),AV10*$BI10),0)</f>
        <v>0</v>
      </c>
      <c r="CZ10" s="314">
        <f>IF($BI10&lt;&gt;"",IF('Capacity summary'!$D$14="Yes",IF(COUNTBLANK('Capacity summary'!$H129:$BG129)&lt;52,IF('Capacity summary'!AW129&lt;&gt;"",IF(LOWER('Capacity summary'!AW129)="x",$BI10*AW10,VALUE('Capacity summary'!AW129)),0),AW10*$BI10),AW10*$BI10),0)</f>
        <v>0</v>
      </c>
      <c r="DA10" s="314">
        <f>IF($BI10&lt;&gt;"",IF('Capacity summary'!$D$14="Yes",IF(COUNTBLANK('Capacity summary'!$H129:$BG129)&lt;52,IF('Capacity summary'!AX129&lt;&gt;"",IF(LOWER('Capacity summary'!AX129)="x",$BI10*AX10,VALUE('Capacity summary'!AX129)),0),AX10*$BI10),AX10*$BI10),0)</f>
        <v>0</v>
      </c>
      <c r="DB10" s="314">
        <f>IF($BI10&lt;&gt;"",IF('Capacity summary'!$D$14="Yes",IF(COUNTBLANK('Capacity summary'!$H129:$BG129)&lt;52,IF('Capacity summary'!AY129&lt;&gt;"",IF(LOWER('Capacity summary'!AY129)="x",$BI10*AY10,VALUE('Capacity summary'!AY129)),0),AY10*$BI10),AY10*$BI10),0)</f>
        <v>0</v>
      </c>
      <c r="DC10" s="314">
        <f>IF($BI10&lt;&gt;"",IF('Capacity summary'!$D$14="Yes",IF(COUNTBLANK('Capacity summary'!$H129:$BG129)&lt;52,IF('Capacity summary'!AZ129&lt;&gt;"",IF(LOWER('Capacity summary'!AZ129)="x",$BI10*AZ10,VALUE('Capacity summary'!AZ129)),0),AZ10*$BI10),AZ10*$BI10),0)</f>
        <v>0</v>
      </c>
      <c r="DD10" s="314">
        <f>IF($BI10&lt;&gt;"",IF('Capacity summary'!$D$14="Yes",IF(COUNTBLANK('Capacity summary'!$H129:$BG129)&lt;52,IF('Capacity summary'!BA129&lt;&gt;"",IF(LOWER('Capacity summary'!BA129)="x",$BI10*BA10,VALUE('Capacity summary'!BA129)),0),BA10*$BI10),BA10*$BI10),0)</f>
        <v>0</v>
      </c>
      <c r="DE10" s="314">
        <f>IF($BI10&lt;&gt;"",IF('Capacity summary'!$D$14="Yes",IF(COUNTBLANK('Capacity summary'!$H129:$BG129)&lt;52,IF('Capacity summary'!BB129&lt;&gt;"",IF(LOWER('Capacity summary'!BB129)="x",$BI10*BB10,VALUE('Capacity summary'!BB129)),0),BB10*$BI10),BB10*$BI10),0)</f>
        <v>0</v>
      </c>
      <c r="DF10" s="314">
        <f>IF($BI10&lt;&gt;"",IF('Capacity summary'!$D$14="Yes",IF(COUNTBLANK('Capacity summary'!$H129:$BG129)&lt;52,IF('Capacity summary'!BC129&lt;&gt;"",IF(LOWER('Capacity summary'!BC129)="x",$BI10*BC10,VALUE('Capacity summary'!BC129)),0),BC10*$BI10),BC10*$BI10),0)</f>
        <v>0</v>
      </c>
      <c r="DG10" s="314">
        <f>IF($BI10&lt;&gt;"",IF('Capacity summary'!$D$14="Yes",IF(COUNTBLANK('Capacity summary'!$H129:$BG129)&lt;52,IF('Capacity summary'!BD129&lt;&gt;"",IF(LOWER('Capacity summary'!BD129)="x",$BI10*BD10,VALUE('Capacity summary'!BD129)),0),BD10*$BI10),BD10*$BI10),0)</f>
        <v>0</v>
      </c>
      <c r="DH10" s="314">
        <f>IF($BI10&lt;&gt;"",IF('Capacity summary'!$D$14="Yes",IF(COUNTBLANK('Capacity summary'!$H129:$BG129)&lt;52,IF('Capacity summary'!BE129&lt;&gt;"",IF(LOWER('Capacity summary'!BE129)="x",$BI10*BE10,VALUE('Capacity summary'!BE129)),0),BE10*$BI10),BE10*$BI10),0)</f>
        <v>0</v>
      </c>
      <c r="DI10" s="314">
        <f>IF($BI10&lt;&gt;"",IF('Capacity summary'!$D$14="Yes",IF(COUNTBLANK('Capacity summary'!$H129:$BG129)&lt;52,IF('Capacity summary'!BF129&lt;&gt;"",IF(LOWER('Capacity summary'!BF129)="x",$BI10*BF10,VALUE('Capacity summary'!BF129)),0),BF10*$BI10),BF10*$BI10),0)</f>
        <v>0</v>
      </c>
      <c r="DJ10" s="314">
        <f>IF($BI10&lt;&gt;"",IF('Capacity summary'!$D$14="Yes",IF(COUNTBLANK('Capacity summary'!$H129:$BG129)&lt;52,IF('Capacity summary'!BG129&lt;&gt;"",IF(LOWER('Capacity summary'!BG129)="x",$BI10*BG10,VALUE('Capacity summary'!BG129)),0),BG10*$BI10),BG10*$BI10),0)</f>
        <v>0</v>
      </c>
      <c r="DK10" s="137">
        <f t="shared" si="2"/>
        <v>0</v>
      </c>
      <c r="DL10" s="314" t="str">
        <f>Capacity!H22</f>
        <v/>
      </c>
      <c r="DP10" s="5"/>
    </row>
    <row r="11" spans="2:120" x14ac:dyDescent="0.25">
      <c r="B11" s="67"/>
      <c r="C11" s="67" t="str">
        <f>ROW(A7)&amp;". "&amp;Capacity!B23</f>
        <v xml:space="preserve">7.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IF(ROW(C7)&lt;=Capacity!$A$16,IF('Capacity summary'!$D$14="No",SUM(H11:BG11),'Capacity summary'!$E130),0)</f>
        <v>0</v>
      </c>
      <c r="BI11" s="5" t="str">
        <f>IF(BH11&gt;0,IF(BH11&lt;Capacity!E23,Capacity!F23,Capacity!H23/'Capacity calculation (hide)'!BH11),"")</f>
        <v/>
      </c>
      <c r="BK11" s="314">
        <f>IF($BI11&lt;&gt;"",IF('Capacity summary'!$D$14="Yes",IF(COUNTBLANK('Capacity summary'!$H130:$BG130)&lt;52,IF('Capacity summary'!H130&lt;&gt;"",IF(LOWER('Capacity summary'!H130)="x",$BI11*H11,VALUE('Capacity summary'!H130)),0),H11*$BI11),H11*$BI11),0)</f>
        <v>0</v>
      </c>
      <c r="BL11" s="314">
        <f>IF($BI11&lt;&gt;"",IF('Capacity summary'!$D$14="Yes",IF(COUNTBLANK('Capacity summary'!$H130:$BG130)&lt;52,IF('Capacity summary'!I130&lt;&gt;"",IF(LOWER('Capacity summary'!I130)="x",$BI11*I11,VALUE('Capacity summary'!I130)),0),I11*$BI11),I11*$BI11),0)</f>
        <v>0</v>
      </c>
      <c r="BM11" s="314">
        <f>IF($BI11&lt;&gt;"",IF('Capacity summary'!$D$14="Yes",IF(COUNTBLANK('Capacity summary'!$H130:$BG130)&lt;52,IF('Capacity summary'!J130&lt;&gt;"",IF(LOWER('Capacity summary'!J130)="x",$BI11*J11,VALUE('Capacity summary'!J130)),0),J11*$BI11),J11*$BI11),0)</f>
        <v>0</v>
      </c>
      <c r="BN11" s="314">
        <f>IF($BI11&lt;&gt;"",IF('Capacity summary'!$D$14="Yes",IF(COUNTBLANK('Capacity summary'!$H130:$BG130)&lt;52,IF('Capacity summary'!K130&lt;&gt;"",IF(LOWER('Capacity summary'!K130)="x",$BI11*K11,VALUE('Capacity summary'!K130)),0),K11*$BI11),K11*$BI11),0)</f>
        <v>0</v>
      </c>
      <c r="BO11" s="314">
        <f>IF($BI11&lt;&gt;"",IF('Capacity summary'!$D$14="Yes",IF(COUNTBLANK('Capacity summary'!$H130:$BG130)&lt;52,IF('Capacity summary'!L130&lt;&gt;"",IF(LOWER('Capacity summary'!L130)="x",$BI11*L11,VALUE('Capacity summary'!L130)),0),L11*$BI11),L11*$BI11),0)</f>
        <v>0</v>
      </c>
      <c r="BP11" s="314">
        <f>IF($BI11&lt;&gt;"",IF('Capacity summary'!$D$14="Yes",IF(COUNTBLANK('Capacity summary'!$H130:$BG130)&lt;52,IF('Capacity summary'!M130&lt;&gt;"",IF(LOWER('Capacity summary'!M130)="x",$BI11*M11,VALUE('Capacity summary'!M130)),0),M11*$BI11),M11*$BI11),0)</f>
        <v>0</v>
      </c>
      <c r="BQ11" s="314">
        <f>IF($BI11&lt;&gt;"",IF('Capacity summary'!$D$14="Yes",IF(COUNTBLANK('Capacity summary'!$H130:$BG130)&lt;52,IF('Capacity summary'!N130&lt;&gt;"",IF(LOWER('Capacity summary'!N130)="x",$BI11*N11,VALUE('Capacity summary'!N130)),0),N11*$BI11),N11*$BI11),0)</f>
        <v>0</v>
      </c>
      <c r="BR11" s="314">
        <f>IF($BI11&lt;&gt;"",IF('Capacity summary'!$D$14="Yes",IF(COUNTBLANK('Capacity summary'!$H130:$BG130)&lt;52,IF('Capacity summary'!O130&lt;&gt;"",IF(LOWER('Capacity summary'!O130)="x",$BI11*O11,VALUE('Capacity summary'!O130)),0),O11*$BI11),O11*$BI11),0)</f>
        <v>0</v>
      </c>
      <c r="BS11" s="314">
        <f>IF($BI11&lt;&gt;"",IF('Capacity summary'!$D$14="Yes",IF(COUNTBLANK('Capacity summary'!$H130:$BG130)&lt;52,IF('Capacity summary'!P130&lt;&gt;"",IF(LOWER('Capacity summary'!P130)="x",$BI11*P11,VALUE('Capacity summary'!P130)),0),P11*$BI11),P11*$BI11),0)</f>
        <v>0</v>
      </c>
      <c r="BT11" s="314">
        <f>IF($BI11&lt;&gt;"",IF('Capacity summary'!$D$14="Yes",IF(COUNTBLANK('Capacity summary'!$H130:$BG130)&lt;52,IF('Capacity summary'!Q130&lt;&gt;"",IF(LOWER('Capacity summary'!Q130)="x",$BI11*Q11,VALUE('Capacity summary'!Q130)),0),Q11*$BI11),Q11*$BI11),0)</f>
        <v>0</v>
      </c>
      <c r="BU11" s="314">
        <f>IF($BI11&lt;&gt;"",IF('Capacity summary'!$D$14="Yes",IF(COUNTBLANK('Capacity summary'!$H130:$BG130)&lt;52,IF('Capacity summary'!R130&lt;&gt;"",IF(LOWER('Capacity summary'!R130)="x",$BI11*R11,VALUE('Capacity summary'!R130)),0),R11*$BI11),R11*$BI11),0)</f>
        <v>0</v>
      </c>
      <c r="BV11" s="314">
        <f>IF($BI11&lt;&gt;"",IF('Capacity summary'!$D$14="Yes",IF(COUNTBLANK('Capacity summary'!$H130:$BG130)&lt;52,IF('Capacity summary'!S130&lt;&gt;"",IF(LOWER('Capacity summary'!S130)="x",$BI11*S11,VALUE('Capacity summary'!S130)),0),S11*$BI11),S11*$BI11),0)</f>
        <v>0</v>
      </c>
      <c r="BW11" s="314">
        <f>IF($BI11&lt;&gt;"",IF('Capacity summary'!$D$14="Yes",IF(COUNTBLANK('Capacity summary'!$H130:$BG130)&lt;52,IF('Capacity summary'!T130&lt;&gt;"",IF(LOWER('Capacity summary'!T130)="x",$BI11*T11,VALUE('Capacity summary'!T130)),0),T11*$BI11),T11*$BI11),0)</f>
        <v>0</v>
      </c>
      <c r="BX11" s="314">
        <f>IF($BI11&lt;&gt;"",IF('Capacity summary'!$D$14="Yes",IF(COUNTBLANK('Capacity summary'!$H130:$BG130)&lt;52,IF('Capacity summary'!U130&lt;&gt;"",IF(LOWER('Capacity summary'!U130)="x",$BI11*U11,VALUE('Capacity summary'!U130)),0),U11*$BI11),U11*$BI11),0)</f>
        <v>0</v>
      </c>
      <c r="BY11" s="314">
        <f>IF($BI11&lt;&gt;"",IF('Capacity summary'!$D$14="Yes",IF(COUNTBLANK('Capacity summary'!$H130:$BG130)&lt;52,IF('Capacity summary'!V130&lt;&gt;"",IF(LOWER('Capacity summary'!V130)="x",$BI11*V11,VALUE('Capacity summary'!V130)),0),V11*$BI11),V11*$BI11),0)</f>
        <v>0</v>
      </c>
      <c r="BZ11" s="314">
        <f>IF($BI11&lt;&gt;"",IF('Capacity summary'!$D$14="Yes",IF(COUNTBLANK('Capacity summary'!$H130:$BG130)&lt;52,IF('Capacity summary'!W130&lt;&gt;"",IF(LOWER('Capacity summary'!W130)="x",$BI11*W11,VALUE('Capacity summary'!W130)),0),W11*$BI11),W11*$BI11),0)</f>
        <v>0</v>
      </c>
      <c r="CA11" s="314">
        <f>IF($BI11&lt;&gt;"",IF('Capacity summary'!$D$14="Yes",IF(COUNTBLANK('Capacity summary'!$H130:$BG130)&lt;52,IF('Capacity summary'!X130&lt;&gt;"",IF(LOWER('Capacity summary'!X130)="x",$BI11*X11,VALUE('Capacity summary'!X130)),0),X11*$BI11),X11*$BI11),0)</f>
        <v>0</v>
      </c>
      <c r="CB11" s="314">
        <f>IF($BI11&lt;&gt;"",IF('Capacity summary'!$D$14="Yes",IF(COUNTBLANK('Capacity summary'!$H130:$BG130)&lt;52,IF('Capacity summary'!Y130&lt;&gt;"",IF(LOWER('Capacity summary'!Y130)="x",$BI11*Y11,VALUE('Capacity summary'!Y130)),0),Y11*$BI11),Y11*$BI11),0)</f>
        <v>0</v>
      </c>
      <c r="CC11" s="314">
        <f>IF($BI11&lt;&gt;"",IF('Capacity summary'!$D$14="Yes",IF(COUNTBLANK('Capacity summary'!$H130:$BG130)&lt;52,IF('Capacity summary'!Z130&lt;&gt;"",IF(LOWER('Capacity summary'!Z130)="x",$BI11*Z11,VALUE('Capacity summary'!Z130)),0),Z11*$BI11),Z11*$BI11),0)</f>
        <v>0</v>
      </c>
      <c r="CD11" s="314">
        <f>IF($BI11&lt;&gt;"",IF('Capacity summary'!$D$14="Yes",IF(COUNTBLANK('Capacity summary'!$H130:$BG130)&lt;52,IF('Capacity summary'!AA130&lt;&gt;"",IF(LOWER('Capacity summary'!AA130)="x",$BI11*AA11,VALUE('Capacity summary'!AA130)),0),AA11*$BI11),AA11*$BI11),0)</f>
        <v>0</v>
      </c>
      <c r="CE11" s="314">
        <f>IF($BI11&lt;&gt;"",IF('Capacity summary'!$D$14="Yes",IF(COUNTBLANK('Capacity summary'!$H130:$BG130)&lt;52,IF('Capacity summary'!AB130&lt;&gt;"",IF(LOWER('Capacity summary'!AB130)="x",$BI11*AB11,VALUE('Capacity summary'!AB130)),0),AB11*$BI11),AB11*$BI11),0)</f>
        <v>0</v>
      </c>
      <c r="CF11" s="314">
        <f>IF($BI11&lt;&gt;"",IF('Capacity summary'!$D$14="Yes",IF(COUNTBLANK('Capacity summary'!$H130:$BG130)&lt;52,IF('Capacity summary'!AC130&lt;&gt;"",IF(LOWER('Capacity summary'!AC130)="x",$BI11*AC11,VALUE('Capacity summary'!AC130)),0),AC11*$BI11),AC11*$BI11),0)</f>
        <v>0</v>
      </c>
      <c r="CG11" s="314">
        <f>IF($BI11&lt;&gt;"",IF('Capacity summary'!$D$14="Yes",IF(COUNTBLANK('Capacity summary'!$H130:$BG130)&lt;52,IF('Capacity summary'!AD130&lt;&gt;"",IF(LOWER('Capacity summary'!AD130)="x",$BI11*AD11,VALUE('Capacity summary'!AD130)),0),AD11*$BI11),AD11*$BI11),0)</f>
        <v>0</v>
      </c>
      <c r="CH11" s="314">
        <f>IF($BI11&lt;&gt;"",IF('Capacity summary'!$D$14="Yes",IF(COUNTBLANK('Capacity summary'!$H130:$BG130)&lt;52,IF('Capacity summary'!AE130&lt;&gt;"",IF(LOWER('Capacity summary'!AE130)="x",$BI11*AE11,VALUE('Capacity summary'!AE130)),0),AE11*$BI11),AE11*$BI11),0)</f>
        <v>0</v>
      </c>
      <c r="CI11" s="314">
        <f>IF($BI11&lt;&gt;"",IF('Capacity summary'!$D$14="Yes",IF(COUNTBLANK('Capacity summary'!$H130:$BG130)&lt;52,IF('Capacity summary'!AF130&lt;&gt;"",IF(LOWER('Capacity summary'!AF130)="x",$BI11*AF11,VALUE('Capacity summary'!AF130)),0),AF11*$BI11),AF11*$BI11),0)</f>
        <v>0</v>
      </c>
      <c r="CJ11" s="314">
        <f>IF($BI11&lt;&gt;"",IF('Capacity summary'!$D$14="Yes",IF(COUNTBLANK('Capacity summary'!$H130:$BG130)&lt;52,IF('Capacity summary'!AG130&lt;&gt;"",IF(LOWER('Capacity summary'!AG130)="x",$BI11*AG11,VALUE('Capacity summary'!AG130)),0),AG11*$BI11),AG11*$BI11),0)</f>
        <v>0</v>
      </c>
      <c r="CK11" s="314">
        <f>IF($BI11&lt;&gt;"",IF('Capacity summary'!$D$14="Yes",IF(COUNTBLANK('Capacity summary'!$H130:$BG130)&lt;52,IF('Capacity summary'!AH130&lt;&gt;"",IF(LOWER('Capacity summary'!AH130)="x",$BI11*AH11,VALUE('Capacity summary'!AH130)),0),AH11*$BI11),AH11*$BI11),0)</f>
        <v>0</v>
      </c>
      <c r="CL11" s="314">
        <f>IF($BI11&lt;&gt;"",IF('Capacity summary'!$D$14="Yes",IF(COUNTBLANK('Capacity summary'!$H130:$BG130)&lt;52,IF('Capacity summary'!AI130&lt;&gt;"",IF(LOWER('Capacity summary'!AI130)="x",$BI11*AI11,VALUE('Capacity summary'!AI130)),0),AI11*$BI11),AI11*$BI11),0)</f>
        <v>0</v>
      </c>
      <c r="CM11" s="314">
        <f>IF($BI11&lt;&gt;"",IF('Capacity summary'!$D$14="Yes",IF(COUNTBLANK('Capacity summary'!$H130:$BG130)&lt;52,IF('Capacity summary'!AJ130&lt;&gt;"",IF(LOWER('Capacity summary'!AJ130)="x",$BI11*AJ11,VALUE('Capacity summary'!AJ130)),0),AJ11*$BI11),AJ11*$BI11),0)</f>
        <v>0</v>
      </c>
      <c r="CN11" s="314">
        <f>IF($BI11&lt;&gt;"",IF('Capacity summary'!$D$14="Yes",IF(COUNTBLANK('Capacity summary'!$H130:$BG130)&lt;52,IF('Capacity summary'!AK130&lt;&gt;"",IF(LOWER('Capacity summary'!AK130)="x",$BI11*AK11,VALUE('Capacity summary'!AK130)),0),AK11*$BI11),AK11*$BI11),0)</f>
        <v>0</v>
      </c>
      <c r="CO11" s="314">
        <f>IF($BI11&lt;&gt;"",IF('Capacity summary'!$D$14="Yes",IF(COUNTBLANK('Capacity summary'!$H130:$BG130)&lt;52,IF('Capacity summary'!AL130&lt;&gt;"",IF(LOWER('Capacity summary'!AL130)="x",$BI11*AL11,VALUE('Capacity summary'!AL130)),0),AL11*$BI11),AL11*$BI11),0)</f>
        <v>0</v>
      </c>
      <c r="CP11" s="314">
        <f>IF($BI11&lt;&gt;"",IF('Capacity summary'!$D$14="Yes",IF(COUNTBLANK('Capacity summary'!$H130:$BG130)&lt;52,IF('Capacity summary'!AM130&lt;&gt;"",IF(LOWER('Capacity summary'!AM130)="x",$BI11*AM11,VALUE('Capacity summary'!AM130)),0),AM11*$BI11),AM11*$BI11),0)</f>
        <v>0</v>
      </c>
      <c r="CQ11" s="314">
        <f>IF($BI11&lt;&gt;"",IF('Capacity summary'!$D$14="Yes",IF(COUNTBLANK('Capacity summary'!$H130:$BG130)&lt;52,IF('Capacity summary'!AN130&lt;&gt;"",IF(LOWER('Capacity summary'!AN130)="x",$BI11*AN11,VALUE('Capacity summary'!AN130)),0),AN11*$BI11),AN11*$BI11),0)</f>
        <v>0</v>
      </c>
      <c r="CR11" s="314">
        <f>IF($BI11&lt;&gt;"",IF('Capacity summary'!$D$14="Yes",IF(COUNTBLANK('Capacity summary'!$H130:$BG130)&lt;52,IF('Capacity summary'!AO130&lt;&gt;"",IF(LOWER('Capacity summary'!AO130)="x",$BI11*AO11,VALUE('Capacity summary'!AO130)),0),AO11*$BI11),AO11*$BI11),0)</f>
        <v>0</v>
      </c>
      <c r="CS11" s="314">
        <f>IF($BI11&lt;&gt;"",IF('Capacity summary'!$D$14="Yes",IF(COUNTBLANK('Capacity summary'!$H130:$BG130)&lt;52,IF('Capacity summary'!AP130&lt;&gt;"",IF(LOWER('Capacity summary'!AP130)="x",$BI11*AP11,VALUE('Capacity summary'!AP130)),0),AP11*$BI11),AP11*$BI11),0)</f>
        <v>0</v>
      </c>
      <c r="CT11" s="314">
        <f>IF($BI11&lt;&gt;"",IF('Capacity summary'!$D$14="Yes",IF(COUNTBLANK('Capacity summary'!$H130:$BG130)&lt;52,IF('Capacity summary'!AQ130&lt;&gt;"",IF(LOWER('Capacity summary'!AQ130)="x",$BI11*AQ11,VALUE('Capacity summary'!AQ130)),0),AQ11*$BI11),AQ11*$BI11),0)</f>
        <v>0</v>
      </c>
      <c r="CU11" s="314">
        <f>IF($BI11&lt;&gt;"",IF('Capacity summary'!$D$14="Yes",IF(COUNTBLANK('Capacity summary'!$H130:$BG130)&lt;52,IF('Capacity summary'!AR130&lt;&gt;"",IF(LOWER('Capacity summary'!AR130)="x",$BI11*AR11,VALUE('Capacity summary'!AR130)),0),AR11*$BI11),AR11*$BI11),0)</f>
        <v>0</v>
      </c>
      <c r="CV11" s="314">
        <f>IF($BI11&lt;&gt;"",IF('Capacity summary'!$D$14="Yes",IF(COUNTBLANK('Capacity summary'!$H130:$BG130)&lt;52,IF('Capacity summary'!AS130&lt;&gt;"",IF(LOWER('Capacity summary'!AS130)="x",$BI11*AS11,VALUE('Capacity summary'!AS130)),0),AS11*$BI11),AS11*$BI11),0)</f>
        <v>0</v>
      </c>
      <c r="CW11" s="314">
        <f>IF($BI11&lt;&gt;"",IF('Capacity summary'!$D$14="Yes",IF(COUNTBLANK('Capacity summary'!$H130:$BG130)&lt;52,IF('Capacity summary'!AT130&lt;&gt;"",IF(LOWER('Capacity summary'!AT130)="x",$BI11*AT11,VALUE('Capacity summary'!AT130)),0),AT11*$BI11),AT11*$BI11),0)</f>
        <v>0</v>
      </c>
      <c r="CX11" s="314">
        <f>IF($BI11&lt;&gt;"",IF('Capacity summary'!$D$14="Yes",IF(COUNTBLANK('Capacity summary'!$H130:$BG130)&lt;52,IF('Capacity summary'!AU130&lt;&gt;"",IF(LOWER('Capacity summary'!AU130)="x",$BI11*AU11,VALUE('Capacity summary'!AU130)),0),AU11*$BI11),AU11*$BI11),0)</f>
        <v>0</v>
      </c>
      <c r="CY11" s="314">
        <f>IF($BI11&lt;&gt;"",IF('Capacity summary'!$D$14="Yes",IF(COUNTBLANK('Capacity summary'!$H130:$BG130)&lt;52,IF('Capacity summary'!AV130&lt;&gt;"",IF(LOWER('Capacity summary'!AV130)="x",$BI11*AV11,VALUE('Capacity summary'!AV130)),0),AV11*$BI11),AV11*$BI11),0)</f>
        <v>0</v>
      </c>
      <c r="CZ11" s="314">
        <f>IF($BI11&lt;&gt;"",IF('Capacity summary'!$D$14="Yes",IF(COUNTBLANK('Capacity summary'!$H130:$BG130)&lt;52,IF('Capacity summary'!AW130&lt;&gt;"",IF(LOWER('Capacity summary'!AW130)="x",$BI11*AW11,VALUE('Capacity summary'!AW130)),0),AW11*$BI11),AW11*$BI11),0)</f>
        <v>0</v>
      </c>
      <c r="DA11" s="314">
        <f>IF($BI11&lt;&gt;"",IF('Capacity summary'!$D$14="Yes",IF(COUNTBLANK('Capacity summary'!$H130:$BG130)&lt;52,IF('Capacity summary'!AX130&lt;&gt;"",IF(LOWER('Capacity summary'!AX130)="x",$BI11*AX11,VALUE('Capacity summary'!AX130)),0),AX11*$BI11),AX11*$BI11),0)</f>
        <v>0</v>
      </c>
      <c r="DB11" s="314">
        <f>IF($BI11&lt;&gt;"",IF('Capacity summary'!$D$14="Yes",IF(COUNTBLANK('Capacity summary'!$H130:$BG130)&lt;52,IF('Capacity summary'!AY130&lt;&gt;"",IF(LOWER('Capacity summary'!AY130)="x",$BI11*AY11,VALUE('Capacity summary'!AY130)),0),AY11*$BI11),AY11*$BI11),0)</f>
        <v>0</v>
      </c>
      <c r="DC11" s="314">
        <f>IF($BI11&lt;&gt;"",IF('Capacity summary'!$D$14="Yes",IF(COUNTBLANK('Capacity summary'!$H130:$BG130)&lt;52,IF('Capacity summary'!AZ130&lt;&gt;"",IF(LOWER('Capacity summary'!AZ130)="x",$BI11*AZ11,VALUE('Capacity summary'!AZ130)),0),AZ11*$BI11),AZ11*$BI11),0)</f>
        <v>0</v>
      </c>
      <c r="DD11" s="314">
        <f>IF($BI11&lt;&gt;"",IF('Capacity summary'!$D$14="Yes",IF(COUNTBLANK('Capacity summary'!$H130:$BG130)&lt;52,IF('Capacity summary'!BA130&lt;&gt;"",IF(LOWER('Capacity summary'!BA130)="x",$BI11*BA11,VALUE('Capacity summary'!BA130)),0),BA11*$BI11),BA11*$BI11),0)</f>
        <v>0</v>
      </c>
      <c r="DE11" s="314">
        <f>IF($BI11&lt;&gt;"",IF('Capacity summary'!$D$14="Yes",IF(COUNTBLANK('Capacity summary'!$H130:$BG130)&lt;52,IF('Capacity summary'!BB130&lt;&gt;"",IF(LOWER('Capacity summary'!BB130)="x",$BI11*BB11,VALUE('Capacity summary'!BB130)),0),BB11*$BI11),BB11*$BI11),0)</f>
        <v>0</v>
      </c>
      <c r="DF11" s="314">
        <f>IF($BI11&lt;&gt;"",IF('Capacity summary'!$D$14="Yes",IF(COUNTBLANK('Capacity summary'!$H130:$BG130)&lt;52,IF('Capacity summary'!BC130&lt;&gt;"",IF(LOWER('Capacity summary'!BC130)="x",$BI11*BC11,VALUE('Capacity summary'!BC130)),0),BC11*$BI11),BC11*$BI11),0)</f>
        <v>0</v>
      </c>
      <c r="DG11" s="314">
        <f>IF($BI11&lt;&gt;"",IF('Capacity summary'!$D$14="Yes",IF(COUNTBLANK('Capacity summary'!$H130:$BG130)&lt;52,IF('Capacity summary'!BD130&lt;&gt;"",IF(LOWER('Capacity summary'!BD130)="x",$BI11*BD11,VALUE('Capacity summary'!BD130)),0),BD11*$BI11),BD11*$BI11),0)</f>
        <v>0</v>
      </c>
      <c r="DH11" s="314">
        <f>IF($BI11&lt;&gt;"",IF('Capacity summary'!$D$14="Yes",IF(COUNTBLANK('Capacity summary'!$H130:$BG130)&lt;52,IF('Capacity summary'!BE130&lt;&gt;"",IF(LOWER('Capacity summary'!BE130)="x",$BI11*BE11,VALUE('Capacity summary'!BE130)),0),BE11*$BI11),BE11*$BI11),0)</f>
        <v>0</v>
      </c>
      <c r="DI11" s="314">
        <f>IF($BI11&lt;&gt;"",IF('Capacity summary'!$D$14="Yes",IF(COUNTBLANK('Capacity summary'!$H130:$BG130)&lt;52,IF('Capacity summary'!BF130&lt;&gt;"",IF(LOWER('Capacity summary'!BF130)="x",$BI11*BF11,VALUE('Capacity summary'!BF130)),0),BF11*$BI11),BF11*$BI11),0)</f>
        <v>0</v>
      </c>
      <c r="DJ11" s="314">
        <f>IF($BI11&lt;&gt;"",IF('Capacity summary'!$D$14="Yes",IF(COUNTBLANK('Capacity summary'!$H130:$BG130)&lt;52,IF('Capacity summary'!BG130&lt;&gt;"",IF(LOWER('Capacity summary'!BG130)="x",$BI11*BG11,VALUE('Capacity summary'!BG130)),0),BG11*$BI11),BG11*$BI11),0)</f>
        <v>0</v>
      </c>
      <c r="DK11" s="137">
        <f t="shared" si="2"/>
        <v>0</v>
      </c>
      <c r="DL11" s="314" t="str">
        <f>Capacity!H23</f>
        <v/>
      </c>
      <c r="DP11" s="5"/>
    </row>
    <row r="12" spans="2:120" x14ac:dyDescent="0.25">
      <c r="B12" s="67"/>
      <c r="C12" s="67" t="str">
        <f>ROW(A8)&amp;". "&amp;Capacity!B24</f>
        <v xml:space="preserve">8. </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IF(ROW(C8)&lt;=Capacity!$A$16,IF('Capacity summary'!$D$14="No",SUM(H12:BG12),'Capacity summary'!$E131),0)</f>
        <v>0</v>
      </c>
      <c r="BI12" s="5" t="str">
        <f>IF(BH12&gt;0,IF(BH12&lt;Capacity!E24,Capacity!F24,Capacity!H24/'Capacity calculation (hide)'!BH12),"")</f>
        <v/>
      </c>
      <c r="BK12" s="314">
        <f>IF($BI12&lt;&gt;"",IF('Capacity summary'!$D$14="Yes",IF(COUNTBLANK('Capacity summary'!$H131:$BG131)&lt;52,IF('Capacity summary'!H131&lt;&gt;"",IF(LOWER('Capacity summary'!H131)="x",$BI12*H12,VALUE('Capacity summary'!H131)),0),H12*$BI12),H12*$BI12),0)</f>
        <v>0</v>
      </c>
      <c r="BL12" s="314">
        <f>IF($BI12&lt;&gt;"",IF('Capacity summary'!$D$14="Yes",IF(COUNTBLANK('Capacity summary'!$H131:$BG131)&lt;52,IF('Capacity summary'!I131&lt;&gt;"",IF(LOWER('Capacity summary'!I131)="x",$BI12*I12,VALUE('Capacity summary'!I131)),0),I12*$BI12),I12*$BI12),0)</f>
        <v>0</v>
      </c>
      <c r="BM12" s="314">
        <f>IF($BI12&lt;&gt;"",IF('Capacity summary'!$D$14="Yes",IF(COUNTBLANK('Capacity summary'!$H131:$BG131)&lt;52,IF('Capacity summary'!J131&lt;&gt;"",IF(LOWER('Capacity summary'!J131)="x",$BI12*J12,VALUE('Capacity summary'!J131)),0),J12*$BI12),J12*$BI12),0)</f>
        <v>0</v>
      </c>
      <c r="BN12" s="314">
        <f>IF($BI12&lt;&gt;"",IF('Capacity summary'!$D$14="Yes",IF(COUNTBLANK('Capacity summary'!$H131:$BG131)&lt;52,IF('Capacity summary'!K131&lt;&gt;"",IF(LOWER('Capacity summary'!K131)="x",$BI12*K12,VALUE('Capacity summary'!K131)),0),K12*$BI12),K12*$BI12),0)</f>
        <v>0</v>
      </c>
      <c r="BO12" s="314">
        <f>IF($BI12&lt;&gt;"",IF('Capacity summary'!$D$14="Yes",IF(COUNTBLANK('Capacity summary'!$H131:$BG131)&lt;52,IF('Capacity summary'!L131&lt;&gt;"",IF(LOWER('Capacity summary'!L131)="x",$BI12*L12,VALUE('Capacity summary'!L131)),0),L12*$BI12),L12*$BI12),0)</f>
        <v>0</v>
      </c>
      <c r="BP12" s="314">
        <f>IF($BI12&lt;&gt;"",IF('Capacity summary'!$D$14="Yes",IF(COUNTBLANK('Capacity summary'!$H131:$BG131)&lt;52,IF('Capacity summary'!M131&lt;&gt;"",IF(LOWER('Capacity summary'!M131)="x",$BI12*M12,VALUE('Capacity summary'!M131)),0),M12*$BI12),M12*$BI12),0)</f>
        <v>0</v>
      </c>
      <c r="BQ12" s="314">
        <f>IF($BI12&lt;&gt;"",IF('Capacity summary'!$D$14="Yes",IF(COUNTBLANK('Capacity summary'!$H131:$BG131)&lt;52,IF('Capacity summary'!N131&lt;&gt;"",IF(LOWER('Capacity summary'!N131)="x",$BI12*N12,VALUE('Capacity summary'!N131)),0),N12*$BI12),N12*$BI12),0)</f>
        <v>0</v>
      </c>
      <c r="BR12" s="314">
        <f>IF($BI12&lt;&gt;"",IF('Capacity summary'!$D$14="Yes",IF(COUNTBLANK('Capacity summary'!$H131:$BG131)&lt;52,IF('Capacity summary'!O131&lt;&gt;"",IF(LOWER('Capacity summary'!O131)="x",$BI12*O12,VALUE('Capacity summary'!O131)),0),O12*$BI12),O12*$BI12),0)</f>
        <v>0</v>
      </c>
      <c r="BS12" s="314">
        <f>IF($BI12&lt;&gt;"",IF('Capacity summary'!$D$14="Yes",IF(COUNTBLANK('Capacity summary'!$H131:$BG131)&lt;52,IF('Capacity summary'!P131&lt;&gt;"",IF(LOWER('Capacity summary'!P131)="x",$BI12*P12,VALUE('Capacity summary'!P131)),0),P12*$BI12),P12*$BI12),0)</f>
        <v>0</v>
      </c>
      <c r="BT12" s="314">
        <f>IF($BI12&lt;&gt;"",IF('Capacity summary'!$D$14="Yes",IF(COUNTBLANK('Capacity summary'!$H131:$BG131)&lt;52,IF('Capacity summary'!Q131&lt;&gt;"",IF(LOWER('Capacity summary'!Q131)="x",$BI12*Q12,VALUE('Capacity summary'!Q131)),0),Q12*$BI12),Q12*$BI12),0)</f>
        <v>0</v>
      </c>
      <c r="BU12" s="314">
        <f>IF($BI12&lt;&gt;"",IF('Capacity summary'!$D$14="Yes",IF(COUNTBLANK('Capacity summary'!$H131:$BG131)&lt;52,IF('Capacity summary'!R131&lt;&gt;"",IF(LOWER('Capacity summary'!R131)="x",$BI12*R12,VALUE('Capacity summary'!R131)),0),R12*$BI12),R12*$BI12),0)</f>
        <v>0</v>
      </c>
      <c r="BV12" s="314">
        <f>IF($BI12&lt;&gt;"",IF('Capacity summary'!$D$14="Yes",IF(COUNTBLANK('Capacity summary'!$H131:$BG131)&lt;52,IF('Capacity summary'!S131&lt;&gt;"",IF(LOWER('Capacity summary'!S131)="x",$BI12*S12,VALUE('Capacity summary'!S131)),0),S12*$BI12),S12*$BI12),0)</f>
        <v>0</v>
      </c>
      <c r="BW12" s="314">
        <f>IF($BI12&lt;&gt;"",IF('Capacity summary'!$D$14="Yes",IF(COUNTBLANK('Capacity summary'!$H131:$BG131)&lt;52,IF('Capacity summary'!T131&lt;&gt;"",IF(LOWER('Capacity summary'!T131)="x",$BI12*T12,VALUE('Capacity summary'!T131)),0),T12*$BI12),T12*$BI12),0)</f>
        <v>0</v>
      </c>
      <c r="BX12" s="314">
        <f>IF($BI12&lt;&gt;"",IF('Capacity summary'!$D$14="Yes",IF(COUNTBLANK('Capacity summary'!$H131:$BG131)&lt;52,IF('Capacity summary'!U131&lt;&gt;"",IF(LOWER('Capacity summary'!U131)="x",$BI12*U12,VALUE('Capacity summary'!U131)),0),U12*$BI12),U12*$BI12),0)</f>
        <v>0</v>
      </c>
      <c r="BY12" s="314">
        <f>IF($BI12&lt;&gt;"",IF('Capacity summary'!$D$14="Yes",IF(COUNTBLANK('Capacity summary'!$H131:$BG131)&lt;52,IF('Capacity summary'!V131&lt;&gt;"",IF(LOWER('Capacity summary'!V131)="x",$BI12*V12,VALUE('Capacity summary'!V131)),0),V12*$BI12),V12*$BI12),0)</f>
        <v>0</v>
      </c>
      <c r="BZ12" s="314">
        <f>IF($BI12&lt;&gt;"",IF('Capacity summary'!$D$14="Yes",IF(COUNTBLANK('Capacity summary'!$H131:$BG131)&lt;52,IF('Capacity summary'!W131&lt;&gt;"",IF(LOWER('Capacity summary'!W131)="x",$BI12*W12,VALUE('Capacity summary'!W131)),0),W12*$BI12),W12*$BI12),0)</f>
        <v>0</v>
      </c>
      <c r="CA12" s="314">
        <f>IF($BI12&lt;&gt;"",IF('Capacity summary'!$D$14="Yes",IF(COUNTBLANK('Capacity summary'!$H131:$BG131)&lt;52,IF('Capacity summary'!X131&lt;&gt;"",IF(LOWER('Capacity summary'!X131)="x",$BI12*X12,VALUE('Capacity summary'!X131)),0),X12*$BI12),X12*$BI12),0)</f>
        <v>0</v>
      </c>
      <c r="CB12" s="314">
        <f>IF($BI12&lt;&gt;"",IF('Capacity summary'!$D$14="Yes",IF(COUNTBLANK('Capacity summary'!$H131:$BG131)&lt;52,IF('Capacity summary'!Y131&lt;&gt;"",IF(LOWER('Capacity summary'!Y131)="x",$BI12*Y12,VALUE('Capacity summary'!Y131)),0),Y12*$BI12),Y12*$BI12),0)</f>
        <v>0</v>
      </c>
      <c r="CC12" s="314">
        <f>IF($BI12&lt;&gt;"",IF('Capacity summary'!$D$14="Yes",IF(COUNTBLANK('Capacity summary'!$H131:$BG131)&lt;52,IF('Capacity summary'!Z131&lt;&gt;"",IF(LOWER('Capacity summary'!Z131)="x",$BI12*Z12,VALUE('Capacity summary'!Z131)),0),Z12*$BI12),Z12*$BI12),0)</f>
        <v>0</v>
      </c>
      <c r="CD12" s="314">
        <f>IF($BI12&lt;&gt;"",IF('Capacity summary'!$D$14="Yes",IF(COUNTBLANK('Capacity summary'!$H131:$BG131)&lt;52,IF('Capacity summary'!AA131&lt;&gt;"",IF(LOWER('Capacity summary'!AA131)="x",$BI12*AA12,VALUE('Capacity summary'!AA131)),0),AA12*$BI12),AA12*$BI12),0)</f>
        <v>0</v>
      </c>
      <c r="CE12" s="314">
        <f>IF($BI12&lt;&gt;"",IF('Capacity summary'!$D$14="Yes",IF(COUNTBLANK('Capacity summary'!$H131:$BG131)&lt;52,IF('Capacity summary'!AB131&lt;&gt;"",IF(LOWER('Capacity summary'!AB131)="x",$BI12*AB12,VALUE('Capacity summary'!AB131)),0),AB12*$BI12),AB12*$BI12),0)</f>
        <v>0</v>
      </c>
      <c r="CF12" s="314">
        <f>IF($BI12&lt;&gt;"",IF('Capacity summary'!$D$14="Yes",IF(COUNTBLANK('Capacity summary'!$H131:$BG131)&lt;52,IF('Capacity summary'!AC131&lt;&gt;"",IF(LOWER('Capacity summary'!AC131)="x",$BI12*AC12,VALUE('Capacity summary'!AC131)),0),AC12*$BI12),AC12*$BI12),0)</f>
        <v>0</v>
      </c>
      <c r="CG12" s="314">
        <f>IF($BI12&lt;&gt;"",IF('Capacity summary'!$D$14="Yes",IF(COUNTBLANK('Capacity summary'!$H131:$BG131)&lt;52,IF('Capacity summary'!AD131&lt;&gt;"",IF(LOWER('Capacity summary'!AD131)="x",$BI12*AD12,VALUE('Capacity summary'!AD131)),0),AD12*$BI12),AD12*$BI12),0)</f>
        <v>0</v>
      </c>
      <c r="CH12" s="314">
        <f>IF($BI12&lt;&gt;"",IF('Capacity summary'!$D$14="Yes",IF(COUNTBLANK('Capacity summary'!$H131:$BG131)&lt;52,IF('Capacity summary'!AE131&lt;&gt;"",IF(LOWER('Capacity summary'!AE131)="x",$BI12*AE12,VALUE('Capacity summary'!AE131)),0),AE12*$BI12),AE12*$BI12),0)</f>
        <v>0</v>
      </c>
      <c r="CI12" s="314">
        <f>IF($BI12&lt;&gt;"",IF('Capacity summary'!$D$14="Yes",IF(COUNTBLANK('Capacity summary'!$H131:$BG131)&lt;52,IF('Capacity summary'!AF131&lt;&gt;"",IF(LOWER('Capacity summary'!AF131)="x",$BI12*AF12,VALUE('Capacity summary'!AF131)),0),AF12*$BI12),AF12*$BI12),0)</f>
        <v>0</v>
      </c>
      <c r="CJ12" s="314">
        <f>IF($BI12&lt;&gt;"",IF('Capacity summary'!$D$14="Yes",IF(COUNTBLANK('Capacity summary'!$H131:$BG131)&lt;52,IF('Capacity summary'!AG131&lt;&gt;"",IF(LOWER('Capacity summary'!AG131)="x",$BI12*AG12,VALUE('Capacity summary'!AG131)),0),AG12*$BI12),AG12*$BI12),0)</f>
        <v>0</v>
      </c>
      <c r="CK12" s="314">
        <f>IF($BI12&lt;&gt;"",IF('Capacity summary'!$D$14="Yes",IF(COUNTBLANK('Capacity summary'!$H131:$BG131)&lt;52,IF('Capacity summary'!AH131&lt;&gt;"",IF(LOWER('Capacity summary'!AH131)="x",$BI12*AH12,VALUE('Capacity summary'!AH131)),0),AH12*$BI12),AH12*$BI12),0)</f>
        <v>0</v>
      </c>
      <c r="CL12" s="314">
        <f>IF($BI12&lt;&gt;"",IF('Capacity summary'!$D$14="Yes",IF(COUNTBLANK('Capacity summary'!$H131:$BG131)&lt;52,IF('Capacity summary'!AI131&lt;&gt;"",IF(LOWER('Capacity summary'!AI131)="x",$BI12*AI12,VALUE('Capacity summary'!AI131)),0),AI12*$BI12),AI12*$BI12),0)</f>
        <v>0</v>
      </c>
      <c r="CM12" s="314">
        <f>IF($BI12&lt;&gt;"",IF('Capacity summary'!$D$14="Yes",IF(COUNTBLANK('Capacity summary'!$H131:$BG131)&lt;52,IF('Capacity summary'!AJ131&lt;&gt;"",IF(LOWER('Capacity summary'!AJ131)="x",$BI12*AJ12,VALUE('Capacity summary'!AJ131)),0),AJ12*$BI12),AJ12*$BI12),0)</f>
        <v>0</v>
      </c>
      <c r="CN12" s="314">
        <f>IF($BI12&lt;&gt;"",IF('Capacity summary'!$D$14="Yes",IF(COUNTBLANK('Capacity summary'!$H131:$BG131)&lt;52,IF('Capacity summary'!AK131&lt;&gt;"",IF(LOWER('Capacity summary'!AK131)="x",$BI12*AK12,VALUE('Capacity summary'!AK131)),0),AK12*$BI12),AK12*$BI12),0)</f>
        <v>0</v>
      </c>
      <c r="CO12" s="314">
        <f>IF($BI12&lt;&gt;"",IF('Capacity summary'!$D$14="Yes",IF(COUNTBLANK('Capacity summary'!$H131:$BG131)&lt;52,IF('Capacity summary'!AL131&lt;&gt;"",IF(LOWER('Capacity summary'!AL131)="x",$BI12*AL12,VALUE('Capacity summary'!AL131)),0),AL12*$BI12),AL12*$BI12),0)</f>
        <v>0</v>
      </c>
      <c r="CP12" s="314">
        <f>IF($BI12&lt;&gt;"",IF('Capacity summary'!$D$14="Yes",IF(COUNTBLANK('Capacity summary'!$H131:$BG131)&lt;52,IF('Capacity summary'!AM131&lt;&gt;"",IF(LOWER('Capacity summary'!AM131)="x",$BI12*AM12,VALUE('Capacity summary'!AM131)),0),AM12*$BI12),AM12*$BI12),0)</f>
        <v>0</v>
      </c>
      <c r="CQ12" s="314">
        <f>IF($BI12&lt;&gt;"",IF('Capacity summary'!$D$14="Yes",IF(COUNTBLANK('Capacity summary'!$H131:$BG131)&lt;52,IF('Capacity summary'!AN131&lt;&gt;"",IF(LOWER('Capacity summary'!AN131)="x",$BI12*AN12,VALUE('Capacity summary'!AN131)),0),AN12*$BI12),AN12*$BI12),0)</f>
        <v>0</v>
      </c>
      <c r="CR12" s="314">
        <f>IF($BI12&lt;&gt;"",IF('Capacity summary'!$D$14="Yes",IF(COUNTBLANK('Capacity summary'!$H131:$BG131)&lt;52,IF('Capacity summary'!AO131&lt;&gt;"",IF(LOWER('Capacity summary'!AO131)="x",$BI12*AO12,VALUE('Capacity summary'!AO131)),0),AO12*$BI12),AO12*$BI12),0)</f>
        <v>0</v>
      </c>
      <c r="CS12" s="314">
        <f>IF($BI12&lt;&gt;"",IF('Capacity summary'!$D$14="Yes",IF(COUNTBLANK('Capacity summary'!$H131:$BG131)&lt;52,IF('Capacity summary'!AP131&lt;&gt;"",IF(LOWER('Capacity summary'!AP131)="x",$BI12*AP12,VALUE('Capacity summary'!AP131)),0),AP12*$BI12),AP12*$BI12),0)</f>
        <v>0</v>
      </c>
      <c r="CT12" s="314">
        <f>IF($BI12&lt;&gt;"",IF('Capacity summary'!$D$14="Yes",IF(COUNTBLANK('Capacity summary'!$H131:$BG131)&lt;52,IF('Capacity summary'!AQ131&lt;&gt;"",IF(LOWER('Capacity summary'!AQ131)="x",$BI12*AQ12,VALUE('Capacity summary'!AQ131)),0),AQ12*$BI12),AQ12*$BI12),0)</f>
        <v>0</v>
      </c>
      <c r="CU12" s="314">
        <f>IF($BI12&lt;&gt;"",IF('Capacity summary'!$D$14="Yes",IF(COUNTBLANK('Capacity summary'!$H131:$BG131)&lt;52,IF('Capacity summary'!AR131&lt;&gt;"",IF(LOWER('Capacity summary'!AR131)="x",$BI12*AR12,VALUE('Capacity summary'!AR131)),0),AR12*$BI12),AR12*$BI12),0)</f>
        <v>0</v>
      </c>
      <c r="CV12" s="314">
        <f>IF($BI12&lt;&gt;"",IF('Capacity summary'!$D$14="Yes",IF(COUNTBLANK('Capacity summary'!$H131:$BG131)&lt;52,IF('Capacity summary'!AS131&lt;&gt;"",IF(LOWER('Capacity summary'!AS131)="x",$BI12*AS12,VALUE('Capacity summary'!AS131)),0),AS12*$BI12),AS12*$BI12),0)</f>
        <v>0</v>
      </c>
      <c r="CW12" s="314">
        <f>IF($BI12&lt;&gt;"",IF('Capacity summary'!$D$14="Yes",IF(COUNTBLANK('Capacity summary'!$H131:$BG131)&lt;52,IF('Capacity summary'!AT131&lt;&gt;"",IF(LOWER('Capacity summary'!AT131)="x",$BI12*AT12,VALUE('Capacity summary'!AT131)),0),AT12*$BI12),AT12*$BI12),0)</f>
        <v>0</v>
      </c>
      <c r="CX12" s="314">
        <f>IF($BI12&lt;&gt;"",IF('Capacity summary'!$D$14="Yes",IF(COUNTBLANK('Capacity summary'!$H131:$BG131)&lt;52,IF('Capacity summary'!AU131&lt;&gt;"",IF(LOWER('Capacity summary'!AU131)="x",$BI12*AU12,VALUE('Capacity summary'!AU131)),0),AU12*$BI12),AU12*$BI12),0)</f>
        <v>0</v>
      </c>
      <c r="CY12" s="314">
        <f>IF($BI12&lt;&gt;"",IF('Capacity summary'!$D$14="Yes",IF(COUNTBLANK('Capacity summary'!$H131:$BG131)&lt;52,IF('Capacity summary'!AV131&lt;&gt;"",IF(LOWER('Capacity summary'!AV131)="x",$BI12*AV12,VALUE('Capacity summary'!AV131)),0),AV12*$BI12),AV12*$BI12),0)</f>
        <v>0</v>
      </c>
      <c r="CZ12" s="314">
        <f>IF($BI12&lt;&gt;"",IF('Capacity summary'!$D$14="Yes",IF(COUNTBLANK('Capacity summary'!$H131:$BG131)&lt;52,IF('Capacity summary'!AW131&lt;&gt;"",IF(LOWER('Capacity summary'!AW131)="x",$BI12*AW12,VALUE('Capacity summary'!AW131)),0),AW12*$BI12),AW12*$BI12),0)</f>
        <v>0</v>
      </c>
      <c r="DA12" s="314">
        <f>IF($BI12&lt;&gt;"",IF('Capacity summary'!$D$14="Yes",IF(COUNTBLANK('Capacity summary'!$H131:$BG131)&lt;52,IF('Capacity summary'!AX131&lt;&gt;"",IF(LOWER('Capacity summary'!AX131)="x",$BI12*AX12,VALUE('Capacity summary'!AX131)),0),AX12*$BI12),AX12*$BI12),0)</f>
        <v>0</v>
      </c>
      <c r="DB12" s="314">
        <f>IF($BI12&lt;&gt;"",IF('Capacity summary'!$D$14="Yes",IF(COUNTBLANK('Capacity summary'!$H131:$BG131)&lt;52,IF('Capacity summary'!AY131&lt;&gt;"",IF(LOWER('Capacity summary'!AY131)="x",$BI12*AY12,VALUE('Capacity summary'!AY131)),0),AY12*$BI12),AY12*$BI12),0)</f>
        <v>0</v>
      </c>
      <c r="DC12" s="314">
        <f>IF($BI12&lt;&gt;"",IF('Capacity summary'!$D$14="Yes",IF(COUNTBLANK('Capacity summary'!$H131:$BG131)&lt;52,IF('Capacity summary'!AZ131&lt;&gt;"",IF(LOWER('Capacity summary'!AZ131)="x",$BI12*AZ12,VALUE('Capacity summary'!AZ131)),0),AZ12*$BI12),AZ12*$BI12),0)</f>
        <v>0</v>
      </c>
      <c r="DD12" s="314">
        <f>IF($BI12&lt;&gt;"",IF('Capacity summary'!$D$14="Yes",IF(COUNTBLANK('Capacity summary'!$H131:$BG131)&lt;52,IF('Capacity summary'!BA131&lt;&gt;"",IF(LOWER('Capacity summary'!BA131)="x",$BI12*BA12,VALUE('Capacity summary'!BA131)),0),BA12*$BI12),BA12*$BI12),0)</f>
        <v>0</v>
      </c>
      <c r="DE12" s="314">
        <f>IF($BI12&lt;&gt;"",IF('Capacity summary'!$D$14="Yes",IF(COUNTBLANK('Capacity summary'!$H131:$BG131)&lt;52,IF('Capacity summary'!BB131&lt;&gt;"",IF(LOWER('Capacity summary'!BB131)="x",$BI12*BB12,VALUE('Capacity summary'!BB131)),0),BB12*$BI12),BB12*$BI12),0)</f>
        <v>0</v>
      </c>
      <c r="DF12" s="314">
        <f>IF($BI12&lt;&gt;"",IF('Capacity summary'!$D$14="Yes",IF(COUNTBLANK('Capacity summary'!$H131:$BG131)&lt;52,IF('Capacity summary'!BC131&lt;&gt;"",IF(LOWER('Capacity summary'!BC131)="x",$BI12*BC12,VALUE('Capacity summary'!BC131)),0),BC12*$BI12),BC12*$BI12),0)</f>
        <v>0</v>
      </c>
      <c r="DG12" s="314">
        <f>IF($BI12&lt;&gt;"",IF('Capacity summary'!$D$14="Yes",IF(COUNTBLANK('Capacity summary'!$H131:$BG131)&lt;52,IF('Capacity summary'!BD131&lt;&gt;"",IF(LOWER('Capacity summary'!BD131)="x",$BI12*BD12,VALUE('Capacity summary'!BD131)),0),BD12*$BI12),BD12*$BI12),0)</f>
        <v>0</v>
      </c>
      <c r="DH12" s="314">
        <f>IF($BI12&lt;&gt;"",IF('Capacity summary'!$D$14="Yes",IF(COUNTBLANK('Capacity summary'!$H131:$BG131)&lt;52,IF('Capacity summary'!BE131&lt;&gt;"",IF(LOWER('Capacity summary'!BE131)="x",$BI12*BE12,VALUE('Capacity summary'!BE131)),0),BE12*$BI12),BE12*$BI12),0)</f>
        <v>0</v>
      </c>
      <c r="DI12" s="314">
        <f>IF($BI12&lt;&gt;"",IF('Capacity summary'!$D$14="Yes",IF(COUNTBLANK('Capacity summary'!$H131:$BG131)&lt;52,IF('Capacity summary'!BF131&lt;&gt;"",IF(LOWER('Capacity summary'!BF131)="x",$BI12*BF12,VALUE('Capacity summary'!BF131)),0),BF12*$BI12),BF12*$BI12),0)</f>
        <v>0</v>
      </c>
      <c r="DJ12" s="314">
        <f>IF($BI12&lt;&gt;"",IF('Capacity summary'!$D$14="Yes",IF(COUNTBLANK('Capacity summary'!$H131:$BG131)&lt;52,IF('Capacity summary'!BG131&lt;&gt;"",IF(LOWER('Capacity summary'!BG131)="x",$BI12*BG12,VALUE('Capacity summary'!BG131)),0),BG12*$BI12),BG12*$BI12),0)</f>
        <v>0</v>
      </c>
      <c r="DK12" s="137">
        <f t="shared" si="2"/>
        <v>0</v>
      </c>
      <c r="DL12" s="314" t="str">
        <f>Capacity!H24</f>
        <v/>
      </c>
      <c r="DP12" s="5"/>
    </row>
    <row r="13" spans="2:120" x14ac:dyDescent="0.25">
      <c r="B13" s="67"/>
      <c r="C13" s="67" t="str">
        <f>ROW(A9)&amp;". "&amp;Capacity!B25</f>
        <v xml:space="preserve">9.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IF(ROW(C9)&lt;=Capacity!$A$16,IF('Capacity summary'!$D$14="No",SUM(H13:BG13),'Capacity summary'!$E132),0)</f>
        <v>0</v>
      </c>
      <c r="BI13" s="5" t="str">
        <f>IF(BH13&gt;0,IF(BH13&lt;Capacity!E25,Capacity!F25,Capacity!H25/'Capacity calculation (hide)'!BH13),"")</f>
        <v/>
      </c>
      <c r="BK13" s="314">
        <f>IF($BI13&lt;&gt;"",IF('Capacity summary'!$D$14="Yes",IF(COUNTBLANK('Capacity summary'!$H132:$BG132)&lt;52,IF('Capacity summary'!H132&lt;&gt;"",IF(LOWER('Capacity summary'!H132)="x",$BI13*H13,VALUE('Capacity summary'!H132)),0),H13*$BI13),H13*$BI13),0)</f>
        <v>0</v>
      </c>
      <c r="BL13" s="314">
        <f>IF($BI13&lt;&gt;"",IF('Capacity summary'!$D$14="Yes",IF(COUNTBLANK('Capacity summary'!$H132:$BG132)&lt;52,IF('Capacity summary'!I132&lt;&gt;"",IF(LOWER('Capacity summary'!I132)="x",$BI13*I13,VALUE('Capacity summary'!I132)),0),I13*$BI13),I13*$BI13),0)</f>
        <v>0</v>
      </c>
      <c r="BM13" s="314">
        <f>IF($BI13&lt;&gt;"",IF('Capacity summary'!$D$14="Yes",IF(COUNTBLANK('Capacity summary'!$H132:$BG132)&lt;52,IF('Capacity summary'!J132&lt;&gt;"",IF(LOWER('Capacity summary'!J132)="x",$BI13*J13,VALUE('Capacity summary'!J132)),0),J13*$BI13),J13*$BI13),0)</f>
        <v>0</v>
      </c>
      <c r="BN13" s="314">
        <f>IF($BI13&lt;&gt;"",IF('Capacity summary'!$D$14="Yes",IF(COUNTBLANK('Capacity summary'!$H132:$BG132)&lt;52,IF('Capacity summary'!K132&lt;&gt;"",IF(LOWER('Capacity summary'!K132)="x",$BI13*K13,VALUE('Capacity summary'!K132)),0),K13*$BI13),K13*$BI13),0)</f>
        <v>0</v>
      </c>
      <c r="BO13" s="314">
        <f>IF($BI13&lt;&gt;"",IF('Capacity summary'!$D$14="Yes",IF(COUNTBLANK('Capacity summary'!$H132:$BG132)&lt;52,IF('Capacity summary'!L132&lt;&gt;"",IF(LOWER('Capacity summary'!L132)="x",$BI13*L13,VALUE('Capacity summary'!L132)),0),L13*$BI13),L13*$BI13),0)</f>
        <v>0</v>
      </c>
      <c r="BP13" s="314">
        <f>IF($BI13&lt;&gt;"",IF('Capacity summary'!$D$14="Yes",IF(COUNTBLANK('Capacity summary'!$H132:$BG132)&lt;52,IF('Capacity summary'!M132&lt;&gt;"",IF(LOWER('Capacity summary'!M132)="x",$BI13*M13,VALUE('Capacity summary'!M132)),0),M13*$BI13),M13*$BI13),0)</f>
        <v>0</v>
      </c>
      <c r="BQ13" s="314">
        <f>IF($BI13&lt;&gt;"",IF('Capacity summary'!$D$14="Yes",IF(COUNTBLANK('Capacity summary'!$H132:$BG132)&lt;52,IF('Capacity summary'!N132&lt;&gt;"",IF(LOWER('Capacity summary'!N132)="x",$BI13*N13,VALUE('Capacity summary'!N132)),0),N13*$BI13),N13*$BI13),0)</f>
        <v>0</v>
      </c>
      <c r="BR13" s="314">
        <f>IF($BI13&lt;&gt;"",IF('Capacity summary'!$D$14="Yes",IF(COUNTBLANK('Capacity summary'!$H132:$BG132)&lt;52,IF('Capacity summary'!O132&lt;&gt;"",IF(LOWER('Capacity summary'!O132)="x",$BI13*O13,VALUE('Capacity summary'!O132)),0),O13*$BI13),O13*$BI13),0)</f>
        <v>0</v>
      </c>
      <c r="BS13" s="314">
        <f>IF($BI13&lt;&gt;"",IF('Capacity summary'!$D$14="Yes",IF(COUNTBLANK('Capacity summary'!$H132:$BG132)&lt;52,IF('Capacity summary'!P132&lt;&gt;"",IF(LOWER('Capacity summary'!P132)="x",$BI13*P13,VALUE('Capacity summary'!P132)),0),P13*$BI13),P13*$BI13),0)</f>
        <v>0</v>
      </c>
      <c r="BT13" s="314">
        <f>IF($BI13&lt;&gt;"",IF('Capacity summary'!$D$14="Yes",IF(COUNTBLANK('Capacity summary'!$H132:$BG132)&lt;52,IF('Capacity summary'!Q132&lt;&gt;"",IF(LOWER('Capacity summary'!Q132)="x",$BI13*Q13,VALUE('Capacity summary'!Q132)),0),Q13*$BI13),Q13*$BI13),0)</f>
        <v>0</v>
      </c>
      <c r="BU13" s="314">
        <f>IF($BI13&lt;&gt;"",IF('Capacity summary'!$D$14="Yes",IF(COUNTBLANK('Capacity summary'!$H132:$BG132)&lt;52,IF('Capacity summary'!R132&lt;&gt;"",IF(LOWER('Capacity summary'!R132)="x",$BI13*R13,VALUE('Capacity summary'!R132)),0),R13*$BI13),R13*$BI13),0)</f>
        <v>0</v>
      </c>
      <c r="BV13" s="314">
        <f>IF($BI13&lt;&gt;"",IF('Capacity summary'!$D$14="Yes",IF(COUNTBLANK('Capacity summary'!$H132:$BG132)&lt;52,IF('Capacity summary'!S132&lt;&gt;"",IF(LOWER('Capacity summary'!S132)="x",$BI13*S13,VALUE('Capacity summary'!S132)),0),S13*$BI13),S13*$BI13),0)</f>
        <v>0</v>
      </c>
      <c r="BW13" s="314">
        <f>IF($BI13&lt;&gt;"",IF('Capacity summary'!$D$14="Yes",IF(COUNTBLANK('Capacity summary'!$H132:$BG132)&lt;52,IF('Capacity summary'!T132&lt;&gt;"",IF(LOWER('Capacity summary'!T132)="x",$BI13*T13,VALUE('Capacity summary'!T132)),0),T13*$BI13),T13*$BI13),0)</f>
        <v>0</v>
      </c>
      <c r="BX13" s="314">
        <f>IF($BI13&lt;&gt;"",IF('Capacity summary'!$D$14="Yes",IF(COUNTBLANK('Capacity summary'!$H132:$BG132)&lt;52,IF('Capacity summary'!U132&lt;&gt;"",IF(LOWER('Capacity summary'!U132)="x",$BI13*U13,VALUE('Capacity summary'!U132)),0),U13*$BI13),U13*$BI13),0)</f>
        <v>0</v>
      </c>
      <c r="BY13" s="314">
        <f>IF($BI13&lt;&gt;"",IF('Capacity summary'!$D$14="Yes",IF(COUNTBLANK('Capacity summary'!$H132:$BG132)&lt;52,IF('Capacity summary'!V132&lt;&gt;"",IF(LOWER('Capacity summary'!V132)="x",$BI13*V13,VALUE('Capacity summary'!V132)),0),V13*$BI13),V13*$BI13),0)</f>
        <v>0</v>
      </c>
      <c r="BZ13" s="314">
        <f>IF($BI13&lt;&gt;"",IF('Capacity summary'!$D$14="Yes",IF(COUNTBLANK('Capacity summary'!$H132:$BG132)&lt;52,IF('Capacity summary'!W132&lt;&gt;"",IF(LOWER('Capacity summary'!W132)="x",$BI13*W13,VALUE('Capacity summary'!W132)),0),W13*$BI13),W13*$BI13),0)</f>
        <v>0</v>
      </c>
      <c r="CA13" s="314">
        <f>IF($BI13&lt;&gt;"",IF('Capacity summary'!$D$14="Yes",IF(COUNTBLANK('Capacity summary'!$H132:$BG132)&lt;52,IF('Capacity summary'!X132&lt;&gt;"",IF(LOWER('Capacity summary'!X132)="x",$BI13*X13,VALUE('Capacity summary'!X132)),0),X13*$BI13),X13*$BI13),0)</f>
        <v>0</v>
      </c>
      <c r="CB13" s="314">
        <f>IF($BI13&lt;&gt;"",IF('Capacity summary'!$D$14="Yes",IF(COUNTBLANK('Capacity summary'!$H132:$BG132)&lt;52,IF('Capacity summary'!Y132&lt;&gt;"",IF(LOWER('Capacity summary'!Y132)="x",$BI13*Y13,VALUE('Capacity summary'!Y132)),0),Y13*$BI13),Y13*$BI13),0)</f>
        <v>0</v>
      </c>
      <c r="CC13" s="314">
        <f>IF($BI13&lt;&gt;"",IF('Capacity summary'!$D$14="Yes",IF(COUNTBLANK('Capacity summary'!$H132:$BG132)&lt;52,IF('Capacity summary'!Z132&lt;&gt;"",IF(LOWER('Capacity summary'!Z132)="x",$BI13*Z13,VALUE('Capacity summary'!Z132)),0),Z13*$BI13),Z13*$BI13),0)</f>
        <v>0</v>
      </c>
      <c r="CD13" s="314">
        <f>IF($BI13&lt;&gt;"",IF('Capacity summary'!$D$14="Yes",IF(COUNTBLANK('Capacity summary'!$H132:$BG132)&lt;52,IF('Capacity summary'!AA132&lt;&gt;"",IF(LOWER('Capacity summary'!AA132)="x",$BI13*AA13,VALUE('Capacity summary'!AA132)),0),AA13*$BI13),AA13*$BI13),0)</f>
        <v>0</v>
      </c>
      <c r="CE13" s="314">
        <f>IF($BI13&lt;&gt;"",IF('Capacity summary'!$D$14="Yes",IF(COUNTBLANK('Capacity summary'!$H132:$BG132)&lt;52,IF('Capacity summary'!AB132&lt;&gt;"",IF(LOWER('Capacity summary'!AB132)="x",$BI13*AB13,VALUE('Capacity summary'!AB132)),0),AB13*$BI13),AB13*$BI13),0)</f>
        <v>0</v>
      </c>
      <c r="CF13" s="314">
        <f>IF($BI13&lt;&gt;"",IF('Capacity summary'!$D$14="Yes",IF(COUNTBLANK('Capacity summary'!$H132:$BG132)&lt;52,IF('Capacity summary'!AC132&lt;&gt;"",IF(LOWER('Capacity summary'!AC132)="x",$BI13*AC13,VALUE('Capacity summary'!AC132)),0),AC13*$BI13),AC13*$BI13),0)</f>
        <v>0</v>
      </c>
      <c r="CG13" s="314">
        <f>IF($BI13&lt;&gt;"",IF('Capacity summary'!$D$14="Yes",IF(COUNTBLANK('Capacity summary'!$H132:$BG132)&lt;52,IF('Capacity summary'!AD132&lt;&gt;"",IF(LOWER('Capacity summary'!AD132)="x",$BI13*AD13,VALUE('Capacity summary'!AD132)),0),AD13*$BI13),AD13*$BI13),0)</f>
        <v>0</v>
      </c>
      <c r="CH13" s="314">
        <f>IF($BI13&lt;&gt;"",IF('Capacity summary'!$D$14="Yes",IF(COUNTBLANK('Capacity summary'!$H132:$BG132)&lt;52,IF('Capacity summary'!AE132&lt;&gt;"",IF(LOWER('Capacity summary'!AE132)="x",$BI13*AE13,VALUE('Capacity summary'!AE132)),0),AE13*$BI13),AE13*$BI13),0)</f>
        <v>0</v>
      </c>
      <c r="CI13" s="314">
        <f>IF($BI13&lt;&gt;"",IF('Capacity summary'!$D$14="Yes",IF(COUNTBLANK('Capacity summary'!$H132:$BG132)&lt;52,IF('Capacity summary'!AF132&lt;&gt;"",IF(LOWER('Capacity summary'!AF132)="x",$BI13*AF13,VALUE('Capacity summary'!AF132)),0),AF13*$BI13),AF13*$BI13),0)</f>
        <v>0</v>
      </c>
      <c r="CJ13" s="314">
        <f>IF($BI13&lt;&gt;"",IF('Capacity summary'!$D$14="Yes",IF(COUNTBLANK('Capacity summary'!$H132:$BG132)&lt;52,IF('Capacity summary'!AG132&lt;&gt;"",IF(LOWER('Capacity summary'!AG132)="x",$BI13*AG13,VALUE('Capacity summary'!AG132)),0),AG13*$BI13),AG13*$BI13),0)</f>
        <v>0</v>
      </c>
      <c r="CK13" s="314">
        <f>IF($BI13&lt;&gt;"",IF('Capacity summary'!$D$14="Yes",IF(COUNTBLANK('Capacity summary'!$H132:$BG132)&lt;52,IF('Capacity summary'!AH132&lt;&gt;"",IF(LOWER('Capacity summary'!AH132)="x",$BI13*AH13,VALUE('Capacity summary'!AH132)),0),AH13*$BI13),AH13*$BI13),0)</f>
        <v>0</v>
      </c>
      <c r="CL13" s="314">
        <f>IF($BI13&lt;&gt;"",IF('Capacity summary'!$D$14="Yes",IF(COUNTBLANK('Capacity summary'!$H132:$BG132)&lt;52,IF('Capacity summary'!AI132&lt;&gt;"",IF(LOWER('Capacity summary'!AI132)="x",$BI13*AI13,VALUE('Capacity summary'!AI132)),0),AI13*$BI13),AI13*$BI13),0)</f>
        <v>0</v>
      </c>
      <c r="CM13" s="314">
        <f>IF($BI13&lt;&gt;"",IF('Capacity summary'!$D$14="Yes",IF(COUNTBLANK('Capacity summary'!$H132:$BG132)&lt;52,IF('Capacity summary'!AJ132&lt;&gt;"",IF(LOWER('Capacity summary'!AJ132)="x",$BI13*AJ13,VALUE('Capacity summary'!AJ132)),0),AJ13*$BI13),AJ13*$BI13),0)</f>
        <v>0</v>
      </c>
      <c r="CN13" s="314">
        <f>IF($BI13&lt;&gt;"",IF('Capacity summary'!$D$14="Yes",IF(COUNTBLANK('Capacity summary'!$H132:$BG132)&lt;52,IF('Capacity summary'!AK132&lt;&gt;"",IF(LOWER('Capacity summary'!AK132)="x",$BI13*AK13,VALUE('Capacity summary'!AK132)),0),AK13*$BI13),AK13*$BI13),0)</f>
        <v>0</v>
      </c>
      <c r="CO13" s="314">
        <f>IF($BI13&lt;&gt;"",IF('Capacity summary'!$D$14="Yes",IF(COUNTBLANK('Capacity summary'!$H132:$BG132)&lt;52,IF('Capacity summary'!AL132&lt;&gt;"",IF(LOWER('Capacity summary'!AL132)="x",$BI13*AL13,VALUE('Capacity summary'!AL132)),0),AL13*$BI13),AL13*$BI13),0)</f>
        <v>0</v>
      </c>
      <c r="CP13" s="314">
        <f>IF($BI13&lt;&gt;"",IF('Capacity summary'!$D$14="Yes",IF(COUNTBLANK('Capacity summary'!$H132:$BG132)&lt;52,IF('Capacity summary'!AM132&lt;&gt;"",IF(LOWER('Capacity summary'!AM132)="x",$BI13*AM13,VALUE('Capacity summary'!AM132)),0),AM13*$BI13),AM13*$BI13),0)</f>
        <v>0</v>
      </c>
      <c r="CQ13" s="314">
        <f>IF($BI13&lt;&gt;"",IF('Capacity summary'!$D$14="Yes",IF(COUNTBLANK('Capacity summary'!$H132:$BG132)&lt;52,IF('Capacity summary'!AN132&lt;&gt;"",IF(LOWER('Capacity summary'!AN132)="x",$BI13*AN13,VALUE('Capacity summary'!AN132)),0),AN13*$BI13),AN13*$BI13),0)</f>
        <v>0</v>
      </c>
      <c r="CR13" s="314">
        <f>IF($BI13&lt;&gt;"",IF('Capacity summary'!$D$14="Yes",IF(COUNTBLANK('Capacity summary'!$H132:$BG132)&lt;52,IF('Capacity summary'!AO132&lt;&gt;"",IF(LOWER('Capacity summary'!AO132)="x",$BI13*AO13,VALUE('Capacity summary'!AO132)),0),AO13*$BI13),AO13*$BI13),0)</f>
        <v>0</v>
      </c>
      <c r="CS13" s="314">
        <f>IF($BI13&lt;&gt;"",IF('Capacity summary'!$D$14="Yes",IF(COUNTBLANK('Capacity summary'!$H132:$BG132)&lt;52,IF('Capacity summary'!AP132&lt;&gt;"",IF(LOWER('Capacity summary'!AP132)="x",$BI13*AP13,VALUE('Capacity summary'!AP132)),0),AP13*$BI13),AP13*$BI13),0)</f>
        <v>0</v>
      </c>
      <c r="CT13" s="314">
        <f>IF($BI13&lt;&gt;"",IF('Capacity summary'!$D$14="Yes",IF(COUNTBLANK('Capacity summary'!$H132:$BG132)&lt;52,IF('Capacity summary'!AQ132&lt;&gt;"",IF(LOWER('Capacity summary'!AQ132)="x",$BI13*AQ13,VALUE('Capacity summary'!AQ132)),0),AQ13*$BI13),AQ13*$BI13),0)</f>
        <v>0</v>
      </c>
      <c r="CU13" s="314">
        <f>IF($BI13&lt;&gt;"",IF('Capacity summary'!$D$14="Yes",IF(COUNTBLANK('Capacity summary'!$H132:$BG132)&lt;52,IF('Capacity summary'!AR132&lt;&gt;"",IF(LOWER('Capacity summary'!AR132)="x",$BI13*AR13,VALUE('Capacity summary'!AR132)),0),AR13*$BI13),AR13*$BI13),0)</f>
        <v>0</v>
      </c>
      <c r="CV13" s="314">
        <f>IF($BI13&lt;&gt;"",IF('Capacity summary'!$D$14="Yes",IF(COUNTBLANK('Capacity summary'!$H132:$BG132)&lt;52,IF('Capacity summary'!AS132&lt;&gt;"",IF(LOWER('Capacity summary'!AS132)="x",$BI13*AS13,VALUE('Capacity summary'!AS132)),0),AS13*$BI13),AS13*$BI13),0)</f>
        <v>0</v>
      </c>
      <c r="CW13" s="314">
        <f>IF($BI13&lt;&gt;"",IF('Capacity summary'!$D$14="Yes",IF(COUNTBLANK('Capacity summary'!$H132:$BG132)&lt;52,IF('Capacity summary'!AT132&lt;&gt;"",IF(LOWER('Capacity summary'!AT132)="x",$BI13*AT13,VALUE('Capacity summary'!AT132)),0),AT13*$BI13),AT13*$BI13),0)</f>
        <v>0</v>
      </c>
      <c r="CX13" s="314">
        <f>IF($BI13&lt;&gt;"",IF('Capacity summary'!$D$14="Yes",IF(COUNTBLANK('Capacity summary'!$H132:$BG132)&lt;52,IF('Capacity summary'!AU132&lt;&gt;"",IF(LOWER('Capacity summary'!AU132)="x",$BI13*AU13,VALUE('Capacity summary'!AU132)),0),AU13*$BI13),AU13*$BI13),0)</f>
        <v>0</v>
      </c>
      <c r="CY13" s="314">
        <f>IF($BI13&lt;&gt;"",IF('Capacity summary'!$D$14="Yes",IF(COUNTBLANK('Capacity summary'!$H132:$BG132)&lt;52,IF('Capacity summary'!AV132&lt;&gt;"",IF(LOWER('Capacity summary'!AV132)="x",$BI13*AV13,VALUE('Capacity summary'!AV132)),0),AV13*$BI13),AV13*$BI13),0)</f>
        <v>0</v>
      </c>
      <c r="CZ13" s="314">
        <f>IF($BI13&lt;&gt;"",IF('Capacity summary'!$D$14="Yes",IF(COUNTBLANK('Capacity summary'!$H132:$BG132)&lt;52,IF('Capacity summary'!AW132&lt;&gt;"",IF(LOWER('Capacity summary'!AW132)="x",$BI13*AW13,VALUE('Capacity summary'!AW132)),0),AW13*$BI13),AW13*$BI13),0)</f>
        <v>0</v>
      </c>
      <c r="DA13" s="314">
        <f>IF($BI13&lt;&gt;"",IF('Capacity summary'!$D$14="Yes",IF(COUNTBLANK('Capacity summary'!$H132:$BG132)&lt;52,IF('Capacity summary'!AX132&lt;&gt;"",IF(LOWER('Capacity summary'!AX132)="x",$BI13*AX13,VALUE('Capacity summary'!AX132)),0),AX13*$BI13),AX13*$BI13),0)</f>
        <v>0</v>
      </c>
      <c r="DB13" s="314">
        <f>IF($BI13&lt;&gt;"",IF('Capacity summary'!$D$14="Yes",IF(COUNTBLANK('Capacity summary'!$H132:$BG132)&lt;52,IF('Capacity summary'!AY132&lt;&gt;"",IF(LOWER('Capacity summary'!AY132)="x",$BI13*AY13,VALUE('Capacity summary'!AY132)),0),AY13*$BI13),AY13*$BI13),0)</f>
        <v>0</v>
      </c>
      <c r="DC13" s="314">
        <f>IF($BI13&lt;&gt;"",IF('Capacity summary'!$D$14="Yes",IF(COUNTBLANK('Capacity summary'!$H132:$BG132)&lt;52,IF('Capacity summary'!AZ132&lt;&gt;"",IF(LOWER('Capacity summary'!AZ132)="x",$BI13*AZ13,VALUE('Capacity summary'!AZ132)),0),AZ13*$BI13),AZ13*$BI13),0)</f>
        <v>0</v>
      </c>
      <c r="DD13" s="314">
        <f>IF($BI13&lt;&gt;"",IF('Capacity summary'!$D$14="Yes",IF(COUNTBLANK('Capacity summary'!$H132:$BG132)&lt;52,IF('Capacity summary'!BA132&lt;&gt;"",IF(LOWER('Capacity summary'!BA132)="x",$BI13*BA13,VALUE('Capacity summary'!BA132)),0),BA13*$BI13),BA13*$BI13),0)</f>
        <v>0</v>
      </c>
      <c r="DE13" s="314">
        <f>IF($BI13&lt;&gt;"",IF('Capacity summary'!$D$14="Yes",IF(COUNTBLANK('Capacity summary'!$H132:$BG132)&lt;52,IF('Capacity summary'!BB132&lt;&gt;"",IF(LOWER('Capacity summary'!BB132)="x",$BI13*BB13,VALUE('Capacity summary'!BB132)),0),BB13*$BI13),BB13*$BI13),0)</f>
        <v>0</v>
      </c>
      <c r="DF13" s="314">
        <f>IF($BI13&lt;&gt;"",IF('Capacity summary'!$D$14="Yes",IF(COUNTBLANK('Capacity summary'!$H132:$BG132)&lt;52,IF('Capacity summary'!BC132&lt;&gt;"",IF(LOWER('Capacity summary'!BC132)="x",$BI13*BC13,VALUE('Capacity summary'!BC132)),0),BC13*$BI13),BC13*$BI13),0)</f>
        <v>0</v>
      </c>
      <c r="DG13" s="314">
        <f>IF($BI13&lt;&gt;"",IF('Capacity summary'!$D$14="Yes",IF(COUNTBLANK('Capacity summary'!$H132:$BG132)&lt;52,IF('Capacity summary'!BD132&lt;&gt;"",IF(LOWER('Capacity summary'!BD132)="x",$BI13*BD13,VALUE('Capacity summary'!BD132)),0),BD13*$BI13),BD13*$BI13),0)</f>
        <v>0</v>
      </c>
      <c r="DH13" s="314">
        <f>IF($BI13&lt;&gt;"",IF('Capacity summary'!$D$14="Yes",IF(COUNTBLANK('Capacity summary'!$H132:$BG132)&lt;52,IF('Capacity summary'!BE132&lt;&gt;"",IF(LOWER('Capacity summary'!BE132)="x",$BI13*BE13,VALUE('Capacity summary'!BE132)),0),BE13*$BI13),BE13*$BI13),0)</f>
        <v>0</v>
      </c>
      <c r="DI13" s="314">
        <f>IF($BI13&lt;&gt;"",IF('Capacity summary'!$D$14="Yes",IF(COUNTBLANK('Capacity summary'!$H132:$BG132)&lt;52,IF('Capacity summary'!BF132&lt;&gt;"",IF(LOWER('Capacity summary'!BF132)="x",$BI13*BF13,VALUE('Capacity summary'!BF132)),0),BF13*$BI13),BF13*$BI13),0)</f>
        <v>0</v>
      </c>
      <c r="DJ13" s="314">
        <f>IF($BI13&lt;&gt;"",IF('Capacity summary'!$D$14="Yes",IF(COUNTBLANK('Capacity summary'!$H132:$BG132)&lt;52,IF('Capacity summary'!BG132&lt;&gt;"",IF(LOWER('Capacity summary'!BG132)="x",$BI13*BG13,VALUE('Capacity summary'!BG132)),0),BG13*$BI13),BG13*$BI13),0)</f>
        <v>0</v>
      </c>
      <c r="DK13" s="137">
        <f t="shared" si="2"/>
        <v>0</v>
      </c>
      <c r="DL13" s="314" t="str">
        <f>Capacity!H25</f>
        <v/>
      </c>
      <c r="DP13" s="5"/>
    </row>
    <row r="14" spans="2:120" x14ac:dyDescent="0.25">
      <c r="B14" s="67"/>
      <c r="C14" s="67" t="str">
        <f>ROW(A10)&amp;". "&amp;Capacity!B26</f>
        <v xml:space="preserve">10. </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IF(ROW(C10)&lt;=Capacity!$A$16,IF('Capacity summary'!$D$14="No",SUM(H14:BG14),'Capacity summary'!$E133),0)</f>
        <v>0</v>
      </c>
      <c r="BI14" s="5" t="str">
        <f>IF(BH14&gt;0,IF(BH14&lt;Capacity!E26,Capacity!F26,Capacity!H26/'Capacity calculation (hide)'!BH14),"")</f>
        <v/>
      </c>
      <c r="BK14" s="314">
        <f>IF($BI14&lt;&gt;"",IF('Capacity summary'!$D$14="Yes",IF(COUNTBLANK('Capacity summary'!$H133:$BG133)&lt;52,IF('Capacity summary'!H133&lt;&gt;"",IF(LOWER('Capacity summary'!H133)="x",$BI14*H14,VALUE('Capacity summary'!H133)),0),H14*$BI14),H14*$BI14),0)</f>
        <v>0</v>
      </c>
      <c r="BL14" s="314">
        <f>IF($BI14&lt;&gt;"",IF('Capacity summary'!$D$14="Yes",IF(COUNTBLANK('Capacity summary'!$H133:$BG133)&lt;52,IF('Capacity summary'!I133&lt;&gt;"",IF(LOWER('Capacity summary'!I133)="x",$BI14*I14,VALUE('Capacity summary'!I133)),0),I14*$BI14),I14*$BI14),0)</f>
        <v>0</v>
      </c>
      <c r="BM14" s="314">
        <f>IF($BI14&lt;&gt;"",IF('Capacity summary'!$D$14="Yes",IF(COUNTBLANK('Capacity summary'!$H133:$BG133)&lt;52,IF('Capacity summary'!J133&lt;&gt;"",IF(LOWER('Capacity summary'!J133)="x",$BI14*J14,VALUE('Capacity summary'!J133)),0),J14*$BI14),J14*$BI14),0)</f>
        <v>0</v>
      </c>
      <c r="BN14" s="314">
        <f>IF($BI14&lt;&gt;"",IF('Capacity summary'!$D$14="Yes",IF(COUNTBLANK('Capacity summary'!$H133:$BG133)&lt;52,IF('Capacity summary'!K133&lt;&gt;"",IF(LOWER('Capacity summary'!K133)="x",$BI14*K14,VALUE('Capacity summary'!K133)),0),K14*$BI14),K14*$BI14),0)</f>
        <v>0</v>
      </c>
      <c r="BO14" s="314">
        <f>IF($BI14&lt;&gt;"",IF('Capacity summary'!$D$14="Yes",IF(COUNTBLANK('Capacity summary'!$H133:$BG133)&lt;52,IF('Capacity summary'!L133&lt;&gt;"",IF(LOWER('Capacity summary'!L133)="x",$BI14*L14,VALUE('Capacity summary'!L133)),0),L14*$BI14),L14*$BI14),0)</f>
        <v>0</v>
      </c>
      <c r="BP14" s="314">
        <f>IF($BI14&lt;&gt;"",IF('Capacity summary'!$D$14="Yes",IF(COUNTBLANK('Capacity summary'!$H133:$BG133)&lt;52,IF('Capacity summary'!M133&lt;&gt;"",IF(LOWER('Capacity summary'!M133)="x",$BI14*M14,VALUE('Capacity summary'!M133)),0),M14*$BI14),M14*$BI14),0)</f>
        <v>0</v>
      </c>
      <c r="BQ14" s="314">
        <f>IF($BI14&lt;&gt;"",IF('Capacity summary'!$D$14="Yes",IF(COUNTBLANK('Capacity summary'!$H133:$BG133)&lt;52,IF('Capacity summary'!N133&lt;&gt;"",IF(LOWER('Capacity summary'!N133)="x",$BI14*N14,VALUE('Capacity summary'!N133)),0),N14*$BI14),N14*$BI14),0)</f>
        <v>0</v>
      </c>
      <c r="BR14" s="314">
        <f>IF($BI14&lt;&gt;"",IF('Capacity summary'!$D$14="Yes",IF(COUNTBLANK('Capacity summary'!$H133:$BG133)&lt;52,IF('Capacity summary'!O133&lt;&gt;"",IF(LOWER('Capacity summary'!O133)="x",$BI14*O14,VALUE('Capacity summary'!O133)),0),O14*$BI14),O14*$BI14),0)</f>
        <v>0</v>
      </c>
      <c r="BS14" s="314">
        <f>IF($BI14&lt;&gt;"",IF('Capacity summary'!$D$14="Yes",IF(COUNTBLANK('Capacity summary'!$H133:$BG133)&lt;52,IF('Capacity summary'!P133&lt;&gt;"",IF(LOWER('Capacity summary'!P133)="x",$BI14*P14,VALUE('Capacity summary'!P133)),0),P14*$BI14),P14*$BI14),0)</f>
        <v>0</v>
      </c>
      <c r="BT14" s="314">
        <f>IF($BI14&lt;&gt;"",IF('Capacity summary'!$D$14="Yes",IF(COUNTBLANK('Capacity summary'!$H133:$BG133)&lt;52,IF('Capacity summary'!Q133&lt;&gt;"",IF(LOWER('Capacity summary'!Q133)="x",$BI14*Q14,VALUE('Capacity summary'!Q133)),0),Q14*$BI14),Q14*$BI14),0)</f>
        <v>0</v>
      </c>
      <c r="BU14" s="314">
        <f>IF($BI14&lt;&gt;"",IF('Capacity summary'!$D$14="Yes",IF(COUNTBLANK('Capacity summary'!$H133:$BG133)&lt;52,IF('Capacity summary'!R133&lt;&gt;"",IF(LOWER('Capacity summary'!R133)="x",$BI14*R14,VALUE('Capacity summary'!R133)),0),R14*$BI14),R14*$BI14),0)</f>
        <v>0</v>
      </c>
      <c r="BV14" s="314">
        <f>IF($BI14&lt;&gt;"",IF('Capacity summary'!$D$14="Yes",IF(COUNTBLANK('Capacity summary'!$H133:$BG133)&lt;52,IF('Capacity summary'!S133&lt;&gt;"",IF(LOWER('Capacity summary'!S133)="x",$BI14*S14,VALUE('Capacity summary'!S133)),0),S14*$BI14),S14*$BI14),0)</f>
        <v>0</v>
      </c>
      <c r="BW14" s="314">
        <f>IF($BI14&lt;&gt;"",IF('Capacity summary'!$D$14="Yes",IF(COUNTBLANK('Capacity summary'!$H133:$BG133)&lt;52,IF('Capacity summary'!T133&lt;&gt;"",IF(LOWER('Capacity summary'!T133)="x",$BI14*T14,VALUE('Capacity summary'!T133)),0),T14*$BI14),T14*$BI14),0)</f>
        <v>0</v>
      </c>
      <c r="BX14" s="314">
        <f>IF($BI14&lt;&gt;"",IF('Capacity summary'!$D$14="Yes",IF(COUNTBLANK('Capacity summary'!$H133:$BG133)&lt;52,IF('Capacity summary'!U133&lt;&gt;"",IF(LOWER('Capacity summary'!U133)="x",$BI14*U14,VALUE('Capacity summary'!U133)),0),U14*$BI14),U14*$BI14),0)</f>
        <v>0</v>
      </c>
      <c r="BY14" s="314">
        <f>IF($BI14&lt;&gt;"",IF('Capacity summary'!$D$14="Yes",IF(COUNTBLANK('Capacity summary'!$H133:$BG133)&lt;52,IF('Capacity summary'!V133&lt;&gt;"",IF(LOWER('Capacity summary'!V133)="x",$BI14*V14,VALUE('Capacity summary'!V133)),0),V14*$BI14),V14*$BI14),0)</f>
        <v>0</v>
      </c>
      <c r="BZ14" s="314">
        <f>IF($BI14&lt;&gt;"",IF('Capacity summary'!$D$14="Yes",IF(COUNTBLANK('Capacity summary'!$H133:$BG133)&lt;52,IF('Capacity summary'!W133&lt;&gt;"",IF(LOWER('Capacity summary'!W133)="x",$BI14*W14,VALUE('Capacity summary'!W133)),0),W14*$BI14),W14*$BI14),0)</f>
        <v>0</v>
      </c>
      <c r="CA14" s="314">
        <f>IF($BI14&lt;&gt;"",IF('Capacity summary'!$D$14="Yes",IF(COUNTBLANK('Capacity summary'!$H133:$BG133)&lt;52,IF('Capacity summary'!X133&lt;&gt;"",IF(LOWER('Capacity summary'!X133)="x",$BI14*X14,VALUE('Capacity summary'!X133)),0),X14*$BI14),X14*$BI14),0)</f>
        <v>0</v>
      </c>
      <c r="CB14" s="314">
        <f>IF($BI14&lt;&gt;"",IF('Capacity summary'!$D$14="Yes",IF(COUNTBLANK('Capacity summary'!$H133:$BG133)&lt;52,IF('Capacity summary'!Y133&lt;&gt;"",IF(LOWER('Capacity summary'!Y133)="x",$BI14*Y14,VALUE('Capacity summary'!Y133)),0),Y14*$BI14),Y14*$BI14),0)</f>
        <v>0</v>
      </c>
      <c r="CC14" s="314">
        <f>IF($BI14&lt;&gt;"",IF('Capacity summary'!$D$14="Yes",IF(COUNTBLANK('Capacity summary'!$H133:$BG133)&lt;52,IF('Capacity summary'!Z133&lt;&gt;"",IF(LOWER('Capacity summary'!Z133)="x",$BI14*Z14,VALUE('Capacity summary'!Z133)),0),Z14*$BI14),Z14*$BI14),0)</f>
        <v>0</v>
      </c>
      <c r="CD14" s="314">
        <f>IF($BI14&lt;&gt;"",IF('Capacity summary'!$D$14="Yes",IF(COUNTBLANK('Capacity summary'!$H133:$BG133)&lt;52,IF('Capacity summary'!AA133&lt;&gt;"",IF(LOWER('Capacity summary'!AA133)="x",$BI14*AA14,VALUE('Capacity summary'!AA133)),0),AA14*$BI14),AA14*$BI14),0)</f>
        <v>0</v>
      </c>
      <c r="CE14" s="314">
        <f>IF($BI14&lt;&gt;"",IF('Capacity summary'!$D$14="Yes",IF(COUNTBLANK('Capacity summary'!$H133:$BG133)&lt;52,IF('Capacity summary'!AB133&lt;&gt;"",IF(LOWER('Capacity summary'!AB133)="x",$BI14*AB14,VALUE('Capacity summary'!AB133)),0),AB14*$BI14),AB14*$BI14),0)</f>
        <v>0</v>
      </c>
      <c r="CF14" s="314">
        <f>IF($BI14&lt;&gt;"",IF('Capacity summary'!$D$14="Yes",IF(COUNTBLANK('Capacity summary'!$H133:$BG133)&lt;52,IF('Capacity summary'!AC133&lt;&gt;"",IF(LOWER('Capacity summary'!AC133)="x",$BI14*AC14,VALUE('Capacity summary'!AC133)),0),AC14*$BI14),AC14*$BI14),0)</f>
        <v>0</v>
      </c>
      <c r="CG14" s="314">
        <f>IF($BI14&lt;&gt;"",IF('Capacity summary'!$D$14="Yes",IF(COUNTBLANK('Capacity summary'!$H133:$BG133)&lt;52,IF('Capacity summary'!AD133&lt;&gt;"",IF(LOWER('Capacity summary'!AD133)="x",$BI14*AD14,VALUE('Capacity summary'!AD133)),0),AD14*$BI14),AD14*$BI14),0)</f>
        <v>0</v>
      </c>
      <c r="CH14" s="314">
        <f>IF($BI14&lt;&gt;"",IF('Capacity summary'!$D$14="Yes",IF(COUNTBLANK('Capacity summary'!$H133:$BG133)&lt;52,IF('Capacity summary'!AE133&lt;&gt;"",IF(LOWER('Capacity summary'!AE133)="x",$BI14*AE14,VALUE('Capacity summary'!AE133)),0),AE14*$BI14),AE14*$BI14),0)</f>
        <v>0</v>
      </c>
      <c r="CI14" s="314">
        <f>IF($BI14&lt;&gt;"",IF('Capacity summary'!$D$14="Yes",IF(COUNTBLANK('Capacity summary'!$H133:$BG133)&lt;52,IF('Capacity summary'!AF133&lt;&gt;"",IF(LOWER('Capacity summary'!AF133)="x",$BI14*AF14,VALUE('Capacity summary'!AF133)),0),AF14*$BI14),AF14*$BI14),0)</f>
        <v>0</v>
      </c>
      <c r="CJ14" s="314">
        <f>IF($BI14&lt;&gt;"",IF('Capacity summary'!$D$14="Yes",IF(COUNTBLANK('Capacity summary'!$H133:$BG133)&lt;52,IF('Capacity summary'!AG133&lt;&gt;"",IF(LOWER('Capacity summary'!AG133)="x",$BI14*AG14,VALUE('Capacity summary'!AG133)),0),AG14*$BI14),AG14*$BI14),0)</f>
        <v>0</v>
      </c>
      <c r="CK14" s="314">
        <f>IF($BI14&lt;&gt;"",IF('Capacity summary'!$D$14="Yes",IF(COUNTBLANK('Capacity summary'!$H133:$BG133)&lt;52,IF('Capacity summary'!AH133&lt;&gt;"",IF(LOWER('Capacity summary'!AH133)="x",$BI14*AH14,VALUE('Capacity summary'!AH133)),0),AH14*$BI14),AH14*$BI14),0)</f>
        <v>0</v>
      </c>
      <c r="CL14" s="314">
        <f>IF($BI14&lt;&gt;"",IF('Capacity summary'!$D$14="Yes",IF(COUNTBLANK('Capacity summary'!$H133:$BG133)&lt;52,IF('Capacity summary'!AI133&lt;&gt;"",IF(LOWER('Capacity summary'!AI133)="x",$BI14*AI14,VALUE('Capacity summary'!AI133)),0),AI14*$BI14),AI14*$BI14),0)</f>
        <v>0</v>
      </c>
      <c r="CM14" s="314">
        <f>IF($BI14&lt;&gt;"",IF('Capacity summary'!$D$14="Yes",IF(COUNTBLANK('Capacity summary'!$H133:$BG133)&lt;52,IF('Capacity summary'!AJ133&lt;&gt;"",IF(LOWER('Capacity summary'!AJ133)="x",$BI14*AJ14,VALUE('Capacity summary'!AJ133)),0),AJ14*$BI14),AJ14*$BI14),0)</f>
        <v>0</v>
      </c>
      <c r="CN14" s="314">
        <f>IF($BI14&lt;&gt;"",IF('Capacity summary'!$D$14="Yes",IF(COUNTBLANK('Capacity summary'!$H133:$BG133)&lt;52,IF('Capacity summary'!AK133&lt;&gt;"",IF(LOWER('Capacity summary'!AK133)="x",$BI14*AK14,VALUE('Capacity summary'!AK133)),0),AK14*$BI14),AK14*$BI14),0)</f>
        <v>0</v>
      </c>
      <c r="CO14" s="314">
        <f>IF($BI14&lt;&gt;"",IF('Capacity summary'!$D$14="Yes",IF(COUNTBLANK('Capacity summary'!$H133:$BG133)&lt;52,IF('Capacity summary'!AL133&lt;&gt;"",IF(LOWER('Capacity summary'!AL133)="x",$BI14*AL14,VALUE('Capacity summary'!AL133)),0),AL14*$BI14),AL14*$BI14),0)</f>
        <v>0</v>
      </c>
      <c r="CP14" s="314">
        <f>IF($BI14&lt;&gt;"",IF('Capacity summary'!$D$14="Yes",IF(COUNTBLANK('Capacity summary'!$H133:$BG133)&lt;52,IF('Capacity summary'!AM133&lt;&gt;"",IF(LOWER('Capacity summary'!AM133)="x",$BI14*AM14,VALUE('Capacity summary'!AM133)),0),AM14*$BI14),AM14*$BI14),0)</f>
        <v>0</v>
      </c>
      <c r="CQ14" s="314">
        <f>IF($BI14&lt;&gt;"",IF('Capacity summary'!$D$14="Yes",IF(COUNTBLANK('Capacity summary'!$H133:$BG133)&lt;52,IF('Capacity summary'!AN133&lt;&gt;"",IF(LOWER('Capacity summary'!AN133)="x",$BI14*AN14,VALUE('Capacity summary'!AN133)),0),AN14*$BI14),AN14*$BI14),0)</f>
        <v>0</v>
      </c>
      <c r="CR14" s="314">
        <f>IF($BI14&lt;&gt;"",IF('Capacity summary'!$D$14="Yes",IF(COUNTBLANK('Capacity summary'!$H133:$BG133)&lt;52,IF('Capacity summary'!AO133&lt;&gt;"",IF(LOWER('Capacity summary'!AO133)="x",$BI14*AO14,VALUE('Capacity summary'!AO133)),0),AO14*$BI14),AO14*$BI14),0)</f>
        <v>0</v>
      </c>
      <c r="CS14" s="314">
        <f>IF($BI14&lt;&gt;"",IF('Capacity summary'!$D$14="Yes",IF(COUNTBLANK('Capacity summary'!$H133:$BG133)&lt;52,IF('Capacity summary'!AP133&lt;&gt;"",IF(LOWER('Capacity summary'!AP133)="x",$BI14*AP14,VALUE('Capacity summary'!AP133)),0),AP14*$BI14),AP14*$BI14),0)</f>
        <v>0</v>
      </c>
      <c r="CT14" s="314">
        <f>IF($BI14&lt;&gt;"",IF('Capacity summary'!$D$14="Yes",IF(COUNTBLANK('Capacity summary'!$H133:$BG133)&lt;52,IF('Capacity summary'!AQ133&lt;&gt;"",IF(LOWER('Capacity summary'!AQ133)="x",$BI14*AQ14,VALUE('Capacity summary'!AQ133)),0),AQ14*$BI14),AQ14*$BI14),0)</f>
        <v>0</v>
      </c>
      <c r="CU14" s="314">
        <f>IF($BI14&lt;&gt;"",IF('Capacity summary'!$D$14="Yes",IF(COUNTBLANK('Capacity summary'!$H133:$BG133)&lt;52,IF('Capacity summary'!AR133&lt;&gt;"",IF(LOWER('Capacity summary'!AR133)="x",$BI14*AR14,VALUE('Capacity summary'!AR133)),0),AR14*$BI14),AR14*$BI14),0)</f>
        <v>0</v>
      </c>
      <c r="CV14" s="314">
        <f>IF($BI14&lt;&gt;"",IF('Capacity summary'!$D$14="Yes",IF(COUNTBLANK('Capacity summary'!$H133:$BG133)&lt;52,IF('Capacity summary'!AS133&lt;&gt;"",IF(LOWER('Capacity summary'!AS133)="x",$BI14*AS14,VALUE('Capacity summary'!AS133)),0),AS14*$BI14),AS14*$BI14),0)</f>
        <v>0</v>
      </c>
      <c r="CW14" s="314">
        <f>IF($BI14&lt;&gt;"",IF('Capacity summary'!$D$14="Yes",IF(COUNTBLANK('Capacity summary'!$H133:$BG133)&lt;52,IF('Capacity summary'!AT133&lt;&gt;"",IF(LOWER('Capacity summary'!AT133)="x",$BI14*AT14,VALUE('Capacity summary'!AT133)),0),AT14*$BI14),AT14*$BI14),0)</f>
        <v>0</v>
      </c>
      <c r="CX14" s="314">
        <f>IF($BI14&lt;&gt;"",IF('Capacity summary'!$D$14="Yes",IF(COUNTBLANK('Capacity summary'!$H133:$BG133)&lt;52,IF('Capacity summary'!AU133&lt;&gt;"",IF(LOWER('Capacity summary'!AU133)="x",$BI14*AU14,VALUE('Capacity summary'!AU133)),0),AU14*$BI14),AU14*$BI14),0)</f>
        <v>0</v>
      </c>
      <c r="CY14" s="314">
        <f>IF($BI14&lt;&gt;"",IF('Capacity summary'!$D$14="Yes",IF(COUNTBLANK('Capacity summary'!$H133:$BG133)&lt;52,IF('Capacity summary'!AV133&lt;&gt;"",IF(LOWER('Capacity summary'!AV133)="x",$BI14*AV14,VALUE('Capacity summary'!AV133)),0),AV14*$BI14),AV14*$BI14),0)</f>
        <v>0</v>
      </c>
      <c r="CZ14" s="314">
        <f>IF($BI14&lt;&gt;"",IF('Capacity summary'!$D$14="Yes",IF(COUNTBLANK('Capacity summary'!$H133:$BG133)&lt;52,IF('Capacity summary'!AW133&lt;&gt;"",IF(LOWER('Capacity summary'!AW133)="x",$BI14*AW14,VALUE('Capacity summary'!AW133)),0),AW14*$BI14),AW14*$BI14),0)</f>
        <v>0</v>
      </c>
      <c r="DA14" s="314">
        <f>IF($BI14&lt;&gt;"",IF('Capacity summary'!$D$14="Yes",IF(COUNTBLANK('Capacity summary'!$H133:$BG133)&lt;52,IF('Capacity summary'!AX133&lt;&gt;"",IF(LOWER('Capacity summary'!AX133)="x",$BI14*AX14,VALUE('Capacity summary'!AX133)),0),AX14*$BI14),AX14*$BI14),0)</f>
        <v>0</v>
      </c>
      <c r="DB14" s="314">
        <f>IF($BI14&lt;&gt;"",IF('Capacity summary'!$D$14="Yes",IF(COUNTBLANK('Capacity summary'!$H133:$BG133)&lt;52,IF('Capacity summary'!AY133&lt;&gt;"",IF(LOWER('Capacity summary'!AY133)="x",$BI14*AY14,VALUE('Capacity summary'!AY133)),0),AY14*$BI14),AY14*$BI14),0)</f>
        <v>0</v>
      </c>
      <c r="DC14" s="314">
        <f>IF($BI14&lt;&gt;"",IF('Capacity summary'!$D$14="Yes",IF(COUNTBLANK('Capacity summary'!$H133:$BG133)&lt;52,IF('Capacity summary'!AZ133&lt;&gt;"",IF(LOWER('Capacity summary'!AZ133)="x",$BI14*AZ14,VALUE('Capacity summary'!AZ133)),0),AZ14*$BI14),AZ14*$BI14),0)</f>
        <v>0</v>
      </c>
      <c r="DD14" s="314">
        <f>IF($BI14&lt;&gt;"",IF('Capacity summary'!$D$14="Yes",IF(COUNTBLANK('Capacity summary'!$H133:$BG133)&lt;52,IF('Capacity summary'!BA133&lt;&gt;"",IF(LOWER('Capacity summary'!BA133)="x",$BI14*BA14,VALUE('Capacity summary'!BA133)),0),BA14*$BI14),BA14*$BI14),0)</f>
        <v>0</v>
      </c>
      <c r="DE14" s="314">
        <f>IF($BI14&lt;&gt;"",IF('Capacity summary'!$D$14="Yes",IF(COUNTBLANK('Capacity summary'!$H133:$BG133)&lt;52,IF('Capacity summary'!BB133&lt;&gt;"",IF(LOWER('Capacity summary'!BB133)="x",$BI14*BB14,VALUE('Capacity summary'!BB133)),0),BB14*$BI14),BB14*$BI14),0)</f>
        <v>0</v>
      </c>
      <c r="DF14" s="314">
        <f>IF($BI14&lt;&gt;"",IF('Capacity summary'!$D$14="Yes",IF(COUNTBLANK('Capacity summary'!$H133:$BG133)&lt;52,IF('Capacity summary'!BC133&lt;&gt;"",IF(LOWER('Capacity summary'!BC133)="x",$BI14*BC14,VALUE('Capacity summary'!BC133)),0),BC14*$BI14),BC14*$BI14),0)</f>
        <v>0</v>
      </c>
      <c r="DG14" s="314">
        <f>IF($BI14&lt;&gt;"",IF('Capacity summary'!$D$14="Yes",IF(COUNTBLANK('Capacity summary'!$H133:$BG133)&lt;52,IF('Capacity summary'!BD133&lt;&gt;"",IF(LOWER('Capacity summary'!BD133)="x",$BI14*BD14,VALUE('Capacity summary'!BD133)),0),BD14*$BI14),BD14*$BI14),0)</f>
        <v>0</v>
      </c>
      <c r="DH14" s="314">
        <f>IF($BI14&lt;&gt;"",IF('Capacity summary'!$D$14="Yes",IF(COUNTBLANK('Capacity summary'!$H133:$BG133)&lt;52,IF('Capacity summary'!BE133&lt;&gt;"",IF(LOWER('Capacity summary'!BE133)="x",$BI14*BE14,VALUE('Capacity summary'!BE133)),0),BE14*$BI14),BE14*$BI14),0)</f>
        <v>0</v>
      </c>
      <c r="DI14" s="314">
        <f>IF($BI14&lt;&gt;"",IF('Capacity summary'!$D$14="Yes",IF(COUNTBLANK('Capacity summary'!$H133:$BG133)&lt;52,IF('Capacity summary'!BF133&lt;&gt;"",IF(LOWER('Capacity summary'!BF133)="x",$BI14*BF14,VALUE('Capacity summary'!BF133)),0),BF14*$BI14),BF14*$BI14),0)</f>
        <v>0</v>
      </c>
      <c r="DJ14" s="314">
        <f>IF($BI14&lt;&gt;"",IF('Capacity summary'!$D$14="Yes",IF(COUNTBLANK('Capacity summary'!$H133:$BG133)&lt;52,IF('Capacity summary'!BG133&lt;&gt;"",IF(LOWER('Capacity summary'!BG133)="x",$BI14*BG14,VALUE('Capacity summary'!BG133)),0),BG14*$BI14),BG14*$BI14),0)</f>
        <v>0</v>
      </c>
      <c r="DK14" s="137">
        <f t="shared" si="2"/>
        <v>0</v>
      </c>
      <c r="DL14" s="314" t="str">
        <f>Capacity!H26</f>
        <v/>
      </c>
      <c r="DP14" s="5"/>
    </row>
    <row r="15" spans="2:120" x14ac:dyDescent="0.25">
      <c r="B15" s="67"/>
      <c r="C15" s="67" t="str">
        <f>ROW(A11)&amp;". "&amp;Capacity!B27</f>
        <v xml:space="preserve">11. </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IF(ROW(C11)&lt;=Capacity!$A$16,IF('Capacity summary'!$D$14="No",SUM(H15:BG15),'Capacity summary'!$E134),0)</f>
        <v>0</v>
      </c>
      <c r="BI15" s="5" t="str">
        <f>IF(BH15&gt;0,IF(BH15&lt;Capacity!E27,Capacity!F27,Capacity!H27/'Capacity calculation (hide)'!BH15),"")</f>
        <v/>
      </c>
      <c r="BK15" s="314">
        <f>IF($BI15&lt;&gt;"",IF('Capacity summary'!$D$14="Yes",IF(COUNTBLANK('Capacity summary'!$H134:$BG134)&lt;52,IF('Capacity summary'!H134&lt;&gt;"",IF(LOWER('Capacity summary'!H134)="x",$BI15*H15,VALUE('Capacity summary'!H134)),0),H15*$BI15),H15*$BI15),0)</f>
        <v>0</v>
      </c>
      <c r="BL15" s="314">
        <f>IF($BI15&lt;&gt;"",IF('Capacity summary'!$D$14="Yes",IF(COUNTBLANK('Capacity summary'!$H134:$BG134)&lt;52,IF('Capacity summary'!I134&lt;&gt;"",IF(LOWER('Capacity summary'!I134)="x",$BI15*I15,VALUE('Capacity summary'!I134)),0),I15*$BI15),I15*$BI15),0)</f>
        <v>0</v>
      </c>
      <c r="BM15" s="314">
        <f>IF($BI15&lt;&gt;"",IF('Capacity summary'!$D$14="Yes",IF(COUNTBLANK('Capacity summary'!$H134:$BG134)&lt;52,IF('Capacity summary'!J134&lt;&gt;"",IF(LOWER('Capacity summary'!J134)="x",$BI15*J15,VALUE('Capacity summary'!J134)),0),J15*$BI15),J15*$BI15),0)</f>
        <v>0</v>
      </c>
      <c r="BN15" s="314">
        <f>IF($BI15&lt;&gt;"",IF('Capacity summary'!$D$14="Yes",IF(COUNTBLANK('Capacity summary'!$H134:$BG134)&lt;52,IF('Capacity summary'!K134&lt;&gt;"",IF(LOWER('Capacity summary'!K134)="x",$BI15*K15,VALUE('Capacity summary'!K134)),0),K15*$BI15),K15*$BI15),0)</f>
        <v>0</v>
      </c>
      <c r="BO15" s="314">
        <f>IF($BI15&lt;&gt;"",IF('Capacity summary'!$D$14="Yes",IF(COUNTBLANK('Capacity summary'!$H134:$BG134)&lt;52,IF('Capacity summary'!L134&lt;&gt;"",IF(LOWER('Capacity summary'!L134)="x",$BI15*L15,VALUE('Capacity summary'!L134)),0),L15*$BI15),L15*$BI15),0)</f>
        <v>0</v>
      </c>
      <c r="BP15" s="314">
        <f>IF($BI15&lt;&gt;"",IF('Capacity summary'!$D$14="Yes",IF(COUNTBLANK('Capacity summary'!$H134:$BG134)&lt;52,IF('Capacity summary'!M134&lt;&gt;"",IF(LOWER('Capacity summary'!M134)="x",$BI15*M15,VALUE('Capacity summary'!M134)),0),M15*$BI15),M15*$BI15),0)</f>
        <v>0</v>
      </c>
      <c r="BQ15" s="314">
        <f>IF($BI15&lt;&gt;"",IF('Capacity summary'!$D$14="Yes",IF(COUNTBLANK('Capacity summary'!$H134:$BG134)&lt;52,IF('Capacity summary'!N134&lt;&gt;"",IF(LOWER('Capacity summary'!N134)="x",$BI15*N15,VALUE('Capacity summary'!N134)),0),N15*$BI15),N15*$BI15),0)</f>
        <v>0</v>
      </c>
      <c r="BR15" s="314">
        <f>IF($BI15&lt;&gt;"",IF('Capacity summary'!$D$14="Yes",IF(COUNTBLANK('Capacity summary'!$H134:$BG134)&lt;52,IF('Capacity summary'!O134&lt;&gt;"",IF(LOWER('Capacity summary'!O134)="x",$BI15*O15,VALUE('Capacity summary'!O134)),0),O15*$BI15),O15*$BI15),0)</f>
        <v>0</v>
      </c>
      <c r="BS15" s="314">
        <f>IF($BI15&lt;&gt;"",IF('Capacity summary'!$D$14="Yes",IF(COUNTBLANK('Capacity summary'!$H134:$BG134)&lt;52,IF('Capacity summary'!P134&lt;&gt;"",IF(LOWER('Capacity summary'!P134)="x",$BI15*P15,VALUE('Capacity summary'!P134)),0),P15*$BI15),P15*$BI15),0)</f>
        <v>0</v>
      </c>
      <c r="BT15" s="314">
        <f>IF($BI15&lt;&gt;"",IF('Capacity summary'!$D$14="Yes",IF(COUNTBLANK('Capacity summary'!$H134:$BG134)&lt;52,IF('Capacity summary'!Q134&lt;&gt;"",IF(LOWER('Capacity summary'!Q134)="x",$BI15*Q15,VALUE('Capacity summary'!Q134)),0),Q15*$BI15),Q15*$BI15),0)</f>
        <v>0</v>
      </c>
      <c r="BU15" s="314">
        <f>IF($BI15&lt;&gt;"",IF('Capacity summary'!$D$14="Yes",IF(COUNTBLANK('Capacity summary'!$H134:$BG134)&lt;52,IF('Capacity summary'!R134&lt;&gt;"",IF(LOWER('Capacity summary'!R134)="x",$BI15*R15,VALUE('Capacity summary'!R134)),0),R15*$BI15),R15*$BI15),0)</f>
        <v>0</v>
      </c>
      <c r="BV15" s="314">
        <f>IF($BI15&lt;&gt;"",IF('Capacity summary'!$D$14="Yes",IF(COUNTBLANK('Capacity summary'!$H134:$BG134)&lt;52,IF('Capacity summary'!S134&lt;&gt;"",IF(LOWER('Capacity summary'!S134)="x",$BI15*S15,VALUE('Capacity summary'!S134)),0),S15*$BI15),S15*$BI15),0)</f>
        <v>0</v>
      </c>
      <c r="BW15" s="314">
        <f>IF($BI15&lt;&gt;"",IF('Capacity summary'!$D$14="Yes",IF(COUNTBLANK('Capacity summary'!$H134:$BG134)&lt;52,IF('Capacity summary'!T134&lt;&gt;"",IF(LOWER('Capacity summary'!T134)="x",$BI15*T15,VALUE('Capacity summary'!T134)),0),T15*$BI15),T15*$BI15),0)</f>
        <v>0</v>
      </c>
      <c r="BX15" s="314">
        <f>IF($BI15&lt;&gt;"",IF('Capacity summary'!$D$14="Yes",IF(COUNTBLANK('Capacity summary'!$H134:$BG134)&lt;52,IF('Capacity summary'!U134&lt;&gt;"",IF(LOWER('Capacity summary'!U134)="x",$BI15*U15,VALUE('Capacity summary'!U134)),0),U15*$BI15),U15*$BI15),0)</f>
        <v>0</v>
      </c>
      <c r="BY15" s="314">
        <f>IF($BI15&lt;&gt;"",IF('Capacity summary'!$D$14="Yes",IF(COUNTBLANK('Capacity summary'!$H134:$BG134)&lt;52,IF('Capacity summary'!V134&lt;&gt;"",IF(LOWER('Capacity summary'!V134)="x",$BI15*V15,VALUE('Capacity summary'!V134)),0),V15*$BI15),V15*$BI15),0)</f>
        <v>0</v>
      </c>
      <c r="BZ15" s="314">
        <f>IF($BI15&lt;&gt;"",IF('Capacity summary'!$D$14="Yes",IF(COUNTBLANK('Capacity summary'!$H134:$BG134)&lt;52,IF('Capacity summary'!W134&lt;&gt;"",IF(LOWER('Capacity summary'!W134)="x",$BI15*W15,VALUE('Capacity summary'!W134)),0),W15*$BI15),W15*$BI15),0)</f>
        <v>0</v>
      </c>
      <c r="CA15" s="314">
        <f>IF($BI15&lt;&gt;"",IF('Capacity summary'!$D$14="Yes",IF(COUNTBLANK('Capacity summary'!$H134:$BG134)&lt;52,IF('Capacity summary'!X134&lt;&gt;"",IF(LOWER('Capacity summary'!X134)="x",$BI15*X15,VALUE('Capacity summary'!X134)),0),X15*$BI15),X15*$BI15),0)</f>
        <v>0</v>
      </c>
      <c r="CB15" s="314">
        <f>IF($BI15&lt;&gt;"",IF('Capacity summary'!$D$14="Yes",IF(COUNTBLANK('Capacity summary'!$H134:$BG134)&lt;52,IF('Capacity summary'!Y134&lt;&gt;"",IF(LOWER('Capacity summary'!Y134)="x",$BI15*Y15,VALUE('Capacity summary'!Y134)),0),Y15*$BI15),Y15*$BI15),0)</f>
        <v>0</v>
      </c>
      <c r="CC15" s="314">
        <f>IF($BI15&lt;&gt;"",IF('Capacity summary'!$D$14="Yes",IF(COUNTBLANK('Capacity summary'!$H134:$BG134)&lt;52,IF('Capacity summary'!Z134&lt;&gt;"",IF(LOWER('Capacity summary'!Z134)="x",$BI15*Z15,VALUE('Capacity summary'!Z134)),0),Z15*$BI15),Z15*$BI15),0)</f>
        <v>0</v>
      </c>
      <c r="CD15" s="314">
        <f>IF($BI15&lt;&gt;"",IF('Capacity summary'!$D$14="Yes",IF(COUNTBLANK('Capacity summary'!$H134:$BG134)&lt;52,IF('Capacity summary'!AA134&lt;&gt;"",IF(LOWER('Capacity summary'!AA134)="x",$BI15*AA15,VALUE('Capacity summary'!AA134)),0),AA15*$BI15),AA15*$BI15),0)</f>
        <v>0</v>
      </c>
      <c r="CE15" s="314">
        <f>IF($BI15&lt;&gt;"",IF('Capacity summary'!$D$14="Yes",IF(COUNTBLANK('Capacity summary'!$H134:$BG134)&lt;52,IF('Capacity summary'!AB134&lt;&gt;"",IF(LOWER('Capacity summary'!AB134)="x",$BI15*AB15,VALUE('Capacity summary'!AB134)),0),AB15*$BI15),AB15*$BI15),0)</f>
        <v>0</v>
      </c>
      <c r="CF15" s="314">
        <f>IF($BI15&lt;&gt;"",IF('Capacity summary'!$D$14="Yes",IF(COUNTBLANK('Capacity summary'!$H134:$BG134)&lt;52,IF('Capacity summary'!AC134&lt;&gt;"",IF(LOWER('Capacity summary'!AC134)="x",$BI15*AC15,VALUE('Capacity summary'!AC134)),0),AC15*$BI15),AC15*$BI15),0)</f>
        <v>0</v>
      </c>
      <c r="CG15" s="314">
        <f>IF($BI15&lt;&gt;"",IF('Capacity summary'!$D$14="Yes",IF(COUNTBLANK('Capacity summary'!$H134:$BG134)&lt;52,IF('Capacity summary'!AD134&lt;&gt;"",IF(LOWER('Capacity summary'!AD134)="x",$BI15*AD15,VALUE('Capacity summary'!AD134)),0),AD15*$BI15),AD15*$BI15),0)</f>
        <v>0</v>
      </c>
      <c r="CH15" s="314">
        <f>IF($BI15&lt;&gt;"",IF('Capacity summary'!$D$14="Yes",IF(COUNTBLANK('Capacity summary'!$H134:$BG134)&lt;52,IF('Capacity summary'!AE134&lt;&gt;"",IF(LOWER('Capacity summary'!AE134)="x",$BI15*AE15,VALUE('Capacity summary'!AE134)),0),AE15*$BI15),AE15*$BI15),0)</f>
        <v>0</v>
      </c>
      <c r="CI15" s="314">
        <f>IF($BI15&lt;&gt;"",IF('Capacity summary'!$D$14="Yes",IF(COUNTBLANK('Capacity summary'!$H134:$BG134)&lt;52,IF('Capacity summary'!AF134&lt;&gt;"",IF(LOWER('Capacity summary'!AF134)="x",$BI15*AF15,VALUE('Capacity summary'!AF134)),0),AF15*$BI15),AF15*$BI15),0)</f>
        <v>0</v>
      </c>
      <c r="CJ15" s="314">
        <f>IF($BI15&lt;&gt;"",IF('Capacity summary'!$D$14="Yes",IF(COUNTBLANK('Capacity summary'!$H134:$BG134)&lt;52,IF('Capacity summary'!AG134&lt;&gt;"",IF(LOWER('Capacity summary'!AG134)="x",$BI15*AG15,VALUE('Capacity summary'!AG134)),0),AG15*$BI15),AG15*$BI15),0)</f>
        <v>0</v>
      </c>
      <c r="CK15" s="314">
        <f>IF($BI15&lt;&gt;"",IF('Capacity summary'!$D$14="Yes",IF(COUNTBLANK('Capacity summary'!$H134:$BG134)&lt;52,IF('Capacity summary'!AH134&lt;&gt;"",IF(LOWER('Capacity summary'!AH134)="x",$BI15*AH15,VALUE('Capacity summary'!AH134)),0),AH15*$BI15),AH15*$BI15),0)</f>
        <v>0</v>
      </c>
      <c r="CL15" s="314">
        <f>IF($BI15&lt;&gt;"",IF('Capacity summary'!$D$14="Yes",IF(COUNTBLANK('Capacity summary'!$H134:$BG134)&lt;52,IF('Capacity summary'!AI134&lt;&gt;"",IF(LOWER('Capacity summary'!AI134)="x",$BI15*AI15,VALUE('Capacity summary'!AI134)),0),AI15*$BI15),AI15*$BI15),0)</f>
        <v>0</v>
      </c>
      <c r="CM15" s="314">
        <f>IF($BI15&lt;&gt;"",IF('Capacity summary'!$D$14="Yes",IF(COUNTBLANK('Capacity summary'!$H134:$BG134)&lt;52,IF('Capacity summary'!AJ134&lt;&gt;"",IF(LOWER('Capacity summary'!AJ134)="x",$BI15*AJ15,VALUE('Capacity summary'!AJ134)),0),AJ15*$BI15),AJ15*$BI15),0)</f>
        <v>0</v>
      </c>
      <c r="CN15" s="314">
        <f>IF($BI15&lt;&gt;"",IF('Capacity summary'!$D$14="Yes",IF(COUNTBLANK('Capacity summary'!$H134:$BG134)&lt;52,IF('Capacity summary'!AK134&lt;&gt;"",IF(LOWER('Capacity summary'!AK134)="x",$BI15*AK15,VALUE('Capacity summary'!AK134)),0),AK15*$BI15),AK15*$BI15),0)</f>
        <v>0</v>
      </c>
      <c r="CO15" s="314">
        <f>IF($BI15&lt;&gt;"",IF('Capacity summary'!$D$14="Yes",IF(COUNTBLANK('Capacity summary'!$H134:$BG134)&lt;52,IF('Capacity summary'!AL134&lt;&gt;"",IF(LOWER('Capacity summary'!AL134)="x",$BI15*AL15,VALUE('Capacity summary'!AL134)),0),AL15*$BI15),AL15*$BI15),0)</f>
        <v>0</v>
      </c>
      <c r="CP15" s="314">
        <f>IF($BI15&lt;&gt;"",IF('Capacity summary'!$D$14="Yes",IF(COUNTBLANK('Capacity summary'!$H134:$BG134)&lt;52,IF('Capacity summary'!AM134&lt;&gt;"",IF(LOWER('Capacity summary'!AM134)="x",$BI15*AM15,VALUE('Capacity summary'!AM134)),0),AM15*$BI15),AM15*$BI15),0)</f>
        <v>0</v>
      </c>
      <c r="CQ15" s="314">
        <f>IF($BI15&lt;&gt;"",IF('Capacity summary'!$D$14="Yes",IF(COUNTBLANK('Capacity summary'!$H134:$BG134)&lt;52,IF('Capacity summary'!AN134&lt;&gt;"",IF(LOWER('Capacity summary'!AN134)="x",$BI15*AN15,VALUE('Capacity summary'!AN134)),0),AN15*$BI15),AN15*$BI15),0)</f>
        <v>0</v>
      </c>
      <c r="CR15" s="314">
        <f>IF($BI15&lt;&gt;"",IF('Capacity summary'!$D$14="Yes",IF(COUNTBLANK('Capacity summary'!$H134:$BG134)&lt;52,IF('Capacity summary'!AO134&lt;&gt;"",IF(LOWER('Capacity summary'!AO134)="x",$BI15*AO15,VALUE('Capacity summary'!AO134)),0),AO15*$BI15),AO15*$BI15),0)</f>
        <v>0</v>
      </c>
      <c r="CS15" s="314">
        <f>IF($BI15&lt;&gt;"",IF('Capacity summary'!$D$14="Yes",IF(COUNTBLANK('Capacity summary'!$H134:$BG134)&lt;52,IF('Capacity summary'!AP134&lt;&gt;"",IF(LOWER('Capacity summary'!AP134)="x",$BI15*AP15,VALUE('Capacity summary'!AP134)),0),AP15*$BI15),AP15*$BI15),0)</f>
        <v>0</v>
      </c>
      <c r="CT15" s="314">
        <f>IF($BI15&lt;&gt;"",IF('Capacity summary'!$D$14="Yes",IF(COUNTBLANK('Capacity summary'!$H134:$BG134)&lt;52,IF('Capacity summary'!AQ134&lt;&gt;"",IF(LOWER('Capacity summary'!AQ134)="x",$BI15*AQ15,VALUE('Capacity summary'!AQ134)),0),AQ15*$BI15),AQ15*$BI15),0)</f>
        <v>0</v>
      </c>
      <c r="CU15" s="314">
        <f>IF($BI15&lt;&gt;"",IF('Capacity summary'!$D$14="Yes",IF(COUNTBLANK('Capacity summary'!$H134:$BG134)&lt;52,IF('Capacity summary'!AR134&lt;&gt;"",IF(LOWER('Capacity summary'!AR134)="x",$BI15*AR15,VALUE('Capacity summary'!AR134)),0),AR15*$BI15),AR15*$BI15),0)</f>
        <v>0</v>
      </c>
      <c r="CV15" s="314">
        <f>IF($BI15&lt;&gt;"",IF('Capacity summary'!$D$14="Yes",IF(COUNTBLANK('Capacity summary'!$H134:$BG134)&lt;52,IF('Capacity summary'!AS134&lt;&gt;"",IF(LOWER('Capacity summary'!AS134)="x",$BI15*AS15,VALUE('Capacity summary'!AS134)),0),AS15*$BI15),AS15*$BI15),0)</f>
        <v>0</v>
      </c>
      <c r="CW15" s="314">
        <f>IF($BI15&lt;&gt;"",IF('Capacity summary'!$D$14="Yes",IF(COUNTBLANK('Capacity summary'!$H134:$BG134)&lt;52,IF('Capacity summary'!AT134&lt;&gt;"",IF(LOWER('Capacity summary'!AT134)="x",$BI15*AT15,VALUE('Capacity summary'!AT134)),0),AT15*$BI15),AT15*$BI15),0)</f>
        <v>0</v>
      </c>
      <c r="CX15" s="314">
        <f>IF($BI15&lt;&gt;"",IF('Capacity summary'!$D$14="Yes",IF(COUNTBLANK('Capacity summary'!$H134:$BG134)&lt;52,IF('Capacity summary'!AU134&lt;&gt;"",IF(LOWER('Capacity summary'!AU134)="x",$BI15*AU15,VALUE('Capacity summary'!AU134)),0),AU15*$BI15),AU15*$BI15),0)</f>
        <v>0</v>
      </c>
      <c r="CY15" s="314">
        <f>IF($BI15&lt;&gt;"",IF('Capacity summary'!$D$14="Yes",IF(COUNTBLANK('Capacity summary'!$H134:$BG134)&lt;52,IF('Capacity summary'!AV134&lt;&gt;"",IF(LOWER('Capacity summary'!AV134)="x",$BI15*AV15,VALUE('Capacity summary'!AV134)),0),AV15*$BI15),AV15*$BI15),0)</f>
        <v>0</v>
      </c>
      <c r="CZ15" s="314">
        <f>IF($BI15&lt;&gt;"",IF('Capacity summary'!$D$14="Yes",IF(COUNTBLANK('Capacity summary'!$H134:$BG134)&lt;52,IF('Capacity summary'!AW134&lt;&gt;"",IF(LOWER('Capacity summary'!AW134)="x",$BI15*AW15,VALUE('Capacity summary'!AW134)),0),AW15*$BI15),AW15*$BI15),0)</f>
        <v>0</v>
      </c>
      <c r="DA15" s="314">
        <f>IF($BI15&lt;&gt;"",IF('Capacity summary'!$D$14="Yes",IF(COUNTBLANK('Capacity summary'!$H134:$BG134)&lt;52,IF('Capacity summary'!AX134&lt;&gt;"",IF(LOWER('Capacity summary'!AX134)="x",$BI15*AX15,VALUE('Capacity summary'!AX134)),0),AX15*$BI15),AX15*$BI15),0)</f>
        <v>0</v>
      </c>
      <c r="DB15" s="314">
        <f>IF($BI15&lt;&gt;"",IF('Capacity summary'!$D$14="Yes",IF(COUNTBLANK('Capacity summary'!$H134:$BG134)&lt;52,IF('Capacity summary'!AY134&lt;&gt;"",IF(LOWER('Capacity summary'!AY134)="x",$BI15*AY15,VALUE('Capacity summary'!AY134)),0),AY15*$BI15),AY15*$BI15),0)</f>
        <v>0</v>
      </c>
      <c r="DC15" s="314">
        <f>IF($BI15&lt;&gt;"",IF('Capacity summary'!$D$14="Yes",IF(COUNTBLANK('Capacity summary'!$H134:$BG134)&lt;52,IF('Capacity summary'!AZ134&lt;&gt;"",IF(LOWER('Capacity summary'!AZ134)="x",$BI15*AZ15,VALUE('Capacity summary'!AZ134)),0),AZ15*$BI15),AZ15*$BI15),0)</f>
        <v>0</v>
      </c>
      <c r="DD15" s="314">
        <f>IF($BI15&lt;&gt;"",IF('Capacity summary'!$D$14="Yes",IF(COUNTBLANK('Capacity summary'!$H134:$BG134)&lt;52,IF('Capacity summary'!BA134&lt;&gt;"",IF(LOWER('Capacity summary'!BA134)="x",$BI15*BA15,VALUE('Capacity summary'!BA134)),0),BA15*$BI15),BA15*$BI15),0)</f>
        <v>0</v>
      </c>
      <c r="DE15" s="314">
        <f>IF($BI15&lt;&gt;"",IF('Capacity summary'!$D$14="Yes",IF(COUNTBLANK('Capacity summary'!$H134:$BG134)&lt;52,IF('Capacity summary'!BB134&lt;&gt;"",IF(LOWER('Capacity summary'!BB134)="x",$BI15*BB15,VALUE('Capacity summary'!BB134)),0),BB15*$BI15),BB15*$BI15),0)</f>
        <v>0</v>
      </c>
      <c r="DF15" s="314">
        <f>IF($BI15&lt;&gt;"",IF('Capacity summary'!$D$14="Yes",IF(COUNTBLANK('Capacity summary'!$H134:$BG134)&lt;52,IF('Capacity summary'!BC134&lt;&gt;"",IF(LOWER('Capacity summary'!BC134)="x",$BI15*BC15,VALUE('Capacity summary'!BC134)),0),BC15*$BI15),BC15*$BI15),0)</f>
        <v>0</v>
      </c>
      <c r="DG15" s="314">
        <f>IF($BI15&lt;&gt;"",IF('Capacity summary'!$D$14="Yes",IF(COUNTBLANK('Capacity summary'!$H134:$BG134)&lt;52,IF('Capacity summary'!BD134&lt;&gt;"",IF(LOWER('Capacity summary'!BD134)="x",$BI15*BD15,VALUE('Capacity summary'!BD134)),0),BD15*$BI15),BD15*$BI15),0)</f>
        <v>0</v>
      </c>
      <c r="DH15" s="314">
        <f>IF($BI15&lt;&gt;"",IF('Capacity summary'!$D$14="Yes",IF(COUNTBLANK('Capacity summary'!$H134:$BG134)&lt;52,IF('Capacity summary'!BE134&lt;&gt;"",IF(LOWER('Capacity summary'!BE134)="x",$BI15*BE15,VALUE('Capacity summary'!BE134)),0),BE15*$BI15),BE15*$BI15),0)</f>
        <v>0</v>
      </c>
      <c r="DI15" s="314">
        <f>IF($BI15&lt;&gt;"",IF('Capacity summary'!$D$14="Yes",IF(COUNTBLANK('Capacity summary'!$H134:$BG134)&lt;52,IF('Capacity summary'!BF134&lt;&gt;"",IF(LOWER('Capacity summary'!BF134)="x",$BI15*BF15,VALUE('Capacity summary'!BF134)),0),BF15*$BI15),BF15*$BI15),0)</f>
        <v>0</v>
      </c>
      <c r="DJ15" s="314">
        <f>IF($BI15&lt;&gt;"",IF('Capacity summary'!$D$14="Yes",IF(COUNTBLANK('Capacity summary'!$H134:$BG134)&lt;52,IF('Capacity summary'!BG134&lt;&gt;"",IF(LOWER('Capacity summary'!BG134)="x",$BI15*BG15,VALUE('Capacity summary'!BG134)),0),BG15*$BI15),BG15*$BI15),0)</f>
        <v>0</v>
      </c>
      <c r="DK15" s="137">
        <f t="shared" si="2"/>
        <v>0</v>
      </c>
      <c r="DL15" s="314" t="str">
        <f>Capacity!H27</f>
        <v/>
      </c>
      <c r="DP15" s="5"/>
    </row>
    <row r="16" spans="2:120" x14ac:dyDescent="0.25">
      <c r="B16" s="67"/>
      <c r="C16" s="67" t="str">
        <f>ROW(A12)&amp;". "&amp;Capacity!B28</f>
        <v xml:space="preserve">12.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IF(ROW(C12)&lt;=Capacity!$A$16,IF('Capacity summary'!$D$14="No",SUM(H16:BG16),'Capacity summary'!$E135),0)</f>
        <v>0</v>
      </c>
      <c r="BI16" s="5" t="str">
        <f>IF(BH16&gt;0,IF(BH16&lt;Capacity!E28,Capacity!F28,Capacity!H28/'Capacity calculation (hide)'!BH16),"")</f>
        <v/>
      </c>
      <c r="BK16" s="314">
        <f>IF($BI16&lt;&gt;"",IF('Capacity summary'!$D$14="Yes",IF(COUNTBLANK('Capacity summary'!$H135:$BG135)&lt;52,IF('Capacity summary'!H135&lt;&gt;"",IF(LOWER('Capacity summary'!H135)="x",$BI16*H16,VALUE('Capacity summary'!H135)),0),H16*$BI16),H16*$BI16),0)</f>
        <v>0</v>
      </c>
      <c r="BL16" s="314">
        <f>IF($BI16&lt;&gt;"",IF('Capacity summary'!$D$14="Yes",IF(COUNTBLANK('Capacity summary'!$H135:$BG135)&lt;52,IF('Capacity summary'!I135&lt;&gt;"",IF(LOWER('Capacity summary'!I135)="x",$BI16*I16,VALUE('Capacity summary'!I135)),0),I16*$BI16),I16*$BI16),0)</f>
        <v>0</v>
      </c>
      <c r="BM16" s="314">
        <f>IF($BI16&lt;&gt;"",IF('Capacity summary'!$D$14="Yes",IF(COUNTBLANK('Capacity summary'!$H135:$BG135)&lt;52,IF('Capacity summary'!J135&lt;&gt;"",IF(LOWER('Capacity summary'!J135)="x",$BI16*J16,VALUE('Capacity summary'!J135)),0),J16*$BI16),J16*$BI16),0)</f>
        <v>0</v>
      </c>
      <c r="BN16" s="314">
        <f>IF($BI16&lt;&gt;"",IF('Capacity summary'!$D$14="Yes",IF(COUNTBLANK('Capacity summary'!$H135:$BG135)&lt;52,IF('Capacity summary'!K135&lt;&gt;"",IF(LOWER('Capacity summary'!K135)="x",$BI16*K16,VALUE('Capacity summary'!K135)),0),K16*$BI16),K16*$BI16),0)</f>
        <v>0</v>
      </c>
      <c r="BO16" s="314">
        <f>IF($BI16&lt;&gt;"",IF('Capacity summary'!$D$14="Yes",IF(COUNTBLANK('Capacity summary'!$H135:$BG135)&lt;52,IF('Capacity summary'!L135&lt;&gt;"",IF(LOWER('Capacity summary'!L135)="x",$BI16*L16,VALUE('Capacity summary'!L135)),0),L16*$BI16),L16*$BI16),0)</f>
        <v>0</v>
      </c>
      <c r="BP16" s="314">
        <f>IF($BI16&lt;&gt;"",IF('Capacity summary'!$D$14="Yes",IF(COUNTBLANK('Capacity summary'!$H135:$BG135)&lt;52,IF('Capacity summary'!M135&lt;&gt;"",IF(LOWER('Capacity summary'!M135)="x",$BI16*M16,VALUE('Capacity summary'!M135)),0),M16*$BI16),M16*$BI16),0)</f>
        <v>0</v>
      </c>
      <c r="BQ16" s="314">
        <f>IF($BI16&lt;&gt;"",IF('Capacity summary'!$D$14="Yes",IF(COUNTBLANK('Capacity summary'!$H135:$BG135)&lt;52,IF('Capacity summary'!N135&lt;&gt;"",IF(LOWER('Capacity summary'!N135)="x",$BI16*N16,VALUE('Capacity summary'!N135)),0),N16*$BI16),N16*$BI16),0)</f>
        <v>0</v>
      </c>
      <c r="BR16" s="314">
        <f>IF($BI16&lt;&gt;"",IF('Capacity summary'!$D$14="Yes",IF(COUNTBLANK('Capacity summary'!$H135:$BG135)&lt;52,IF('Capacity summary'!O135&lt;&gt;"",IF(LOWER('Capacity summary'!O135)="x",$BI16*O16,VALUE('Capacity summary'!O135)),0),O16*$BI16),O16*$BI16),0)</f>
        <v>0</v>
      </c>
      <c r="BS16" s="314">
        <f>IF($BI16&lt;&gt;"",IF('Capacity summary'!$D$14="Yes",IF(COUNTBLANK('Capacity summary'!$H135:$BG135)&lt;52,IF('Capacity summary'!P135&lt;&gt;"",IF(LOWER('Capacity summary'!P135)="x",$BI16*P16,VALUE('Capacity summary'!P135)),0),P16*$BI16),P16*$BI16),0)</f>
        <v>0</v>
      </c>
      <c r="BT16" s="314">
        <f>IF($BI16&lt;&gt;"",IF('Capacity summary'!$D$14="Yes",IF(COUNTBLANK('Capacity summary'!$H135:$BG135)&lt;52,IF('Capacity summary'!Q135&lt;&gt;"",IF(LOWER('Capacity summary'!Q135)="x",$BI16*Q16,VALUE('Capacity summary'!Q135)),0),Q16*$BI16),Q16*$BI16),0)</f>
        <v>0</v>
      </c>
      <c r="BU16" s="314">
        <f>IF($BI16&lt;&gt;"",IF('Capacity summary'!$D$14="Yes",IF(COUNTBLANK('Capacity summary'!$H135:$BG135)&lt;52,IF('Capacity summary'!R135&lt;&gt;"",IF(LOWER('Capacity summary'!R135)="x",$BI16*R16,VALUE('Capacity summary'!R135)),0),R16*$BI16),R16*$BI16),0)</f>
        <v>0</v>
      </c>
      <c r="BV16" s="314">
        <f>IF($BI16&lt;&gt;"",IF('Capacity summary'!$D$14="Yes",IF(COUNTBLANK('Capacity summary'!$H135:$BG135)&lt;52,IF('Capacity summary'!S135&lt;&gt;"",IF(LOWER('Capacity summary'!S135)="x",$BI16*S16,VALUE('Capacity summary'!S135)),0),S16*$BI16),S16*$BI16),0)</f>
        <v>0</v>
      </c>
      <c r="BW16" s="314">
        <f>IF($BI16&lt;&gt;"",IF('Capacity summary'!$D$14="Yes",IF(COUNTBLANK('Capacity summary'!$H135:$BG135)&lt;52,IF('Capacity summary'!T135&lt;&gt;"",IF(LOWER('Capacity summary'!T135)="x",$BI16*T16,VALUE('Capacity summary'!T135)),0),T16*$BI16),T16*$BI16),0)</f>
        <v>0</v>
      </c>
      <c r="BX16" s="314">
        <f>IF($BI16&lt;&gt;"",IF('Capacity summary'!$D$14="Yes",IF(COUNTBLANK('Capacity summary'!$H135:$BG135)&lt;52,IF('Capacity summary'!U135&lt;&gt;"",IF(LOWER('Capacity summary'!U135)="x",$BI16*U16,VALUE('Capacity summary'!U135)),0),U16*$BI16),U16*$BI16),0)</f>
        <v>0</v>
      </c>
      <c r="BY16" s="314">
        <f>IF($BI16&lt;&gt;"",IF('Capacity summary'!$D$14="Yes",IF(COUNTBLANK('Capacity summary'!$H135:$BG135)&lt;52,IF('Capacity summary'!V135&lt;&gt;"",IF(LOWER('Capacity summary'!V135)="x",$BI16*V16,VALUE('Capacity summary'!V135)),0),V16*$BI16),V16*$BI16),0)</f>
        <v>0</v>
      </c>
      <c r="BZ16" s="314">
        <f>IF($BI16&lt;&gt;"",IF('Capacity summary'!$D$14="Yes",IF(COUNTBLANK('Capacity summary'!$H135:$BG135)&lt;52,IF('Capacity summary'!W135&lt;&gt;"",IF(LOWER('Capacity summary'!W135)="x",$BI16*W16,VALUE('Capacity summary'!W135)),0),W16*$BI16),W16*$BI16),0)</f>
        <v>0</v>
      </c>
      <c r="CA16" s="314">
        <f>IF($BI16&lt;&gt;"",IF('Capacity summary'!$D$14="Yes",IF(COUNTBLANK('Capacity summary'!$H135:$BG135)&lt;52,IF('Capacity summary'!X135&lt;&gt;"",IF(LOWER('Capacity summary'!X135)="x",$BI16*X16,VALUE('Capacity summary'!X135)),0),X16*$BI16),X16*$BI16),0)</f>
        <v>0</v>
      </c>
      <c r="CB16" s="314">
        <f>IF($BI16&lt;&gt;"",IF('Capacity summary'!$D$14="Yes",IF(COUNTBLANK('Capacity summary'!$H135:$BG135)&lt;52,IF('Capacity summary'!Y135&lt;&gt;"",IF(LOWER('Capacity summary'!Y135)="x",$BI16*Y16,VALUE('Capacity summary'!Y135)),0),Y16*$BI16),Y16*$BI16),0)</f>
        <v>0</v>
      </c>
      <c r="CC16" s="314">
        <f>IF($BI16&lt;&gt;"",IF('Capacity summary'!$D$14="Yes",IF(COUNTBLANK('Capacity summary'!$H135:$BG135)&lt;52,IF('Capacity summary'!Z135&lt;&gt;"",IF(LOWER('Capacity summary'!Z135)="x",$BI16*Z16,VALUE('Capacity summary'!Z135)),0),Z16*$BI16),Z16*$BI16),0)</f>
        <v>0</v>
      </c>
      <c r="CD16" s="314">
        <f>IF($BI16&lt;&gt;"",IF('Capacity summary'!$D$14="Yes",IF(COUNTBLANK('Capacity summary'!$H135:$BG135)&lt;52,IF('Capacity summary'!AA135&lt;&gt;"",IF(LOWER('Capacity summary'!AA135)="x",$BI16*AA16,VALUE('Capacity summary'!AA135)),0),AA16*$BI16),AA16*$BI16),0)</f>
        <v>0</v>
      </c>
      <c r="CE16" s="314">
        <f>IF($BI16&lt;&gt;"",IF('Capacity summary'!$D$14="Yes",IF(COUNTBLANK('Capacity summary'!$H135:$BG135)&lt;52,IF('Capacity summary'!AB135&lt;&gt;"",IF(LOWER('Capacity summary'!AB135)="x",$BI16*AB16,VALUE('Capacity summary'!AB135)),0),AB16*$BI16),AB16*$BI16),0)</f>
        <v>0</v>
      </c>
      <c r="CF16" s="314">
        <f>IF($BI16&lt;&gt;"",IF('Capacity summary'!$D$14="Yes",IF(COUNTBLANK('Capacity summary'!$H135:$BG135)&lt;52,IF('Capacity summary'!AC135&lt;&gt;"",IF(LOWER('Capacity summary'!AC135)="x",$BI16*AC16,VALUE('Capacity summary'!AC135)),0),AC16*$BI16),AC16*$BI16),0)</f>
        <v>0</v>
      </c>
      <c r="CG16" s="314">
        <f>IF($BI16&lt;&gt;"",IF('Capacity summary'!$D$14="Yes",IF(COUNTBLANK('Capacity summary'!$H135:$BG135)&lt;52,IF('Capacity summary'!AD135&lt;&gt;"",IF(LOWER('Capacity summary'!AD135)="x",$BI16*AD16,VALUE('Capacity summary'!AD135)),0),AD16*$BI16),AD16*$BI16),0)</f>
        <v>0</v>
      </c>
      <c r="CH16" s="314">
        <f>IF($BI16&lt;&gt;"",IF('Capacity summary'!$D$14="Yes",IF(COUNTBLANK('Capacity summary'!$H135:$BG135)&lt;52,IF('Capacity summary'!AE135&lt;&gt;"",IF(LOWER('Capacity summary'!AE135)="x",$BI16*AE16,VALUE('Capacity summary'!AE135)),0),AE16*$BI16),AE16*$BI16),0)</f>
        <v>0</v>
      </c>
      <c r="CI16" s="314">
        <f>IF($BI16&lt;&gt;"",IF('Capacity summary'!$D$14="Yes",IF(COUNTBLANK('Capacity summary'!$H135:$BG135)&lt;52,IF('Capacity summary'!AF135&lt;&gt;"",IF(LOWER('Capacity summary'!AF135)="x",$BI16*AF16,VALUE('Capacity summary'!AF135)),0),AF16*$BI16),AF16*$BI16),0)</f>
        <v>0</v>
      </c>
      <c r="CJ16" s="314">
        <f>IF($BI16&lt;&gt;"",IF('Capacity summary'!$D$14="Yes",IF(COUNTBLANK('Capacity summary'!$H135:$BG135)&lt;52,IF('Capacity summary'!AG135&lt;&gt;"",IF(LOWER('Capacity summary'!AG135)="x",$BI16*AG16,VALUE('Capacity summary'!AG135)),0),AG16*$BI16),AG16*$BI16),0)</f>
        <v>0</v>
      </c>
      <c r="CK16" s="314">
        <f>IF($BI16&lt;&gt;"",IF('Capacity summary'!$D$14="Yes",IF(COUNTBLANK('Capacity summary'!$H135:$BG135)&lt;52,IF('Capacity summary'!AH135&lt;&gt;"",IF(LOWER('Capacity summary'!AH135)="x",$BI16*AH16,VALUE('Capacity summary'!AH135)),0),AH16*$BI16),AH16*$BI16),0)</f>
        <v>0</v>
      </c>
      <c r="CL16" s="314">
        <f>IF($BI16&lt;&gt;"",IF('Capacity summary'!$D$14="Yes",IF(COUNTBLANK('Capacity summary'!$H135:$BG135)&lt;52,IF('Capacity summary'!AI135&lt;&gt;"",IF(LOWER('Capacity summary'!AI135)="x",$BI16*AI16,VALUE('Capacity summary'!AI135)),0),AI16*$BI16),AI16*$BI16),0)</f>
        <v>0</v>
      </c>
      <c r="CM16" s="314">
        <f>IF($BI16&lt;&gt;"",IF('Capacity summary'!$D$14="Yes",IF(COUNTBLANK('Capacity summary'!$H135:$BG135)&lt;52,IF('Capacity summary'!AJ135&lt;&gt;"",IF(LOWER('Capacity summary'!AJ135)="x",$BI16*AJ16,VALUE('Capacity summary'!AJ135)),0),AJ16*$BI16),AJ16*$BI16),0)</f>
        <v>0</v>
      </c>
      <c r="CN16" s="314">
        <f>IF($BI16&lt;&gt;"",IF('Capacity summary'!$D$14="Yes",IF(COUNTBLANK('Capacity summary'!$H135:$BG135)&lt;52,IF('Capacity summary'!AK135&lt;&gt;"",IF(LOWER('Capacity summary'!AK135)="x",$BI16*AK16,VALUE('Capacity summary'!AK135)),0),AK16*$BI16),AK16*$BI16),0)</f>
        <v>0</v>
      </c>
      <c r="CO16" s="314">
        <f>IF($BI16&lt;&gt;"",IF('Capacity summary'!$D$14="Yes",IF(COUNTBLANK('Capacity summary'!$H135:$BG135)&lt;52,IF('Capacity summary'!AL135&lt;&gt;"",IF(LOWER('Capacity summary'!AL135)="x",$BI16*AL16,VALUE('Capacity summary'!AL135)),0),AL16*$BI16),AL16*$BI16),0)</f>
        <v>0</v>
      </c>
      <c r="CP16" s="314">
        <f>IF($BI16&lt;&gt;"",IF('Capacity summary'!$D$14="Yes",IF(COUNTBLANK('Capacity summary'!$H135:$BG135)&lt;52,IF('Capacity summary'!AM135&lt;&gt;"",IF(LOWER('Capacity summary'!AM135)="x",$BI16*AM16,VALUE('Capacity summary'!AM135)),0),AM16*$BI16),AM16*$BI16),0)</f>
        <v>0</v>
      </c>
      <c r="CQ16" s="314">
        <f>IF($BI16&lt;&gt;"",IF('Capacity summary'!$D$14="Yes",IF(COUNTBLANK('Capacity summary'!$H135:$BG135)&lt;52,IF('Capacity summary'!AN135&lt;&gt;"",IF(LOWER('Capacity summary'!AN135)="x",$BI16*AN16,VALUE('Capacity summary'!AN135)),0),AN16*$BI16),AN16*$BI16),0)</f>
        <v>0</v>
      </c>
      <c r="CR16" s="314">
        <f>IF($BI16&lt;&gt;"",IF('Capacity summary'!$D$14="Yes",IF(COUNTBLANK('Capacity summary'!$H135:$BG135)&lt;52,IF('Capacity summary'!AO135&lt;&gt;"",IF(LOWER('Capacity summary'!AO135)="x",$BI16*AO16,VALUE('Capacity summary'!AO135)),0),AO16*$BI16),AO16*$BI16),0)</f>
        <v>0</v>
      </c>
      <c r="CS16" s="314">
        <f>IF($BI16&lt;&gt;"",IF('Capacity summary'!$D$14="Yes",IF(COUNTBLANK('Capacity summary'!$H135:$BG135)&lt;52,IF('Capacity summary'!AP135&lt;&gt;"",IF(LOWER('Capacity summary'!AP135)="x",$BI16*AP16,VALUE('Capacity summary'!AP135)),0),AP16*$BI16),AP16*$BI16),0)</f>
        <v>0</v>
      </c>
      <c r="CT16" s="314">
        <f>IF($BI16&lt;&gt;"",IF('Capacity summary'!$D$14="Yes",IF(COUNTBLANK('Capacity summary'!$H135:$BG135)&lt;52,IF('Capacity summary'!AQ135&lt;&gt;"",IF(LOWER('Capacity summary'!AQ135)="x",$BI16*AQ16,VALUE('Capacity summary'!AQ135)),0),AQ16*$BI16),AQ16*$BI16),0)</f>
        <v>0</v>
      </c>
      <c r="CU16" s="314">
        <f>IF($BI16&lt;&gt;"",IF('Capacity summary'!$D$14="Yes",IF(COUNTBLANK('Capacity summary'!$H135:$BG135)&lt;52,IF('Capacity summary'!AR135&lt;&gt;"",IF(LOWER('Capacity summary'!AR135)="x",$BI16*AR16,VALUE('Capacity summary'!AR135)),0),AR16*$BI16),AR16*$BI16),0)</f>
        <v>0</v>
      </c>
      <c r="CV16" s="314">
        <f>IF($BI16&lt;&gt;"",IF('Capacity summary'!$D$14="Yes",IF(COUNTBLANK('Capacity summary'!$H135:$BG135)&lt;52,IF('Capacity summary'!AS135&lt;&gt;"",IF(LOWER('Capacity summary'!AS135)="x",$BI16*AS16,VALUE('Capacity summary'!AS135)),0),AS16*$BI16),AS16*$BI16),0)</f>
        <v>0</v>
      </c>
      <c r="CW16" s="314">
        <f>IF($BI16&lt;&gt;"",IF('Capacity summary'!$D$14="Yes",IF(COUNTBLANK('Capacity summary'!$H135:$BG135)&lt;52,IF('Capacity summary'!AT135&lt;&gt;"",IF(LOWER('Capacity summary'!AT135)="x",$BI16*AT16,VALUE('Capacity summary'!AT135)),0),AT16*$BI16),AT16*$BI16),0)</f>
        <v>0</v>
      </c>
      <c r="CX16" s="314">
        <f>IF($BI16&lt;&gt;"",IF('Capacity summary'!$D$14="Yes",IF(COUNTBLANK('Capacity summary'!$H135:$BG135)&lt;52,IF('Capacity summary'!AU135&lt;&gt;"",IF(LOWER('Capacity summary'!AU135)="x",$BI16*AU16,VALUE('Capacity summary'!AU135)),0),AU16*$BI16),AU16*$BI16),0)</f>
        <v>0</v>
      </c>
      <c r="CY16" s="314">
        <f>IF($BI16&lt;&gt;"",IF('Capacity summary'!$D$14="Yes",IF(COUNTBLANK('Capacity summary'!$H135:$BG135)&lt;52,IF('Capacity summary'!AV135&lt;&gt;"",IF(LOWER('Capacity summary'!AV135)="x",$BI16*AV16,VALUE('Capacity summary'!AV135)),0),AV16*$BI16),AV16*$BI16),0)</f>
        <v>0</v>
      </c>
      <c r="CZ16" s="314">
        <f>IF($BI16&lt;&gt;"",IF('Capacity summary'!$D$14="Yes",IF(COUNTBLANK('Capacity summary'!$H135:$BG135)&lt;52,IF('Capacity summary'!AW135&lt;&gt;"",IF(LOWER('Capacity summary'!AW135)="x",$BI16*AW16,VALUE('Capacity summary'!AW135)),0),AW16*$BI16),AW16*$BI16),0)</f>
        <v>0</v>
      </c>
      <c r="DA16" s="314">
        <f>IF($BI16&lt;&gt;"",IF('Capacity summary'!$D$14="Yes",IF(COUNTBLANK('Capacity summary'!$H135:$BG135)&lt;52,IF('Capacity summary'!AX135&lt;&gt;"",IF(LOWER('Capacity summary'!AX135)="x",$BI16*AX16,VALUE('Capacity summary'!AX135)),0),AX16*$BI16),AX16*$BI16),0)</f>
        <v>0</v>
      </c>
      <c r="DB16" s="314">
        <f>IF($BI16&lt;&gt;"",IF('Capacity summary'!$D$14="Yes",IF(COUNTBLANK('Capacity summary'!$H135:$BG135)&lt;52,IF('Capacity summary'!AY135&lt;&gt;"",IF(LOWER('Capacity summary'!AY135)="x",$BI16*AY16,VALUE('Capacity summary'!AY135)),0),AY16*$BI16),AY16*$BI16),0)</f>
        <v>0</v>
      </c>
      <c r="DC16" s="314">
        <f>IF($BI16&lt;&gt;"",IF('Capacity summary'!$D$14="Yes",IF(COUNTBLANK('Capacity summary'!$H135:$BG135)&lt;52,IF('Capacity summary'!AZ135&lt;&gt;"",IF(LOWER('Capacity summary'!AZ135)="x",$BI16*AZ16,VALUE('Capacity summary'!AZ135)),0),AZ16*$BI16),AZ16*$BI16),0)</f>
        <v>0</v>
      </c>
      <c r="DD16" s="314">
        <f>IF($BI16&lt;&gt;"",IF('Capacity summary'!$D$14="Yes",IF(COUNTBLANK('Capacity summary'!$H135:$BG135)&lt;52,IF('Capacity summary'!BA135&lt;&gt;"",IF(LOWER('Capacity summary'!BA135)="x",$BI16*BA16,VALUE('Capacity summary'!BA135)),0),BA16*$BI16),BA16*$BI16),0)</f>
        <v>0</v>
      </c>
      <c r="DE16" s="314">
        <f>IF($BI16&lt;&gt;"",IF('Capacity summary'!$D$14="Yes",IF(COUNTBLANK('Capacity summary'!$H135:$BG135)&lt;52,IF('Capacity summary'!BB135&lt;&gt;"",IF(LOWER('Capacity summary'!BB135)="x",$BI16*BB16,VALUE('Capacity summary'!BB135)),0),BB16*$BI16),BB16*$BI16),0)</f>
        <v>0</v>
      </c>
      <c r="DF16" s="314">
        <f>IF($BI16&lt;&gt;"",IF('Capacity summary'!$D$14="Yes",IF(COUNTBLANK('Capacity summary'!$H135:$BG135)&lt;52,IF('Capacity summary'!BC135&lt;&gt;"",IF(LOWER('Capacity summary'!BC135)="x",$BI16*BC16,VALUE('Capacity summary'!BC135)),0),BC16*$BI16),BC16*$BI16),0)</f>
        <v>0</v>
      </c>
      <c r="DG16" s="314">
        <f>IF($BI16&lt;&gt;"",IF('Capacity summary'!$D$14="Yes",IF(COUNTBLANK('Capacity summary'!$H135:$BG135)&lt;52,IF('Capacity summary'!BD135&lt;&gt;"",IF(LOWER('Capacity summary'!BD135)="x",$BI16*BD16,VALUE('Capacity summary'!BD135)),0),BD16*$BI16),BD16*$BI16),0)</f>
        <v>0</v>
      </c>
      <c r="DH16" s="314">
        <f>IF($BI16&lt;&gt;"",IF('Capacity summary'!$D$14="Yes",IF(COUNTBLANK('Capacity summary'!$H135:$BG135)&lt;52,IF('Capacity summary'!BE135&lt;&gt;"",IF(LOWER('Capacity summary'!BE135)="x",$BI16*BE16,VALUE('Capacity summary'!BE135)),0),BE16*$BI16),BE16*$BI16),0)</f>
        <v>0</v>
      </c>
      <c r="DI16" s="314">
        <f>IF($BI16&lt;&gt;"",IF('Capacity summary'!$D$14="Yes",IF(COUNTBLANK('Capacity summary'!$H135:$BG135)&lt;52,IF('Capacity summary'!BF135&lt;&gt;"",IF(LOWER('Capacity summary'!BF135)="x",$BI16*BF16,VALUE('Capacity summary'!BF135)),0),BF16*$BI16),BF16*$BI16),0)</f>
        <v>0</v>
      </c>
      <c r="DJ16" s="314">
        <f>IF($BI16&lt;&gt;"",IF('Capacity summary'!$D$14="Yes",IF(COUNTBLANK('Capacity summary'!$H135:$BG135)&lt;52,IF('Capacity summary'!BG135&lt;&gt;"",IF(LOWER('Capacity summary'!BG135)="x",$BI16*BG16,VALUE('Capacity summary'!BG135)),0),BG16*$BI16),BG16*$BI16),0)</f>
        <v>0</v>
      </c>
      <c r="DK16" s="137">
        <f t="shared" si="2"/>
        <v>0</v>
      </c>
      <c r="DL16" s="314" t="str">
        <f>Capacity!H28</f>
        <v/>
      </c>
      <c r="DP16" s="5"/>
    </row>
    <row r="17" spans="2:120" x14ac:dyDescent="0.25">
      <c r="B17" s="67"/>
      <c r="C17" s="67" t="str">
        <f>ROW(A13)&amp;". "&amp;Capacity!B29</f>
        <v xml:space="preserve">13.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IF(ROW(C13)&lt;=Capacity!$A$16,IF('Capacity summary'!$D$14="No",SUM(H17:BG17),'Capacity summary'!$E136),0)</f>
        <v>0</v>
      </c>
      <c r="BI17" s="5" t="str">
        <f>IF(BH17&gt;0,IF(BH17&lt;Capacity!E29,Capacity!F29,Capacity!H29/'Capacity calculation (hide)'!BH17),"")</f>
        <v/>
      </c>
      <c r="BK17" s="314">
        <f>IF($BI17&lt;&gt;"",IF('Capacity summary'!$D$14="Yes",IF(COUNTBLANK('Capacity summary'!$H136:$BG136)&lt;52,IF('Capacity summary'!H136&lt;&gt;"",IF(LOWER('Capacity summary'!H136)="x",$BI17*H17,VALUE('Capacity summary'!H136)),0),H17*$BI17),H17*$BI17),0)</f>
        <v>0</v>
      </c>
      <c r="BL17" s="314">
        <f>IF($BI17&lt;&gt;"",IF('Capacity summary'!$D$14="Yes",IF(COUNTBLANK('Capacity summary'!$H136:$BG136)&lt;52,IF('Capacity summary'!I136&lt;&gt;"",IF(LOWER('Capacity summary'!I136)="x",$BI17*I17,VALUE('Capacity summary'!I136)),0),I17*$BI17),I17*$BI17),0)</f>
        <v>0</v>
      </c>
      <c r="BM17" s="314">
        <f>IF($BI17&lt;&gt;"",IF('Capacity summary'!$D$14="Yes",IF(COUNTBLANK('Capacity summary'!$H136:$BG136)&lt;52,IF('Capacity summary'!J136&lt;&gt;"",IF(LOWER('Capacity summary'!J136)="x",$BI17*J17,VALUE('Capacity summary'!J136)),0),J17*$BI17),J17*$BI17),0)</f>
        <v>0</v>
      </c>
      <c r="BN17" s="314">
        <f>IF($BI17&lt;&gt;"",IF('Capacity summary'!$D$14="Yes",IF(COUNTBLANK('Capacity summary'!$H136:$BG136)&lt;52,IF('Capacity summary'!K136&lt;&gt;"",IF(LOWER('Capacity summary'!K136)="x",$BI17*K17,VALUE('Capacity summary'!K136)),0),K17*$BI17),K17*$BI17),0)</f>
        <v>0</v>
      </c>
      <c r="BO17" s="314">
        <f>IF($BI17&lt;&gt;"",IF('Capacity summary'!$D$14="Yes",IF(COUNTBLANK('Capacity summary'!$H136:$BG136)&lt;52,IF('Capacity summary'!L136&lt;&gt;"",IF(LOWER('Capacity summary'!L136)="x",$BI17*L17,VALUE('Capacity summary'!L136)),0),L17*$BI17),L17*$BI17),0)</f>
        <v>0</v>
      </c>
      <c r="BP17" s="314">
        <f>IF($BI17&lt;&gt;"",IF('Capacity summary'!$D$14="Yes",IF(COUNTBLANK('Capacity summary'!$H136:$BG136)&lt;52,IF('Capacity summary'!M136&lt;&gt;"",IF(LOWER('Capacity summary'!M136)="x",$BI17*M17,VALUE('Capacity summary'!M136)),0),M17*$BI17),M17*$BI17),0)</f>
        <v>0</v>
      </c>
      <c r="BQ17" s="314">
        <f>IF($BI17&lt;&gt;"",IF('Capacity summary'!$D$14="Yes",IF(COUNTBLANK('Capacity summary'!$H136:$BG136)&lt;52,IF('Capacity summary'!N136&lt;&gt;"",IF(LOWER('Capacity summary'!N136)="x",$BI17*N17,VALUE('Capacity summary'!N136)),0),N17*$BI17),N17*$BI17),0)</f>
        <v>0</v>
      </c>
      <c r="BR17" s="314">
        <f>IF($BI17&lt;&gt;"",IF('Capacity summary'!$D$14="Yes",IF(COUNTBLANK('Capacity summary'!$H136:$BG136)&lt;52,IF('Capacity summary'!O136&lt;&gt;"",IF(LOWER('Capacity summary'!O136)="x",$BI17*O17,VALUE('Capacity summary'!O136)),0),O17*$BI17),O17*$BI17),0)</f>
        <v>0</v>
      </c>
      <c r="BS17" s="314">
        <f>IF($BI17&lt;&gt;"",IF('Capacity summary'!$D$14="Yes",IF(COUNTBLANK('Capacity summary'!$H136:$BG136)&lt;52,IF('Capacity summary'!P136&lt;&gt;"",IF(LOWER('Capacity summary'!P136)="x",$BI17*P17,VALUE('Capacity summary'!P136)),0),P17*$BI17),P17*$BI17),0)</f>
        <v>0</v>
      </c>
      <c r="BT17" s="314">
        <f>IF($BI17&lt;&gt;"",IF('Capacity summary'!$D$14="Yes",IF(COUNTBLANK('Capacity summary'!$H136:$BG136)&lt;52,IF('Capacity summary'!Q136&lt;&gt;"",IF(LOWER('Capacity summary'!Q136)="x",$BI17*Q17,VALUE('Capacity summary'!Q136)),0),Q17*$BI17),Q17*$BI17),0)</f>
        <v>0</v>
      </c>
      <c r="BU17" s="314">
        <f>IF($BI17&lt;&gt;"",IF('Capacity summary'!$D$14="Yes",IF(COUNTBLANK('Capacity summary'!$H136:$BG136)&lt;52,IF('Capacity summary'!R136&lt;&gt;"",IF(LOWER('Capacity summary'!R136)="x",$BI17*R17,VALUE('Capacity summary'!R136)),0),R17*$BI17),R17*$BI17),0)</f>
        <v>0</v>
      </c>
      <c r="BV17" s="314">
        <f>IF($BI17&lt;&gt;"",IF('Capacity summary'!$D$14="Yes",IF(COUNTBLANK('Capacity summary'!$H136:$BG136)&lt;52,IF('Capacity summary'!S136&lt;&gt;"",IF(LOWER('Capacity summary'!S136)="x",$BI17*S17,VALUE('Capacity summary'!S136)),0),S17*$BI17),S17*$BI17),0)</f>
        <v>0</v>
      </c>
      <c r="BW17" s="314">
        <f>IF($BI17&lt;&gt;"",IF('Capacity summary'!$D$14="Yes",IF(COUNTBLANK('Capacity summary'!$H136:$BG136)&lt;52,IF('Capacity summary'!T136&lt;&gt;"",IF(LOWER('Capacity summary'!T136)="x",$BI17*T17,VALUE('Capacity summary'!T136)),0),T17*$BI17),T17*$BI17),0)</f>
        <v>0</v>
      </c>
      <c r="BX17" s="314">
        <f>IF($BI17&lt;&gt;"",IF('Capacity summary'!$D$14="Yes",IF(COUNTBLANK('Capacity summary'!$H136:$BG136)&lt;52,IF('Capacity summary'!U136&lt;&gt;"",IF(LOWER('Capacity summary'!U136)="x",$BI17*U17,VALUE('Capacity summary'!U136)),0),U17*$BI17),U17*$BI17),0)</f>
        <v>0</v>
      </c>
      <c r="BY17" s="314">
        <f>IF($BI17&lt;&gt;"",IF('Capacity summary'!$D$14="Yes",IF(COUNTBLANK('Capacity summary'!$H136:$BG136)&lt;52,IF('Capacity summary'!V136&lt;&gt;"",IF(LOWER('Capacity summary'!V136)="x",$BI17*V17,VALUE('Capacity summary'!V136)),0),V17*$BI17),V17*$BI17),0)</f>
        <v>0</v>
      </c>
      <c r="BZ17" s="314">
        <f>IF($BI17&lt;&gt;"",IF('Capacity summary'!$D$14="Yes",IF(COUNTBLANK('Capacity summary'!$H136:$BG136)&lt;52,IF('Capacity summary'!W136&lt;&gt;"",IF(LOWER('Capacity summary'!W136)="x",$BI17*W17,VALUE('Capacity summary'!W136)),0),W17*$BI17),W17*$BI17),0)</f>
        <v>0</v>
      </c>
      <c r="CA17" s="314">
        <f>IF($BI17&lt;&gt;"",IF('Capacity summary'!$D$14="Yes",IF(COUNTBLANK('Capacity summary'!$H136:$BG136)&lt;52,IF('Capacity summary'!X136&lt;&gt;"",IF(LOWER('Capacity summary'!X136)="x",$BI17*X17,VALUE('Capacity summary'!X136)),0),X17*$BI17),X17*$BI17),0)</f>
        <v>0</v>
      </c>
      <c r="CB17" s="314">
        <f>IF($BI17&lt;&gt;"",IF('Capacity summary'!$D$14="Yes",IF(COUNTBLANK('Capacity summary'!$H136:$BG136)&lt;52,IF('Capacity summary'!Y136&lt;&gt;"",IF(LOWER('Capacity summary'!Y136)="x",$BI17*Y17,VALUE('Capacity summary'!Y136)),0),Y17*$BI17),Y17*$BI17),0)</f>
        <v>0</v>
      </c>
      <c r="CC17" s="314">
        <f>IF($BI17&lt;&gt;"",IF('Capacity summary'!$D$14="Yes",IF(COUNTBLANK('Capacity summary'!$H136:$BG136)&lt;52,IF('Capacity summary'!Z136&lt;&gt;"",IF(LOWER('Capacity summary'!Z136)="x",$BI17*Z17,VALUE('Capacity summary'!Z136)),0),Z17*$BI17),Z17*$BI17),0)</f>
        <v>0</v>
      </c>
      <c r="CD17" s="314">
        <f>IF($BI17&lt;&gt;"",IF('Capacity summary'!$D$14="Yes",IF(COUNTBLANK('Capacity summary'!$H136:$BG136)&lt;52,IF('Capacity summary'!AA136&lt;&gt;"",IF(LOWER('Capacity summary'!AA136)="x",$BI17*AA17,VALUE('Capacity summary'!AA136)),0),AA17*$BI17),AA17*$BI17),0)</f>
        <v>0</v>
      </c>
      <c r="CE17" s="314">
        <f>IF($BI17&lt;&gt;"",IF('Capacity summary'!$D$14="Yes",IF(COUNTBLANK('Capacity summary'!$H136:$BG136)&lt;52,IF('Capacity summary'!AB136&lt;&gt;"",IF(LOWER('Capacity summary'!AB136)="x",$BI17*AB17,VALUE('Capacity summary'!AB136)),0),AB17*$BI17),AB17*$BI17),0)</f>
        <v>0</v>
      </c>
      <c r="CF17" s="314">
        <f>IF($BI17&lt;&gt;"",IF('Capacity summary'!$D$14="Yes",IF(COUNTBLANK('Capacity summary'!$H136:$BG136)&lt;52,IF('Capacity summary'!AC136&lt;&gt;"",IF(LOWER('Capacity summary'!AC136)="x",$BI17*AC17,VALUE('Capacity summary'!AC136)),0),AC17*$BI17),AC17*$BI17),0)</f>
        <v>0</v>
      </c>
      <c r="CG17" s="314">
        <f>IF($BI17&lt;&gt;"",IF('Capacity summary'!$D$14="Yes",IF(COUNTBLANK('Capacity summary'!$H136:$BG136)&lt;52,IF('Capacity summary'!AD136&lt;&gt;"",IF(LOWER('Capacity summary'!AD136)="x",$BI17*AD17,VALUE('Capacity summary'!AD136)),0),AD17*$BI17),AD17*$BI17),0)</f>
        <v>0</v>
      </c>
      <c r="CH17" s="314">
        <f>IF($BI17&lt;&gt;"",IF('Capacity summary'!$D$14="Yes",IF(COUNTBLANK('Capacity summary'!$H136:$BG136)&lt;52,IF('Capacity summary'!AE136&lt;&gt;"",IF(LOWER('Capacity summary'!AE136)="x",$BI17*AE17,VALUE('Capacity summary'!AE136)),0),AE17*$BI17),AE17*$BI17),0)</f>
        <v>0</v>
      </c>
      <c r="CI17" s="314">
        <f>IF($BI17&lt;&gt;"",IF('Capacity summary'!$D$14="Yes",IF(COUNTBLANK('Capacity summary'!$H136:$BG136)&lt;52,IF('Capacity summary'!AF136&lt;&gt;"",IF(LOWER('Capacity summary'!AF136)="x",$BI17*AF17,VALUE('Capacity summary'!AF136)),0),AF17*$BI17),AF17*$BI17),0)</f>
        <v>0</v>
      </c>
      <c r="CJ17" s="314">
        <f>IF($BI17&lt;&gt;"",IF('Capacity summary'!$D$14="Yes",IF(COUNTBLANK('Capacity summary'!$H136:$BG136)&lt;52,IF('Capacity summary'!AG136&lt;&gt;"",IF(LOWER('Capacity summary'!AG136)="x",$BI17*AG17,VALUE('Capacity summary'!AG136)),0),AG17*$BI17),AG17*$BI17),0)</f>
        <v>0</v>
      </c>
      <c r="CK17" s="314">
        <f>IF($BI17&lt;&gt;"",IF('Capacity summary'!$D$14="Yes",IF(COUNTBLANK('Capacity summary'!$H136:$BG136)&lt;52,IF('Capacity summary'!AH136&lt;&gt;"",IF(LOWER('Capacity summary'!AH136)="x",$BI17*AH17,VALUE('Capacity summary'!AH136)),0),AH17*$BI17),AH17*$BI17),0)</f>
        <v>0</v>
      </c>
      <c r="CL17" s="314">
        <f>IF($BI17&lt;&gt;"",IF('Capacity summary'!$D$14="Yes",IF(COUNTBLANK('Capacity summary'!$H136:$BG136)&lt;52,IF('Capacity summary'!AI136&lt;&gt;"",IF(LOWER('Capacity summary'!AI136)="x",$BI17*AI17,VALUE('Capacity summary'!AI136)),0),AI17*$BI17),AI17*$BI17),0)</f>
        <v>0</v>
      </c>
      <c r="CM17" s="314">
        <f>IF($BI17&lt;&gt;"",IF('Capacity summary'!$D$14="Yes",IF(COUNTBLANK('Capacity summary'!$H136:$BG136)&lt;52,IF('Capacity summary'!AJ136&lt;&gt;"",IF(LOWER('Capacity summary'!AJ136)="x",$BI17*AJ17,VALUE('Capacity summary'!AJ136)),0),AJ17*$BI17),AJ17*$BI17),0)</f>
        <v>0</v>
      </c>
      <c r="CN17" s="314">
        <f>IF($BI17&lt;&gt;"",IF('Capacity summary'!$D$14="Yes",IF(COUNTBLANK('Capacity summary'!$H136:$BG136)&lt;52,IF('Capacity summary'!AK136&lt;&gt;"",IF(LOWER('Capacity summary'!AK136)="x",$BI17*AK17,VALUE('Capacity summary'!AK136)),0),AK17*$BI17),AK17*$BI17),0)</f>
        <v>0</v>
      </c>
      <c r="CO17" s="314">
        <f>IF($BI17&lt;&gt;"",IF('Capacity summary'!$D$14="Yes",IF(COUNTBLANK('Capacity summary'!$H136:$BG136)&lt;52,IF('Capacity summary'!AL136&lt;&gt;"",IF(LOWER('Capacity summary'!AL136)="x",$BI17*AL17,VALUE('Capacity summary'!AL136)),0),AL17*$BI17),AL17*$BI17),0)</f>
        <v>0</v>
      </c>
      <c r="CP17" s="314">
        <f>IF($BI17&lt;&gt;"",IF('Capacity summary'!$D$14="Yes",IF(COUNTBLANK('Capacity summary'!$H136:$BG136)&lt;52,IF('Capacity summary'!AM136&lt;&gt;"",IF(LOWER('Capacity summary'!AM136)="x",$BI17*AM17,VALUE('Capacity summary'!AM136)),0),AM17*$BI17),AM17*$BI17),0)</f>
        <v>0</v>
      </c>
      <c r="CQ17" s="314">
        <f>IF($BI17&lt;&gt;"",IF('Capacity summary'!$D$14="Yes",IF(COUNTBLANK('Capacity summary'!$H136:$BG136)&lt;52,IF('Capacity summary'!AN136&lt;&gt;"",IF(LOWER('Capacity summary'!AN136)="x",$BI17*AN17,VALUE('Capacity summary'!AN136)),0),AN17*$BI17),AN17*$BI17),0)</f>
        <v>0</v>
      </c>
      <c r="CR17" s="314">
        <f>IF($BI17&lt;&gt;"",IF('Capacity summary'!$D$14="Yes",IF(COUNTBLANK('Capacity summary'!$H136:$BG136)&lt;52,IF('Capacity summary'!AO136&lt;&gt;"",IF(LOWER('Capacity summary'!AO136)="x",$BI17*AO17,VALUE('Capacity summary'!AO136)),0),AO17*$BI17),AO17*$BI17),0)</f>
        <v>0</v>
      </c>
      <c r="CS17" s="314">
        <f>IF($BI17&lt;&gt;"",IF('Capacity summary'!$D$14="Yes",IF(COUNTBLANK('Capacity summary'!$H136:$BG136)&lt;52,IF('Capacity summary'!AP136&lt;&gt;"",IF(LOWER('Capacity summary'!AP136)="x",$BI17*AP17,VALUE('Capacity summary'!AP136)),0),AP17*$BI17),AP17*$BI17),0)</f>
        <v>0</v>
      </c>
      <c r="CT17" s="314">
        <f>IF($BI17&lt;&gt;"",IF('Capacity summary'!$D$14="Yes",IF(COUNTBLANK('Capacity summary'!$H136:$BG136)&lt;52,IF('Capacity summary'!AQ136&lt;&gt;"",IF(LOWER('Capacity summary'!AQ136)="x",$BI17*AQ17,VALUE('Capacity summary'!AQ136)),0),AQ17*$BI17),AQ17*$BI17),0)</f>
        <v>0</v>
      </c>
      <c r="CU17" s="314">
        <f>IF($BI17&lt;&gt;"",IF('Capacity summary'!$D$14="Yes",IF(COUNTBLANK('Capacity summary'!$H136:$BG136)&lt;52,IF('Capacity summary'!AR136&lt;&gt;"",IF(LOWER('Capacity summary'!AR136)="x",$BI17*AR17,VALUE('Capacity summary'!AR136)),0),AR17*$BI17),AR17*$BI17),0)</f>
        <v>0</v>
      </c>
      <c r="CV17" s="314">
        <f>IF($BI17&lt;&gt;"",IF('Capacity summary'!$D$14="Yes",IF(COUNTBLANK('Capacity summary'!$H136:$BG136)&lt;52,IF('Capacity summary'!AS136&lt;&gt;"",IF(LOWER('Capacity summary'!AS136)="x",$BI17*AS17,VALUE('Capacity summary'!AS136)),0),AS17*$BI17),AS17*$BI17),0)</f>
        <v>0</v>
      </c>
      <c r="CW17" s="314">
        <f>IF($BI17&lt;&gt;"",IF('Capacity summary'!$D$14="Yes",IF(COUNTBLANK('Capacity summary'!$H136:$BG136)&lt;52,IF('Capacity summary'!AT136&lt;&gt;"",IF(LOWER('Capacity summary'!AT136)="x",$BI17*AT17,VALUE('Capacity summary'!AT136)),0),AT17*$BI17),AT17*$BI17),0)</f>
        <v>0</v>
      </c>
      <c r="CX17" s="314">
        <f>IF($BI17&lt;&gt;"",IF('Capacity summary'!$D$14="Yes",IF(COUNTBLANK('Capacity summary'!$H136:$BG136)&lt;52,IF('Capacity summary'!AU136&lt;&gt;"",IF(LOWER('Capacity summary'!AU136)="x",$BI17*AU17,VALUE('Capacity summary'!AU136)),0),AU17*$BI17),AU17*$BI17),0)</f>
        <v>0</v>
      </c>
      <c r="CY17" s="314">
        <f>IF($BI17&lt;&gt;"",IF('Capacity summary'!$D$14="Yes",IF(COUNTBLANK('Capacity summary'!$H136:$BG136)&lt;52,IF('Capacity summary'!AV136&lt;&gt;"",IF(LOWER('Capacity summary'!AV136)="x",$BI17*AV17,VALUE('Capacity summary'!AV136)),0),AV17*$BI17),AV17*$BI17),0)</f>
        <v>0</v>
      </c>
      <c r="CZ17" s="314">
        <f>IF($BI17&lt;&gt;"",IF('Capacity summary'!$D$14="Yes",IF(COUNTBLANK('Capacity summary'!$H136:$BG136)&lt;52,IF('Capacity summary'!AW136&lt;&gt;"",IF(LOWER('Capacity summary'!AW136)="x",$BI17*AW17,VALUE('Capacity summary'!AW136)),0),AW17*$BI17),AW17*$BI17),0)</f>
        <v>0</v>
      </c>
      <c r="DA17" s="314">
        <f>IF($BI17&lt;&gt;"",IF('Capacity summary'!$D$14="Yes",IF(COUNTBLANK('Capacity summary'!$H136:$BG136)&lt;52,IF('Capacity summary'!AX136&lt;&gt;"",IF(LOWER('Capacity summary'!AX136)="x",$BI17*AX17,VALUE('Capacity summary'!AX136)),0),AX17*$BI17),AX17*$BI17),0)</f>
        <v>0</v>
      </c>
      <c r="DB17" s="314">
        <f>IF($BI17&lt;&gt;"",IF('Capacity summary'!$D$14="Yes",IF(COUNTBLANK('Capacity summary'!$H136:$BG136)&lt;52,IF('Capacity summary'!AY136&lt;&gt;"",IF(LOWER('Capacity summary'!AY136)="x",$BI17*AY17,VALUE('Capacity summary'!AY136)),0),AY17*$BI17),AY17*$BI17),0)</f>
        <v>0</v>
      </c>
      <c r="DC17" s="314">
        <f>IF($BI17&lt;&gt;"",IF('Capacity summary'!$D$14="Yes",IF(COUNTBLANK('Capacity summary'!$H136:$BG136)&lt;52,IF('Capacity summary'!AZ136&lt;&gt;"",IF(LOWER('Capacity summary'!AZ136)="x",$BI17*AZ17,VALUE('Capacity summary'!AZ136)),0),AZ17*$BI17),AZ17*$BI17),0)</f>
        <v>0</v>
      </c>
      <c r="DD17" s="314">
        <f>IF($BI17&lt;&gt;"",IF('Capacity summary'!$D$14="Yes",IF(COUNTBLANK('Capacity summary'!$H136:$BG136)&lt;52,IF('Capacity summary'!BA136&lt;&gt;"",IF(LOWER('Capacity summary'!BA136)="x",$BI17*BA17,VALUE('Capacity summary'!BA136)),0),BA17*$BI17),BA17*$BI17),0)</f>
        <v>0</v>
      </c>
      <c r="DE17" s="314">
        <f>IF($BI17&lt;&gt;"",IF('Capacity summary'!$D$14="Yes",IF(COUNTBLANK('Capacity summary'!$H136:$BG136)&lt;52,IF('Capacity summary'!BB136&lt;&gt;"",IF(LOWER('Capacity summary'!BB136)="x",$BI17*BB17,VALUE('Capacity summary'!BB136)),0),BB17*$BI17),BB17*$BI17),0)</f>
        <v>0</v>
      </c>
      <c r="DF17" s="314">
        <f>IF($BI17&lt;&gt;"",IF('Capacity summary'!$D$14="Yes",IF(COUNTBLANK('Capacity summary'!$H136:$BG136)&lt;52,IF('Capacity summary'!BC136&lt;&gt;"",IF(LOWER('Capacity summary'!BC136)="x",$BI17*BC17,VALUE('Capacity summary'!BC136)),0),BC17*$BI17),BC17*$BI17),0)</f>
        <v>0</v>
      </c>
      <c r="DG17" s="314">
        <f>IF($BI17&lt;&gt;"",IF('Capacity summary'!$D$14="Yes",IF(COUNTBLANK('Capacity summary'!$H136:$BG136)&lt;52,IF('Capacity summary'!BD136&lt;&gt;"",IF(LOWER('Capacity summary'!BD136)="x",$BI17*BD17,VALUE('Capacity summary'!BD136)),0),BD17*$BI17),BD17*$BI17),0)</f>
        <v>0</v>
      </c>
      <c r="DH17" s="314">
        <f>IF($BI17&lt;&gt;"",IF('Capacity summary'!$D$14="Yes",IF(COUNTBLANK('Capacity summary'!$H136:$BG136)&lt;52,IF('Capacity summary'!BE136&lt;&gt;"",IF(LOWER('Capacity summary'!BE136)="x",$BI17*BE17,VALUE('Capacity summary'!BE136)),0),BE17*$BI17),BE17*$BI17),0)</f>
        <v>0</v>
      </c>
      <c r="DI17" s="314">
        <f>IF($BI17&lt;&gt;"",IF('Capacity summary'!$D$14="Yes",IF(COUNTBLANK('Capacity summary'!$H136:$BG136)&lt;52,IF('Capacity summary'!BF136&lt;&gt;"",IF(LOWER('Capacity summary'!BF136)="x",$BI17*BF17,VALUE('Capacity summary'!BF136)),0),BF17*$BI17),BF17*$BI17),0)</f>
        <v>0</v>
      </c>
      <c r="DJ17" s="314">
        <f>IF($BI17&lt;&gt;"",IF('Capacity summary'!$D$14="Yes",IF(COUNTBLANK('Capacity summary'!$H136:$BG136)&lt;52,IF('Capacity summary'!BG136&lt;&gt;"",IF(LOWER('Capacity summary'!BG136)="x",$BI17*BG17,VALUE('Capacity summary'!BG136)),0),BG17*$BI17),BG17*$BI17),0)</f>
        <v>0</v>
      </c>
      <c r="DK17" s="137">
        <f t="shared" si="2"/>
        <v>0</v>
      </c>
      <c r="DL17" s="314" t="str">
        <f>Capacity!H29</f>
        <v/>
      </c>
      <c r="DP17" s="5"/>
    </row>
    <row r="18" spans="2:120" x14ac:dyDescent="0.25">
      <c r="B18" s="67"/>
      <c r="C18" s="67" t="str">
        <f>ROW(A14)&amp;". "&amp;Capacity!B30</f>
        <v xml:space="preserve">14.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IF(ROW(C14)&lt;=Capacity!$A$16,IF('Capacity summary'!$D$14="No",SUM(H18:BG18),'Capacity summary'!$E137),0)</f>
        <v>0</v>
      </c>
      <c r="BI18" s="5" t="str">
        <f>IF(BH18&gt;0,IF(BH18&lt;Capacity!E30,Capacity!F30,Capacity!H30/'Capacity calculation (hide)'!BH18),"")</f>
        <v/>
      </c>
      <c r="BK18" s="314">
        <f>IF($BI18&lt;&gt;"",IF('Capacity summary'!$D$14="Yes",IF(COUNTBLANK('Capacity summary'!$H137:$BG137)&lt;52,IF('Capacity summary'!H137&lt;&gt;"",IF(LOWER('Capacity summary'!H137)="x",$BI18*H18,VALUE('Capacity summary'!H137)),0),H18*$BI18),H18*$BI18),0)</f>
        <v>0</v>
      </c>
      <c r="BL18" s="314">
        <f>IF($BI18&lt;&gt;"",IF('Capacity summary'!$D$14="Yes",IF(COUNTBLANK('Capacity summary'!$H137:$BG137)&lt;52,IF('Capacity summary'!I137&lt;&gt;"",IF(LOWER('Capacity summary'!I137)="x",$BI18*I18,VALUE('Capacity summary'!I137)),0),I18*$BI18),I18*$BI18),0)</f>
        <v>0</v>
      </c>
      <c r="BM18" s="314">
        <f>IF($BI18&lt;&gt;"",IF('Capacity summary'!$D$14="Yes",IF(COUNTBLANK('Capacity summary'!$H137:$BG137)&lt;52,IF('Capacity summary'!J137&lt;&gt;"",IF(LOWER('Capacity summary'!J137)="x",$BI18*J18,VALUE('Capacity summary'!J137)),0),J18*$BI18),J18*$BI18),0)</f>
        <v>0</v>
      </c>
      <c r="BN18" s="314">
        <f>IF($BI18&lt;&gt;"",IF('Capacity summary'!$D$14="Yes",IF(COUNTBLANK('Capacity summary'!$H137:$BG137)&lt;52,IF('Capacity summary'!K137&lt;&gt;"",IF(LOWER('Capacity summary'!K137)="x",$BI18*K18,VALUE('Capacity summary'!K137)),0),K18*$BI18),K18*$BI18),0)</f>
        <v>0</v>
      </c>
      <c r="BO18" s="314">
        <f>IF($BI18&lt;&gt;"",IF('Capacity summary'!$D$14="Yes",IF(COUNTBLANK('Capacity summary'!$H137:$BG137)&lt;52,IF('Capacity summary'!L137&lt;&gt;"",IF(LOWER('Capacity summary'!L137)="x",$BI18*L18,VALUE('Capacity summary'!L137)),0),L18*$BI18),L18*$BI18),0)</f>
        <v>0</v>
      </c>
      <c r="BP18" s="314">
        <f>IF($BI18&lt;&gt;"",IF('Capacity summary'!$D$14="Yes",IF(COUNTBLANK('Capacity summary'!$H137:$BG137)&lt;52,IF('Capacity summary'!M137&lt;&gt;"",IF(LOWER('Capacity summary'!M137)="x",$BI18*M18,VALUE('Capacity summary'!M137)),0),M18*$BI18),M18*$BI18),0)</f>
        <v>0</v>
      </c>
      <c r="BQ18" s="314">
        <f>IF($BI18&lt;&gt;"",IF('Capacity summary'!$D$14="Yes",IF(COUNTBLANK('Capacity summary'!$H137:$BG137)&lt;52,IF('Capacity summary'!N137&lt;&gt;"",IF(LOWER('Capacity summary'!N137)="x",$BI18*N18,VALUE('Capacity summary'!N137)),0),N18*$BI18),N18*$BI18),0)</f>
        <v>0</v>
      </c>
      <c r="BR18" s="314">
        <f>IF($BI18&lt;&gt;"",IF('Capacity summary'!$D$14="Yes",IF(COUNTBLANK('Capacity summary'!$H137:$BG137)&lt;52,IF('Capacity summary'!O137&lt;&gt;"",IF(LOWER('Capacity summary'!O137)="x",$BI18*O18,VALUE('Capacity summary'!O137)),0),O18*$BI18),O18*$BI18),0)</f>
        <v>0</v>
      </c>
      <c r="BS18" s="314">
        <f>IF($BI18&lt;&gt;"",IF('Capacity summary'!$D$14="Yes",IF(COUNTBLANK('Capacity summary'!$H137:$BG137)&lt;52,IF('Capacity summary'!P137&lt;&gt;"",IF(LOWER('Capacity summary'!P137)="x",$BI18*P18,VALUE('Capacity summary'!P137)),0),P18*$BI18),P18*$BI18),0)</f>
        <v>0</v>
      </c>
      <c r="BT18" s="314">
        <f>IF($BI18&lt;&gt;"",IF('Capacity summary'!$D$14="Yes",IF(COUNTBLANK('Capacity summary'!$H137:$BG137)&lt;52,IF('Capacity summary'!Q137&lt;&gt;"",IF(LOWER('Capacity summary'!Q137)="x",$BI18*Q18,VALUE('Capacity summary'!Q137)),0),Q18*$BI18),Q18*$BI18),0)</f>
        <v>0</v>
      </c>
      <c r="BU18" s="314">
        <f>IF($BI18&lt;&gt;"",IF('Capacity summary'!$D$14="Yes",IF(COUNTBLANK('Capacity summary'!$H137:$BG137)&lt;52,IF('Capacity summary'!R137&lt;&gt;"",IF(LOWER('Capacity summary'!R137)="x",$BI18*R18,VALUE('Capacity summary'!R137)),0),R18*$BI18),R18*$BI18),0)</f>
        <v>0</v>
      </c>
      <c r="BV18" s="314">
        <f>IF($BI18&lt;&gt;"",IF('Capacity summary'!$D$14="Yes",IF(COUNTBLANK('Capacity summary'!$H137:$BG137)&lt;52,IF('Capacity summary'!S137&lt;&gt;"",IF(LOWER('Capacity summary'!S137)="x",$BI18*S18,VALUE('Capacity summary'!S137)),0),S18*$BI18),S18*$BI18),0)</f>
        <v>0</v>
      </c>
      <c r="BW18" s="314">
        <f>IF($BI18&lt;&gt;"",IF('Capacity summary'!$D$14="Yes",IF(COUNTBLANK('Capacity summary'!$H137:$BG137)&lt;52,IF('Capacity summary'!T137&lt;&gt;"",IF(LOWER('Capacity summary'!T137)="x",$BI18*T18,VALUE('Capacity summary'!T137)),0),T18*$BI18),T18*$BI18),0)</f>
        <v>0</v>
      </c>
      <c r="BX18" s="314">
        <f>IF($BI18&lt;&gt;"",IF('Capacity summary'!$D$14="Yes",IF(COUNTBLANK('Capacity summary'!$H137:$BG137)&lt;52,IF('Capacity summary'!U137&lt;&gt;"",IF(LOWER('Capacity summary'!U137)="x",$BI18*U18,VALUE('Capacity summary'!U137)),0),U18*$BI18),U18*$BI18),0)</f>
        <v>0</v>
      </c>
      <c r="BY18" s="314">
        <f>IF($BI18&lt;&gt;"",IF('Capacity summary'!$D$14="Yes",IF(COUNTBLANK('Capacity summary'!$H137:$BG137)&lt;52,IF('Capacity summary'!V137&lt;&gt;"",IF(LOWER('Capacity summary'!V137)="x",$BI18*V18,VALUE('Capacity summary'!V137)),0),V18*$BI18),V18*$BI18),0)</f>
        <v>0</v>
      </c>
      <c r="BZ18" s="314">
        <f>IF($BI18&lt;&gt;"",IF('Capacity summary'!$D$14="Yes",IF(COUNTBLANK('Capacity summary'!$H137:$BG137)&lt;52,IF('Capacity summary'!W137&lt;&gt;"",IF(LOWER('Capacity summary'!W137)="x",$BI18*W18,VALUE('Capacity summary'!W137)),0),W18*$BI18),W18*$BI18),0)</f>
        <v>0</v>
      </c>
      <c r="CA18" s="314">
        <f>IF($BI18&lt;&gt;"",IF('Capacity summary'!$D$14="Yes",IF(COUNTBLANK('Capacity summary'!$H137:$BG137)&lt;52,IF('Capacity summary'!X137&lt;&gt;"",IF(LOWER('Capacity summary'!X137)="x",$BI18*X18,VALUE('Capacity summary'!X137)),0),X18*$BI18),X18*$BI18),0)</f>
        <v>0</v>
      </c>
      <c r="CB18" s="314">
        <f>IF($BI18&lt;&gt;"",IF('Capacity summary'!$D$14="Yes",IF(COUNTBLANK('Capacity summary'!$H137:$BG137)&lt;52,IF('Capacity summary'!Y137&lt;&gt;"",IF(LOWER('Capacity summary'!Y137)="x",$BI18*Y18,VALUE('Capacity summary'!Y137)),0),Y18*$BI18),Y18*$BI18),0)</f>
        <v>0</v>
      </c>
      <c r="CC18" s="314">
        <f>IF($BI18&lt;&gt;"",IF('Capacity summary'!$D$14="Yes",IF(COUNTBLANK('Capacity summary'!$H137:$BG137)&lt;52,IF('Capacity summary'!Z137&lt;&gt;"",IF(LOWER('Capacity summary'!Z137)="x",$BI18*Z18,VALUE('Capacity summary'!Z137)),0),Z18*$BI18),Z18*$BI18),0)</f>
        <v>0</v>
      </c>
      <c r="CD18" s="314">
        <f>IF($BI18&lt;&gt;"",IF('Capacity summary'!$D$14="Yes",IF(COUNTBLANK('Capacity summary'!$H137:$BG137)&lt;52,IF('Capacity summary'!AA137&lt;&gt;"",IF(LOWER('Capacity summary'!AA137)="x",$BI18*AA18,VALUE('Capacity summary'!AA137)),0),AA18*$BI18),AA18*$BI18),0)</f>
        <v>0</v>
      </c>
      <c r="CE18" s="314">
        <f>IF($BI18&lt;&gt;"",IF('Capacity summary'!$D$14="Yes",IF(COUNTBLANK('Capacity summary'!$H137:$BG137)&lt;52,IF('Capacity summary'!AB137&lt;&gt;"",IF(LOWER('Capacity summary'!AB137)="x",$BI18*AB18,VALUE('Capacity summary'!AB137)),0),AB18*$BI18),AB18*$BI18),0)</f>
        <v>0</v>
      </c>
      <c r="CF18" s="314">
        <f>IF($BI18&lt;&gt;"",IF('Capacity summary'!$D$14="Yes",IF(COUNTBLANK('Capacity summary'!$H137:$BG137)&lt;52,IF('Capacity summary'!AC137&lt;&gt;"",IF(LOWER('Capacity summary'!AC137)="x",$BI18*AC18,VALUE('Capacity summary'!AC137)),0),AC18*$BI18),AC18*$BI18),0)</f>
        <v>0</v>
      </c>
      <c r="CG18" s="314">
        <f>IF($BI18&lt;&gt;"",IF('Capacity summary'!$D$14="Yes",IF(COUNTBLANK('Capacity summary'!$H137:$BG137)&lt;52,IF('Capacity summary'!AD137&lt;&gt;"",IF(LOWER('Capacity summary'!AD137)="x",$BI18*AD18,VALUE('Capacity summary'!AD137)),0),AD18*$BI18),AD18*$BI18),0)</f>
        <v>0</v>
      </c>
      <c r="CH18" s="314">
        <f>IF($BI18&lt;&gt;"",IF('Capacity summary'!$D$14="Yes",IF(COUNTBLANK('Capacity summary'!$H137:$BG137)&lt;52,IF('Capacity summary'!AE137&lt;&gt;"",IF(LOWER('Capacity summary'!AE137)="x",$BI18*AE18,VALUE('Capacity summary'!AE137)),0),AE18*$BI18),AE18*$BI18),0)</f>
        <v>0</v>
      </c>
      <c r="CI18" s="314">
        <f>IF($BI18&lt;&gt;"",IF('Capacity summary'!$D$14="Yes",IF(COUNTBLANK('Capacity summary'!$H137:$BG137)&lt;52,IF('Capacity summary'!AF137&lt;&gt;"",IF(LOWER('Capacity summary'!AF137)="x",$BI18*AF18,VALUE('Capacity summary'!AF137)),0),AF18*$BI18),AF18*$BI18),0)</f>
        <v>0</v>
      </c>
      <c r="CJ18" s="314">
        <f>IF($BI18&lt;&gt;"",IF('Capacity summary'!$D$14="Yes",IF(COUNTBLANK('Capacity summary'!$H137:$BG137)&lt;52,IF('Capacity summary'!AG137&lt;&gt;"",IF(LOWER('Capacity summary'!AG137)="x",$BI18*AG18,VALUE('Capacity summary'!AG137)),0),AG18*$BI18),AG18*$BI18),0)</f>
        <v>0</v>
      </c>
      <c r="CK18" s="314">
        <f>IF($BI18&lt;&gt;"",IF('Capacity summary'!$D$14="Yes",IF(COUNTBLANK('Capacity summary'!$H137:$BG137)&lt;52,IF('Capacity summary'!AH137&lt;&gt;"",IF(LOWER('Capacity summary'!AH137)="x",$BI18*AH18,VALUE('Capacity summary'!AH137)),0),AH18*$BI18),AH18*$BI18),0)</f>
        <v>0</v>
      </c>
      <c r="CL18" s="314">
        <f>IF($BI18&lt;&gt;"",IF('Capacity summary'!$D$14="Yes",IF(COUNTBLANK('Capacity summary'!$H137:$BG137)&lt;52,IF('Capacity summary'!AI137&lt;&gt;"",IF(LOWER('Capacity summary'!AI137)="x",$BI18*AI18,VALUE('Capacity summary'!AI137)),0),AI18*$BI18),AI18*$BI18),0)</f>
        <v>0</v>
      </c>
      <c r="CM18" s="314">
        <f>IF($BI18&lt;&gt;"",IF('Capacity summary'!$D$14="Yes",IF(COUNTBLANK('Capacity summary'!$H137:$BG137)&lt;52,IF('Capacity summary'!AJ137&lt;&gt;"",IF(LOWER('Capacity summary'!AJ137)="x",$BI18*AJ18,VALUE('Capacity summary'!AJ137)),0),AJ18*$BI18),AJ18*$BI18),0)</f>
        <v>0</v>
      </c>
      <c r="CN18" s="314">
        <f>IF($BI18&lt;&gt;"",IF('Capacity summary'!$D$14="Yes",IF(COUNTBLANK('Capacity summary'!$H137:$BG137)&lt;52,IF('Capacity summary'!AK137&lt;&gt;"",IF(LOWER('Capacity summary'!AK137)="x",$BI18*AK18,VALUE('Capacity summary'!AK137)),0),AK18*$BI18),AK18*$BI18),0)</f>
        <v>0</v>
      </c>
      <c r="CO18" s="314">
        <f>IF($BI18&lt;&gt;"",IF('Capacity summary'!$D$14="Yes",IF(COUNTBLANK('Capacity summary'!$H137:$BG137)&lt;52,IF('Capacity summary'!AL137&lt;&gt;"",IF(LOWER('Capacity summary'!AL137)="x",$BI18*AL18,VALUE('Capacity summary'!AL137)),0),AL18*$BI18),AL18*$BI18),0)</f>
        <v>0</v>
      </c>
      <c r="CP18" s="314">
        <f>IF($BI18&lt;&gt;"",IF('Capacity summary'!$D$14="Yes",IF(COUNTBLANK('Capacity summary'!$H137:$BG137)&lt;52,IF('Capacity summary'!AM137&lt;&gt;"",IF(LOWER('Capacity summary'!AM137)="x",$BI18*AM18,VALUE('Capacity summary'!AM137)),0),AM18*$BI18),AM18*$BI18),0)</f>
        <v>0</v>
      </c>
      <c r="CQ18" s="314">
        <f>IF($BI18&lt;&gt;"",IF('Capacity summary'!$D$14="Yes",IF(COUNTBLANK('Capacity summary'!$H137:$BG137)&lt;52,IF('Capacity summary'!AN137&lt;&gt;"",IF(LOWER('Capacity summary'!AN137)="x",$BI18*AN18,VALUE('Capacity summary'!AN137)),0),AN18*$BI18),AN18*$BI18),0)</f>
        <v>0</v>
      </c>
      <c r="CR18" s="314">
        <f>IF($BI18&lt;&gt;"",IF('Capacity summary'!$D$14="Yes",IF(COUNTBLANK('Capacity summary'!$H137:$BG137)&lt;52,IF('Capacity summary'!AO137&lt;&gt;"",IF(LOWER('Capacity summary'!AO137)="x",$BI18*AO18,VALUE('Capacity summary'!AO137)),0),AO18*$BI18),AO18*$BI18),0)</f>
        <v>0</v>
      </c>
      <c r="CS18" s="314">
        <f>IF($BI18&lt;&gt;"",IF('Capacity summary'!$D$14="Yes",IF(COUNTBLANK('Capacity summary'!$H137:$BG137)&lt;52,IF('Capacity summary'!AP137&lt;&gt;"",IF(LOWER('Capacity summary'!AP137)="x",$BI18*AP18,VALUE('Capacity summary'!AP137)),0),AP18*$BI18),AP18*$BI18),0)</f>
        <v>0</v>
      </c>
      <c r="CT18" s="314">
        <f>IF($BI18&lt;&gt;"",IF('Capacity summary'!$D$14="Yes",IF(COUNTBLANK('Capacity summary'!$H137:$BG137)&lt;52,IF('Capacity summary'!AQ137&lt;&gt;"",IF(LOWER('Capacity summary'!AQ137)="x",$BI18*AQ18,VALUE('Capacity summary'!AQ137)),0),AQ18*$BI18),AQ18*$BI18),0)</f>
        <v>0</v>
      </c>
      <c r="CU18" s="314">
        <f>IF($BI18&lt;&gt;"",IF('Capacity summary'!$D$14="Yes",IF(COUNTBLANK('Capacity summary'!$H137:$BG137)&lt;52,IF('Capacity summary'!AR137&lt;&gt;"",IF(LOWER('Capacity summary'!AR137)="x",$BI18*AR18,VALUE('Capacity summary'!AR137)),0),AR18*$BI18),AR18*$BI18),0)</f>
        <v>0</v>
      </c>
      <c r="CV18" s="314">
        <f>IF($BI18&lt;&gt;"",IF('Capacity summary'!$D$14="Yes",IF(COUNTBLANK('Capacity summary'!$H137:$BG137)&lt;52,IF('Capacity summary'!AS137&lt;&gt;"",IF(LOWER('Capacity summary'!AS137)="x",$BI18*AS18,VALUE('Capacity summary'!AS137)),0),AS18*$BI18),AS18*$BI18),0)</f>
        <v>0</v>
      </c>
      <c r="CW18" s="314">
        <f>IF($BI18&lt;&gt;"",IF('Capacity summary'!$D$14="Yes",IF(COUNTBLANK('Capacity summary'!$H137:$BG137)&lt;52,IF('Capacity summary'!AT137&lt;&gt;"",IF(LOWER('Capacity summary'!AT137)="x",$BI18*AT18,VALUE('Capacity summary'!AT137)),0),AT18*$BI18),AT18*$BI18),0)</f>
        <v>0</v>
      </c>
      <c r="CX18" s="314">
        <f>IF($BI18&lt;&gt;"",IF('Capacity summary'!$D$14="Yes",IF(COUNTBLANK('Capacity summary'!$H137:$BG137)&lt;52,IF('Capacity summary'!AU137&lt;&gt;"",IF(LOWER('Capacity summary'!AU137)="x",$BI18*AU18,VALUE('Capacity summary'!AU137)),0),AU18*$BI18),AU18*$BI18),0)</f>
        <v>0</v>
      </c>
      <c r="CY18" s="314">
        <f>IF($BI18&lt;&gt;"",IF('Capacity summary'!$D$14="Yes",IF(COUNTBLANK('Capacity summary'!$H137:$BG137)&lt;52,IF('Capacity summary'!AV137&lt;&gt;"",IF(LOWER('Capacity summary'!AV137)="x",$BI18*AV18,VALUE('Capacity summary'!AV137)),0),AV18*$BI18),AV18*$BI18),0)</f>
        <v>0</v>
      </c>
      <c r="CZ18" s="314">
        <f>IF($BI18&lt;&gt;"",IF('Capacity summary'!$D$14="Yes",IF(COUNTBLANK('Capacity summary'!$H137:$BG137)&lt;52,IF('Capacity summary'!AW137&lt;&gt;"",IF(LOWER('Capacity summary'!AW137)="x",$BI18*AW18,VALUE('Capacity summary'!AW137)),0),AW18*$BI18),AW18*$BI18),0)</f>
        <v>0</v>
      </c>
      <c r="DA18" s="314">
        <f>IF($BI18&lt;&gt;"",IF('Capacity summary'!$D$14="Yes",IF(COUNTBLANK('Capacity summary'!$H137:$BG137)&lt;52,IF('Capacity summary'!AX137&lt;&gt;"",IF(LOWER('Capacity summary'!AX137)="x",$BI18*AX18,VALUE('Capacity summary'!AX137)),0),AX18*$BI18),AX18*$BI18),0)</f>
        <v>0</v>
      </c>
      <c r="DB18" s="314">
        <f>IF($BI18&lt;&gt;"",IF('Capacity summary'!$D$14="Yes",IF(COUNTBLANK('Capacity summary'!$H137:$BG137)&lt;52,IF('Capacity summary'!AY137&lt;&gt;"",IF(LOWER('Capacity summary'!AY137)="x",$BI18*AY18,VALUE('Capacity summary'!AY137)),0),AY18*$BI18),AY18*$BI18),0)</f>
        <v>0</v>
      </c>
      <c r="DC18" s="314">
        <f>IF($BI18&lt;&gt;"",IF('Capacity summary'!$D$14="Yes",IF(COUNTBLANK('Capacity summary'!$H137:$BG137)&lt;52,IF('Capacity summary'!AZ137&lt;&gt;"",IF(LOWER('Capacity summary'!AZ137)="x",$BI18*AZ18,VALUE('Capacity summary'!AZ137)),0),AZ18*$BI18),AZ18*$BI18),0)</f>
        <v>0</v>
      </c>
      <c r="DD18" s="314">
        <f>IF($BI18&lt;&gt;"",IF('Capacity summary'!$D$14="Yes",IF(COUNTBLANK('Capacity summary'!$H137:$BG137)&lt;52,IF('Capacity summary'!BA137&lt;&gt;"",IF(LOWER('Capacity summary'!BA137)="x",$BI18*BA18,VALUE('Capacity summary'!BA137)),0),BA18*$BI18),BA18*$BI18),0)</f>
        <v>0</v>
      </c>
      <c r="DE18" s="314">
        <f>IF($BI18&lt;&gt;"",IF('Capacity summary'!$D$14="Yes",IF(COUNTBLANK('Capacity summary'!$H137:$BG137)&lt;52,IF('Capacity summary'!BB137&lt;&gt;"",IF(LOWER('Capacity summary'!BB137)="x",$BI18*BB18,VALUE('Capacity summary'!BB137)),0),BB18*$BI18),BB18*$BI18),0)</f>
        <v>0</v>
      </c>
      <c r="DF18" s="314">
        <f>IF($BI18&lt;&gt;"",IF('Capacity summary'!$D$14="Yes",IF(COUNTBLANK('Capacity summary'!$H137:$BG137)&lt;52,IF('Capacity summary'!BC137&lt;&gt;"",IF(LOWER('Capacity summary'!BC137)="x",$BI18*BC18,VALUE('Capacity summary'!BC137)),0),BC18*$BI18),BC18*$BI18),0)</f>
        <v>0</v>
      </c>
      <c r="DG18" s="314">
        <f>IF($BI18&lt;&gt;"",IF('Capacity summary'!$D$14="Yes",IF(COUNTBLANK('Capacity summary'!$H137:$BG137)&lt;52,IF('Capacity summary'!BD137&lt;&gt;"",IF(LOWER('Capacity summary'!BD137)="x",$BI18*BD18,VALUE('Capacity summary'!BD137)),0),BD18*$BI18),BD18*$BI18),0)</f>
        <v>0</v>
      </c>
      <c r="DH18" s="314">
        <f>IF($BI18&lt;&gt;"",IF('Capacity summary'!$D$14="Yes",IF(COUNTBLANK('Capacity summary'!$H137:$BG137)&lt;52,IF('Capacity summary'!BE137&lt;&gt;"",IF(LOWER('Capacity summary'!BE137)="x",$BI18*BE18,VALUE('Capacity summary'!BE137)),0),BE18*$BI18),BE18*$BI18),0)</f>
        <v>0</v>
      </c>
      <c r="DI18" s="314">
        <f>IF($BI18&lt;&gt;"",IF('Capacity summary'!$D$14="Yes",IF(COUNTBLANK('Capacity summary'!$H137:$BG137)&lt;52,IF('Capacity summary'!BF137&lt;&gt;"",IF(LOWER('Capacity summary'!BF137)="x",$BI18*BF18,VALUE('Capacity summary'!BF137)),0),BF18*$BI18),BF18*$BI18),0)</f>
        <v>0</v>
      </c>
      <c r="DJ18" s="314">
        <f>IF($BI18&lt;&gt;"",IF('Capacity summary'!$D$14="Yes",IF(COUNTBLANK('Capacity summary'!$H137:$BG137)&lt;52,IF('Capacity summary'!BG137&lt;&gt;"",IF(LOWER('Capacity summary'!BG137)="x",$BI18*BG18,VALUE('Capacity summary'!BG137)),0),BG18*$BI18),BG18*$BI18),0)</f>
        <v>0</v>
      </c>
      <c r="DK18" s="137">
        <f t="shared" si="2"/>
        <v>0</v>
      </c>
      <c r="DL18" s="314" t="str">
        <f>Capacity!H30</f>
        <v/>
      </c>
      <c r="DP18" s="5"/>
    </row>
    <row r="19" spans="2:120" x14ac:dyDescent="0.25">
      <c r="B19" s="67"/>
      <c r="C19" s="67" t="str">
        <f>ROW(A15)&amp;". "&amp;Capacity!B31</f>
        <v xml:space="preserve">15. </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IF(ROW(C15)&lt;=Capacity!$A$16,IF('Capacity summary'!$D$14="No",SUM(H19:BG19),'Capacity summary'!$E138),0)</f>
        <v>0</v>
      </c>
      <c r="BI19" s="5" t="str">
        <f>IF(BH19&gt;0,IF(BH19&lt;Capacity!E31,Capacity!F31,Capacity!H31/'Capacity calculation (hide)'!BH19),"")</f>
        <v/>
      </c>
      <c r="BK19" s="314">
        <f>IF($BI19&lt;&gt;"",IF('Capacity summary'!$D$14="Yes",IF(COUNTBLANK('Capacity summary'!$H138:$BG138)&lt;52,IF('Capacity summary'!H138&lt;&gt;"",IF(LOWER('Capacity summary'!H138)="x",$BI19*H19,VALUE('Capacity summary'!H138)),0),H19*$BI19),H19*$BI19),0)</f>
        <v>0</v>
      </c>
      <c r="BL19" s="314">
        <f>IF($BI19&lt;&gt;"",IF('Capacity summary'!$D$14="Yes",IF(COUNTBLANK('Capacity summary'!$H138:$BG138)&lt;52,IF('Capacity summary'!I138&lt;&gt;"",IF(LOWER('Capacity summary'!I138)="x",$BI19*I19,VALUE('Capacity summary'!I138)),0),I19*$BI19),I19*$BI19),0)</f>
        <v>0</v>
      </c>
      <c r="BM19" s="314">
        <f>IF($BI19&lt;&gt;"",IF('Capacity summary'!$D$14="Yes",IF(COUNTBLANK('Capacity summary'!$H138:$BG138)&lt;52,IF('Capacity summary'!J138&lt;&gt;"",IF(LOWER('Capacity summary'!J138)="x",$BI19*J19,VALUE('Capacity summary'!J138)),0),J19*$BI19),J19*$BI19),0)</f>
        <v>0</v>
      </c>
      <c r="BN19" s="314">
        <f>IF($BI19&lt;&gt;"",IF('Capacity summary'!$D$14="Yes",IF(COUNTBLANK('Capacity summary'!$H138:$BG138)&lt;52,IF('Capacity summary'!K138&lt;&gt;"",IF(LOWER('Capacity summary'!K138)="x",$BI19*K19,VALUE('Capacity summary'!K138)),0),K19*$BI19),K19*$BI19),0)</f>
        <v>0</v>
      </c>
      <c r="BO19" s="314">
        <f>IF($BI19&lt;&gt;"",IF('Capacity summary'!$D$14="Yes",IF(COUNTBLANK('Capacity summary'!$H138:$BG138)&lt;52,IF('Capacity summary'!L138&lt;&gt;"",IF(LOWER('Capacity summary'!L138)="x",$BI19*L19,VALUE('Capacity summary'!L138)),0),L19*$BI19),L19*$BI19),0)</f>
        <v>0</v>
      </c>
      <c r="BP19" s="314">
        <f>IF($BI19&lt;&gt;"",IF('Capacity summary'!$D$14="Yes",IF(COUNTBLANK('Capacity summary'!$H138:$BG138)&lt;52,IF('Capacity summary'!M138&lt;&gt;"",IF(LOWER('Capacity summary'!M138)="x",$BI19*M19,VALUE('Capacity summary'!M138)),0),M19*$BI19),M19*$BI19),0)</f>
        <v>0</v>
      </c>
      <c r="BQ19" s="314">
        <f>IF($BI19&lt;&gt;"",IF('Capacity summary'!$D$14="Yes",IF(COUNTBLANK('Capacity summary'!$H138:$BG138)&lt;52,IF('Capacity summary'!N138&lt;&gt;"",IF(LOWER('Capacity summary'!N138)="x",$BI19*N19,VALUE('Capacity summary'!N138)),0),N19*$BI19),N19*$BI19),0)</f>
        <v>0</v>
      </c>
      <c r="BR19" s="314">
        <f>IF($BI19&lt;&gt;"",IF('Capacity summary'!$D$14="Yes",IF(COUNTBLANK('Capacity summary'!$H138:$BG138)&lt;52,IF('Capacity summary'!O138&lt;&gt;"",IF(LOWER('Capacity summary'!O138)="x",$BI19*O19,VALUE('Capacity summary'!O138)),0),O19*$BI19),O19*$BI19),0)</f>
        <v>0</v>
      </c>
      <c r="BS19" s="314">
        <f>IF($BI19&lt;&gt;"",IF('Capacity summary'!$D$14="Yes",IF(COUNTBLANK('Capacity summary'!$H138:$BG138)&lt;52,IF('Capacity summary'!P138&lt;&gt;"",IF(LOWER('Capacity summary'!P138)="x",$BI19*P19,VALUE('Capacity summary'!P138)),0),P19*$BI19),P19*$BI19),0)</f>
        <v>0</v>
      </c>
      <c r="BT19" s="314">
        <f>IF($BI19&lt;&gt;"",IF('Capacity summary'!$D$14="Yes",IF(COUNTBLANK('Capacity summary'!$H138:$BG138)&lt;52,IF('Capacity summary'!Q138&lt;&gt;"",IF(LOWER('Capacity summary'!Q138)="x",$BI19*Q19,VALUE('Capacity summary'!Q138)),0),Q19*$BI19),Q19*$BI19),0)</f>
        <v>0</v>
      </c>
      <c r="BU19" s="314">
        <f>IF($BI19&lt;&gt;"",IF('Capacity summary'!$D$14="Yes",IF(COUNTBLANK('Capacity summary'!$H138:$BG138)&lt;52,IF('Capacity summary'!R138&lt;&gt;"",IF(LOWER('Capacity summary'!R138)="x",$BI19*R19,VALUE('Capacity summary'!R138)),0),R19*$BI19),R19*$BI19),0)</f>
        <v>0</v>
      </c>
      <c r="BV19" s="314">
        <f>IF($BI19&lt;&gt;"",IF('Capacity summary'!$D$14="Yes",IF(COUNTBLANK('Capacity summary'!$H138:$BG138)&lt;52,IF('Capacity summary'!S138&lt;&gt;"",IF(LOWER('Capacity summary'!S138)="x",$BI19*S19,VALUE('Capacity summary'!S138)),0),S19*$BI19),S19*$BI19),0)</f>
        <v>0</v>
      </c>
      <c r="BW19" s="314">
        <f>IF($BI19&lt;&gt;"",IF('Capacity summary'!$D$14="Yes",IF(COUNTBLANK('Capacity summary'!$H138:$BG138)&lt;52,IF('Capacity summary'!T138&lt;&gt;"",IF(LOWER('Capacity summary'!T138)="x",$BI19*T19,VALUE('Capacity summary'!T138)),0),T19*$BI19),T19*$BI19),0)</f>
        <v>0</v>
      </c>
      <c r="BX19" s="314">
        <f>IF($BI19&lt;&gt;"",IF('Capacity summary'!$D$14="Yes",IF(COUNTBLANK('Capacity summary'!$H138:$BG138)&lt;52,IF('Capacity summary'!U138&lt;&gt;"",IF(LOWER('Capacity summary'!U138)="x",$BI19*U19,VALUE('Capacity summary'!U138)),0),U19*$BI19),U19*$BI19),0)</f>
        <v>0</v>
      </c>
      <c r="BY19" s="314">
        <f>IF($BI19&lt;&gt;"",IF('Capacity summary'!$D$14="Yes",IF(COUNTBLANK('Capacity summary'!$H138:$BG138)&lt;52,IF('Capacity summary'!V138&lt;&gt;"",IF(LOWER('Capacity summary'!V138)="x",$BI19*V19,VALUE('Capacity summary'!V138)),0),V19*$BI19),V19*$BI19),0)</f>
        <v>0</v>
      </c>
      <c r="BZ19" s="314">
        <f>IF($BI19&lt;&gt;"",IF('Capacity summary'!$D$14="Yes",IF(COUNTBLANK('Capacity summary'!$H138:$BG138)&lt;52,IF('Capacity summary'!W138&lt;&gt;"",IF(LOWER('Capacity summary'!W138)="x",$BI19*W19,VALUE('Capacity summary'!W138)),0),W19*$BI19),W19*$BI19),0)</f>
        <v>0</v>
      </c>
      <c r="CA19" s="314">
        <f>IF($BI19&lt;&gt;"",IF('Capacity summary'!$D$14="Yes",IF(COUNTBLANK('Capacity summary'!$H138:$BG138)&lt;52,IF('Capacity summary'!X138&lt;&gt;"",IF(LOWER('Capacity summary'!X138)="x",$BI19*X19,VALUE('Capacity summary'!X138)),0),X19*$BI19),X19*$BI19),0)</f>
        <v>0</v>
      </c>
      <c r="CB19" s="314">
        <f>IF($BI19&lt;&gt;"",IF('Capacity summary'!$D$14="Yes",IF(COUNTBLANK('Capacity summary'!$H138:$BG138)&lt;52,IF('Capacity summary'!Y138&lt;&gt;"",IF(LOWER('Capacity summary'!Y138)="x",$BI19*Y19,VALUE('Capacity summary'!Y138)),0),Y19*$BI19),Y19*$BI19),0)</f>
        <v>0</v>
      </c>
      <c r="CC19" s="314">
        <f>IF($BI19&lt;&gt;"",IF('Capacity summary'!$D$14="Yes",IF(COUNTBLANK('Capacity summary'!$H138:$BG138)&lt;52,IF('Capacity summary'!Z138&lt;&gt;"",IF(LOWER('Capacity summary'!Z138)="x",$BI19*Z19,VALUE('Capacity summary'!Z138)),0),Z19*$BI19),Z19*$BI19),0)</f>
        <v>0</v>
      </c>
      <c r="CD19" s="314">
        <f>IF($BI19&lt;&gt;"",IF('Capacity summary'!$D$14="Yes",IF(COUNTBLANK('Capacity summary'!$H138:$BG138)&lt;52,IF('Capacity summary'!AA138&lt;&gt;"",IF(LOWER('Capacity summary'!AA138)="x",$BI19*AA19,VALUE('Capacity summary'!AA138)),0),AA19*$BI19),AA19*$BI19),0)</f>
        <v>0</v>
      </c>
      <c r="CE19" s="314">
        <f>IF($BI19&lt;&gt;"",IF('Capacity summary'!$D$14="Yes",IF(COUNTBLANK('Capacity summary'!$H138:$BG138)&lt;52,IF('Capacity summary'!AB138&lt;&gt;"",IF(LOWER('Capacity summary'!AB138)="x",$BI19*AB19,VALUE('Capacity summary'!AB138)),0),AB19*$BI19),AB19*$BI19),0)</f>
        <v>0</v>
      </c>
      <c r="CF19" s="314">
        <f>IF($BI19&lt;&gt;"",IF('Capacity summary'!$D$14="Yes",IF(COUNTBLANK('Capacity summary'!$H138:$BG138)&lt;52,IF('Capacity summary'!AC138&lt;&gt;"",IF(LOWER('Capacity summary'!AC138)="x",$BI19*AC19,VALUE('Capacity summary'!AC138)),0),AC19*$BI19),AC19*$BI19),0)</f>
        <v>0</v>
      </c>
      <c r="CG19" s="314">
        <f>IF($BI19&lt;&gt;"",IF('Capacity summary'!$D$14="Yes",IF(COUNTBLANK('Capacity summary'!$H138:$BG138)&lt;52,IF('Capacity summary'!AD138&lt;&gt;"",IF(LOWER('Capacity summary'!AD138)="x",$BI19*AD19,VALUE('Capacity summary'!AD138)),0),AD19*$BI19),AD19*$BI19),0)</f>
        <v>0</v>
      </c>
      <c r="CH19" s="314">
        <f>IF($BI19&lt;&gt;"",IF('Capacity summary'!$D$14="Yes",IF(COUNTBLANK('Capacity summary'!$H138:$BG138)&lt;52,IF('Capacity summary'!AE138&lt;&gt;"",IF(LOWER('Capacity summary'!AE138)="x",$BI19*AE19,VALUE('Capacity summary'!AE138)),0),AE19*$BI19),AE19*$BI19),0)</f>
        <v>0</v>
      </c>
      <c r="CI19" s="314">
        <f>IF($BI19&lt;&gt;"",IF('Capacity summary'!$D$14="Yes",IF(COUNTBLANK('Capacity summary'!$H138:$BG138)&lt;52,IF('Capacity summary'!AF138&lt;&gt;"",IF(LOWER('Capacity summary'!AF138)="x",$BI19*AF19,VALUE('Capacity summary'!AF138)),0),AF19*$BI19),AF19*$BI19),0)</f>
        <v>0</v>
      </c>
      <c r="CJ19" s="314">
        <f>IF($BI19&lt;&gt;"",IF('Capacity summary'!$D$14="Yes",IF(COUNTBLANK('Capacity summary'!$H138:$BG138)&lt;52,IF('Capacity summary'!AG138&lt;&gt;"",IF(LOWER('Capacity summary'!AG138)="x",$BI19*AG19,VALUE('Capacity summary'!AG138)),0),AG19*$BI19),AG19*$BI19),0)</f>
        <v>0</v>
      </c>
      <c r="CK19" s="314">
        <f>IF($BI19&lt;&gt;"",IF('Capacity summary'!$D$14="Yes",IF(COUNTBLANK('Capacity summary'!$H138:$BG138)&lt;52,IF('Capacity summary'!AH138&lt;&gt;"",IF(LOWER('Capacity summary'!AH138)="x",$BI19*AH19,VALUE('Capacity summary'!AH138)),0),AH19*$BI19),AH19*$BI19),0)</f>
        <v>0</v>
      </c>
      <c r="CL19" s="314">
        <f>IF($BI19&lt;&gt;"",IF('Capacity summary'!$D$14="Yes",IF(COUNTBLANK('Capacity summary'!$H138:$BG138)&lt;52,IF('Capacity summary'!AI138&lt;&gt;"",IF(LOWER('Capacity summary'!AI138)="x",$BI19*AI19,VALUE('Capacity summary'!AI138)),0),AI19*$BI19),AI19*$BI19),0)</f>
        <v>0</v>
      </c>
      <c r="CM19" s="314">
        <f>IF($BI19&lt;&gt;"",IF('Capacity summary'!$D$14="Yes",IF(COUNTBLANK('Capacity summary'!$H138:$BG138)&lt;52,IF('Capacity summary'!AJ138&lt;&gt;"",IF(LOWER('Capacity summary'!AJ138)="x",$BI19*AJ19,VALUE('Capacity summary'!AJ138)),0),AJ19*$BI19),AJ19*$BI19),0)</f>
        <v>0</v>
      </c>
      <c r="CN19" s="314">
        <f>IF($BI19&lt;&gt;"",IF('Capacity summary'!$D$14="Yes",IF(COUNTBLANK('Capacity summary'!$H138:$BG138)&lt;52,IF('Capacity summary'!AK138&lt;&gt;"",IF(LOWER('Capacity summary'!AK138)="x",$BI19*AK19,VALUE('Capacity summary'!AK138)),0),AK19*$BI19),AK19*$BI19),0)</f>
        <v>0</v>
      </c>
      <c r="CO19" s="314">
        <f>IF($BI19&lt;&gt;"",IF('Capacity summary'!$D$14="Yes",IF(COUNTBLANK('Capacity summary'!$H138:$BG138)&lt;52,IF('Capacity summary'!AL138&lt;&gt;"",IF(LOWER('Capacity summary'!AL138)="x",$BI19*AL19,VALUE('Capacity summary'!AL138)),0),AL19*$BI19),AL19*$BI19),0)</f>
        <v>0</v>
      </c>
      <c r="CP19" s="314">
        <f>IF($BI19&lt;&gt;"",IF('Capacity summary'!$D$14="Yes",IF(COUNTBLANK('Capacity summary'!$H138:$BG138)&lt;52,IF('Capacity summary'!AM138&lt;&gt;"",IF(LOWER('Capacity summary'!AM138)="x",$BI19*AM19,VALUE('Capacity summary'!AM138)),0),AM19*$BI19),AM19*$BI19),0)</f>
        <v>0</v>
      </c>
      <c r="CQ19" s="314">
        <f>IF($BI19&lt;&gt;"",IF('Capacity summary'!$D$14="Yes",IF(COUNTBLANK('Capacity summary'!$H138:$BG138)&lt;52,IF('Capacity summary'!AN138&lt;&gt;"",IF(LOWER('Capacity summary'!AN138)="x",$BI19*AN19,VALUE('Capacity summary'!AN138)),0),AN19*$BI19),AN19*$BI19),0)</f>
        <v>0</v>
      </c>
      <c r="CR19" s="314">
        <f>IF($BI19&lt;&gt;"",IF('Capacity summary'!$D$14="Yes",IF(COUNTBLANK('Capacity summary'!$H138:$BG138)&lt;52,IF('Capacity summary'!AO138&lt;&gt;"",IF(LOWER('Capacity summary'!AO138)="x",$BI19*AO19,VALUE('Capacity summary'!AO138)),0),AO19*$BI19),AO19*$BI19),0)</f>
        <v>0</v>
      </c>
      <c r="CS19" s="314">
        <f>IF($BI19&lt;&gt;"",IF('Capacity summary'!$D$14="Yes",IF(COUNTBLANK('Capacity summary'!$H138:$BG138)&lt;52,IF('Capacity summary'!AP138&lt;&gt;"",IF(LOWER('Capacity summary'!AP138)="x",$BI19*AP19,VALUE('Capacity summary'!AP138)),0),AP19*$BI19),AP19*$BI19),0)</f>
        <v>0</v>
      </c>
      <c r="CT19" s="314">
        <f>IF($BI19&lt;&gt;"",IF('Capacity summary'!$D$14="Yes",IF(COUNTBLANK('Capacity summary'!$H138:$BG138)&lt;52,IF('Capacity summary'!AQ138&lt;&gt;"",IF(LOWER('Capacity summary'!AQ138)="x",$BI19*AQ19,VALUE('Capacity summary'!AQ138)),0),AQ19*$BI19),AQ19*$BI19),0)</f>
        <v>0</v>
      </c>
      <c r="CU19" s="314">
        <f>IF($BI19&lt;&gt;"",IF('Capacity summary'!$D$14="Yes",IF(COUNTBLANK('Capacity summary'!$H138:$BG138)&lt;52,IF('Capacity summary'!AR138&lt;&gt;"",IF(LOWER('Capacity summary'!AR138)="x",$BI19*AR19,VALUE('Capacity summary'!AR138)),0),AR19*$BI19),AR19*$BI19),0)</f>
        <v>0</v>
      </c>
      <c r="CV19" s="314">
        <f>IF($BI19&lt;&gt;"",IF('Capacity summary'!$D$14="Yes",IF(COUNTBLANK('Capacity summary'!$H138:$BG138)&lt;52,IF('Capacity summary'!AS138&lt;&gt;"",IF(LOWER('Capacity summary'!AS138)="x",$BI19*AS19,VALUE('Capacity summary'!AS138)),0),AS19*$BI19),AS19*$BI19),0)</f>
        <v>0</v>
      </c>
      <c r="CW19" s="314">
        <f>IF($BI19&lt;&gt;"",IF('Capacity summary'!$D$14="Yes",IF(COUNTBLANK('Capacity summary'!$H138:$BG138)&lt;52,IF('Capacity summary'!AT138&lt;&gt;"",IF(LOWER('Capacity summary'!AT138)="x",$BI19*AT19,VALUE('Capacity summary'!AT138)),0),AT19*$BI19),AT19*$BI19),0)</f>
        <v>0</v>
      </c>
      <c r="CX19" s="314">
        <f>IF($BI19&lt;&gt;"",IF('Capacity summary'!$D$14="Yes",IF(COUNTBLANK('Capacity summary'!$H138:$BG138)&lt;52,IF('Capacity summary'!AU138&lt;&gt;"",IF(LOWER('Capacity summary'!AU138)="x",$BI19*AU19,VALUE('Capacity summary'!AU138)),0),AU19*$BI19),AU19*$BI19),0)</f>
        <v>0</v>
      </c>
      <c r="CY19" s="314">
        <f>IF($BI19&lt;&gt;"",IF('Capacity summary'!$D$14="Yes",IF(COUNTBLANK('Capacity summary'!$H138:$BG138)&lt;52,IF('Capacity summary'!AV138&lt;&gt;"",IF(LOWER('Capacity summary'!AV138)="x",$BI19*AV19,VALUE('Capacity summary'!AV138)),0),AV19*$BI19),AV19*$BI19),0)</f>
        <v>0</v>
      </c>
      <c r="CZ19" s="314">
        <f>IF($BI19&lt;&gt;"",IF('Capacity summary'!$D$14="Yes",IF(COUNTBLANK('Capacity summary'!$H138:$BG138)&lt;52,IF('Capacity summary'!AW138&lt;&gt;"",IF(LOWER('Capacity summary'!AW138)="x",$BI19*AW19,VALUE('Capacity summary'!AW138)),0),AW19*$BI19),AW19*$BI19),0)</f>
        <v>0</v>
      </c>
      <c r="DA19" s="314">
        <f>IF($BI19&lt;&gt;"",IF('Capacity summary'!$D$14="Yes",IF(COUNTBLANK('Capacity summary'!$H138:$BG138)&lt;52,IF('Capacity summary'!AX138&lt;&gt;"",IF(LOWER('Capacity summary'!AX138)="x",$BI19*AX19,VALUE('Capacity summary'!AX138)),0),AX19*$BI19),AX19*$BI19),0)</f>
        <v>0</v>
      </c>
      <c r="DB19" s="314">
        <f>IF($BI19&lt;&gt;"",IF('Capacity summary'!$D$14="Yes",IF(COUNTBLANK('Capacity summary'!$H138:$BG138)&lt;52,IF('Capacity summary'!AY138&lt;&gt;"",IF(LOWER('Capacity summary'!AY138)="x",$BI19*AY19,VALUE('Capacity summary'!AY138)),0),AY19*$BI19),AY19*$BI19),0)</f>
        <v>0</v>
      </c>
      <c r="DC19" s="314">
        <f>IF($BI19&lt;&gt;"",IF('Capacity summary'!$D$14="Yes",IF(COUNTBLANK('Capacity summary'!$H138:$BG138)&lt;52,IF('Capacity summary'!AZ138&lt;&gt;"",IF(LOWER('Capacity summary'!AZ138)="x",$BI19*AZ19,VALUE('Capacity summary'!AZ138)),0),AZ19*$BI19),AZ19*$BI19),0)</f>
        <v>0</v>
      </c>
      <c r="DD19" s="314">
        <f>IF($BI19&lt;&gt;"",IF('Capacity summary'!$D$14="Yes",IF(COUNTBLANK('Capacity summary'!$H138:$BG138)&lt;52,IF('Capacity summary'!BA138&lt;&gt;"",IF(LOWER('Capacity summary'!BA138)="x",$BI19*BA19,VALUE('Capacity summary'!BA138)),0),BA19*$BI19),BA19*$BI19),0)</f>
        <v>0</v>
      </c>
      <c r="DE19" s="314">
        <f>IF($BI19&lt;&gt;"",IF('Capacity summary'!$D$14="Yes",IF(COUNTBLANK('Capacity summary'!$H138:$BG138)&lt;52,IF('Capacity summary'!BB138&lt;&gt;"",IF(LOWER('Capacity summary'!BB138)="x",$BI19*BB19,VALUE('Capacity summary'!BB138)),0),BB19*$BI19),BB19*$BI19),0)</f>
        <v>0</v>
      </c>
      <c r="DF19" s="314">
        <f>IF($BI19&lt;&gt;"",IF('Capacity summary'!$D$14="Yes",IF(COUNTBLANK('Capacity summary'!$H138:$BG138)&lt;52,IF('Capacity summary'!BC138&lt;&gt;"",IF(LOWER('Capacity summary'!BC138)="x",$BI19*BC19,VALUE('Capacity summary'!BC138)),0),BC19*$BI19),BC19*$BI19),0)</f>
        <v>0</v>
      </c>
      <c r="DG19" s="314">
        <f>IF($BI19&lt;&gt;"",IF('Capacity summary'!$D$14="Yes",IF(COUNTBLANK('Capacity summary'!$H138:$BG138)&lt;52,IF('Capacity summary'!BD138&lt;&gt;"",IF(LOWER('Capacity summary'!BD138)="x",$BI19*BD19,VALUE('Capacity summary'!BD138)),0),BD19*$BI19),BD19*$BI19),0)</f>
        <v>0</v>
      </c>
      <c r="DH19" s="314">
        <f>IF($BI19&lt;&gt;"",IF('Capacity summary'!$D$14="Yes",IF(COUNTBLANK('Capacity summary'!$H138:$BG138)&lt;52,IF('Capacity summary'!BE138&lt;&gt;"",IF(LOWER('Capacity summary'!BE138)="x",$BI19*BE19,VALUE('Capacity summary'!BE138)),0),BE19*$BI19),BE19*$BI19),0)</f>
        <v>0</v>
      </c>
      <c r="DI19" s="314">
        <f>IF($BI19&lt;&gt;"",IF('Capacity summary'!$D$14="Yes",IF(COUNTBLANK('Capacity summary'!$H138:$BG138)&lt;52,IF('Capacity summary'!BF138&lt;&gt;"",IF(LOWER('Capacity summary'!BF138)="x",$BI19*BF19,VALUE('Capacity summary'!BF138)),0),BF19*$BI19),BF19*$BI19),0)</f>
        <v>0</v>
      </c>
      <c r="DJ19" s="314">
        <f>IF($BI19&lt;&gt;"",IF('Capacity summary'!$D$14="Yes",IF(COUNTBLANK('Capacity summary'!$H138:$BG138)&lt;52,IF('Capacity summary'!BG138&lt;&gt;"",IF(LOWER('Capacity summary'!BG138)="x",$BI19*BG19,VALUE('Capacity summary'!BG138)),0),BG19*$BI19),BG19*$BI19),0)</f>
        <v>0</v>
      </c>
      <c r="DK19" s="137">
        <f t="shared" si="2"/>
        <v>0</v>
      </c>
      <c r="DL19" s="314" t="str">
        <f>Capacity!H31</f>
        <v/>
      </c>
      <c r="DP19" s="5"/>
    </row>
    <row r="20" spans="2:120" x14ac:dyDescent="0.25">
      <c r="B20" s="67"/>
      <c r="C20" s="67" t="str">
        <f>ROW(A16)&amp;". "&amp;Capacity!B32</f>
        <v xml:space="preserve">16. </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IF(ROW(C16)&lt;=Capacity!$A$16,IF('Capacity summary'!$D$14="No",SUM(H20:BG20),'Capacity summary'!$E139),0)</f>
        <v>0</v>
      </c>
      <c r="BI20" s="5" t="str">
        <f>IF(BH20&gt;0,IF(BH20&lt;Capacity!E32,Capacity!F32,Capacity!H32/'Capacity calculation (hide)'!BH20),"")</f>
        <v/>
      </c>
      <c r="BK20" s="314">
        <f>IF($BI20&lt;&gt;"",IF('Capacity summary'!$D$14="Yes",IF(COUNTBLANK('Capacity summary'!$H139:$BG139)&lt;52,IF('Capacity summary'!H139&lt;&gt;"",IF(LOWER('Capacity summary'!H139)="x",$BI20*H20,VALUE('Capacity summary'!H139)),0),H20*$BI20),H20*$BI20),0)</f>
        <v>0</v>
      </c>
      <c r="BL20" s="314">
        <f>IF($BI20&lt;&gt;"",IF('Capacity summary'!$D$14="Yes",IF(COUNTBLANK('Capacity summary'!$H139:$BG139)&lt;52,IF('Capacity summary'!I139&lt;&gt;"",IF(LOWER('Capacity summary'!I139)="x",$BI20*I20,VALUE('Capacity summary'!I139)),0),I20*$BI20),I20*$BI20),0)</f>
        <v>0</v>
      </c>
      <c r="BM20" s="314">
        <f>IF($BI20&lt;&gt;"",IF('Capacity summary'!$D$14="Yes",IF(COUNTBLANK('Capacity summary'!$H139:$BG139)&lt;52,IF('Capacity summary'!J139&lt;&gt;"",IF(LOWER('Capacity summary'!J139)="x",$BI20*J20,VALUE('Capacity summary'!J139)),0),J20*$BI20),J20*$BI20),0)</f>
        <v>0</v>
      </c>
      <c r="BN20" s="314">
        <f>IF($BI20&lt;&gt;"",IF('Capacity summary'!$D$14="Yes",IF(COUNTBLANK('Capacity summary'!$H139:$BG139)&lt;52,IF('Capacity summary'!K139&lt;&gt;"",IF(LOWER('Capacity summary'!K139)="x",$BI20*K20,VALUE('Capacity summary'!K139)),0),K20*$BI20),K20*$BI20),0)</f>
        <v>0</v>
      </c>
      <c r="BO20" s="314">
        <f>IF($BI20&lt;&gt;"",IF('Capacity summary'!$D$14="Yes",IF(COUNTBLANK('Capacity summary'!$H139:$BG139)&lt;52,IF('Capacity summary'!L139&lt;&gt;"",IF(LOWER('Capacity summary'!L139)="x",$BI20*L20,VALUE('Capacity summary'!L139)),0),L20*$BI20),L20*$BI20),0)</f>
        <v>0</v>
      </c>
      <c r="BP20" s="314">
        <f>IF($BI20&lt;&gt;"",IF('Capacity summary'!$D$14="Yes",IF(COUNTBLANK('Capacity summary'!$H139:$BG139)&lt;52,IF('Capacity summary'!M139&lt;&gt;"",IF(LOWER('Capacity summary'!M139)="x",$BI20*M20,VALUE('Capacity summary'!M139)),0),M20*$BI20),M20*$BI20),0)</f>
        <v>0</v>
      </c>
      <c r="BQ20" s="314">
        <f>IF($BI20&lt;&gt;"",IF('Capacity summary'!$D$14="Yes",IF(COUNTBLANK('Capacity summary'!$H139:$BG139)&lt;52,IF('Capacity summary'!N139&lt;&gt;"",IF(LOWER('Capacity summary'!N139)="x",$BI20*N20,VALUE('Capacity summary'!N139)),0),N20*$BI20),N20*$BI20),0)</f>
        <v>0</v>
      </c>
      <c r="BR20" s="314">
        <f>IF($BI20&lt;&gt;"",IF('Capacity summary'!$D$14="Yes",IF(COUNTBLANK('Capacity summary'!$H139:$BG139)&lt;52,IF('Capacity summary'!O139&lt;&gt;"",IF(LOWER('Capacity summary'!O139)="x",$BI20*O20,VALUE('Capacity summary'!O139)),0),O20*$BI20),O20*$BI20),0)</f>
        <v>0</v>
      </c>
      <c r="BS20" s="314">
        <f>IF($BI20&lt;&gt;"",IF('Capacity summary'!$D$14="Yes",IF(COUNTBLANK('Capacity summary'!$H139:$BG139)&lt;52,IF('Capacity summary'!P139&lt;&gt;"",IF(LOWER('Capacity summary'!P139)="x",$BI20*P20,VALUE('Capacity summary'!P139)),0),P20*$BI20),P20*$BI20),0)</f>
        <v>0</v>
      </c>
      <c r="BT20" s="314">
        <f>IF($BI20&lt;&gt;"",IF('Capacity summary'!$D$14="Yes",IF(COUNTBLANK('Capacity summary'!$H139:$BG139)&lt;52,IF('Capacity summary'!Q139&lt;&gt;"",IF(LOWER('Capacity summary'!Q139)="x",$BI20*Q20,VALUE('Capacity summary'!Q139)),0),Q20*$BI20),Q20*$BI20),0)</f>
        <v>0</v>
      </c>
      <c r="BU20" s="314">
        <f>IF($BI20&lt;&gt;"",IF('Capacity summary'!$D$14="Yes",IF(COUNTBLANK('Capacity summary'!$H139:$BG139)&lt;52,IF('Capacity summary'!R139&lt;&gt;"",IF(LOWER('Capacity summary'!R139)="x",$BI20*R20,VALUE('Capacity summary'!R139)),0),R20*$BI20),R20*$BI20),0)</f>
        <v>0</v>
      </c>
      <c r="BV20" s="314">
        <f>IF($BI20&lt;&gt;"",IF('Capacity summary'!$D$14="Yes",IF(COUNTBLANK('Capacity summary'!$H139:$BG139)&lt;52,IF('Capacity summary'!S139&lt;&gt;"",IF(LOWER('Capacity summary'!S139)="x",$BI20*S20,VALUE('Capacity summary'!S139)),0),S20*$BI20),S20*$BI20),0)</f>
        <v>0</v>
      </c>
      <c r="BW20" s="314">
        <f>IF($BI20&lt;&gt;"",IF('Capacity summary'!$D$14="Yes",IF(COUNTBLANK('Capacity summary'!$H139:$BG139)&lt;52,IF('Capacity summary'!T139&lt;&gt;"",IF(LOWER('Capacity summary'!T139)="x",$BI20*T20,VALUE('Capacity summary'!T139)),0),T20*$BI20),T20*$BI20),0)</f>
        <v>0</v>
      </c>
      <c r="BX20" s="314">
        <f>IF($BI20&lt;&gt;"",IF('Capacity summary'!$D$14="Yes",IF(COUNTBLANK('Capacity summary'!$H139:$BG139)&lt;52,IF('Capacity summary'!U139&lt;&gt;"",IF(LOWER('Capacity summary'!U139)="x",$BI20*U20,VALUE('Capacity summary'!U139)),0),U20*$BI20),U20*$BI20),0)</f>
        <v>0</v>
      </c>
      <c r="BY20" s="314">
        <f>IF($BI20&lt;&gt;"",IF('Capacity summary'!$D$14="Yes",IF(COUNTBLANK('Capacity summary'!$H139:$BG139)&lt;52,IF('Capacity summary'!V139&lt;&gt;"",IF(LOWER('Capacity summary'!V139)="x",$BI20*V20,VALUE('Capacity summary'!V139)),0),V20*$BI20),V20*$BI20),0)</f>
        <v>0</v>
      </c>
      <c r="BZ20" s="314">
        <f>IF($BI20&lt;&gt;"",IF('Capacity summary'!$D$14="Yes",IF(COUNTBLANK('Capacity summary'!$H139:$BG139)&lt;52,IF('Capacity summary'!W139&lt;&gt;"",IF(LOWER('Capacity summary'!W139)="x",$BI20*W20,VALUE('Capacity summary'!W139)),0),W20*$BI20),W20*$BI20),0)</f>
        <v>0</v>
      </c>
      <c r="CA20" s="314">
        <f>IF($BI20&lt;&gt;"",IF('Capacity summary'!$D$14="Yes",IF(COUNTBLANK('Capacity summary'!$H139:$BG139)&lt;52,IF('Capacity summary'!X139&lt;&gt;"",IF(LOWER('Capacity summary'!X139)="x",$BI20*X20,VALUE('Capacity summary'!X139)),0),X20*$BI20),X20*$BI20),0)</f>
        <v>0</v>
      </c>
      <c r="CB20" s="314">
        <f>IF($BI20&lt;&gt;"",IF('Capacity summary'!$D$14="Yes",IF(COUNTBLANK('Capacity summary'!$H139:$BG139)&lt;52,IF('Capacity summary'!Y139&lt;&gt;"",IF(LOWER('Capacity summary'!Y139)="x",$BI20*Y20,VALUE('Capacity summary'!Y139)),0),Y20*$BI20),Y20*$BI20),0)</f>
        <v>0</v>
      </c>
      <c r="CC20" s="314">
        <f>IF($BI20&lt;&gt;"",IF('Capacity summary'!$D$14="Yes",IF(COUNTBLANK('Capacity summary'!$H139:$BG139)&lt;52,IF('Capacity summary'!Z139&lt;&gt;"",IF(LOWER('Capacity summary'!Z139)="x",$BI20*Z20,VALUE('Capacity summary'!Z139)),0),Z20*$BI20),Z20*$BI20),0)</f>
        <v>0</v>
      </c>
      <c r="CD20" s="314">
        <f>IF($BI20&lt;&gt;"",IF('Capacity summary'!$D$14="Yes",IF(COUNTBLANK('Capacity summary'!$H139:$BG139)&lt;52,IF('Capacity summary'!AA139&lt;&gt;"",IF(LOWER('Capacity summary'!AA139)="x",$BI20*AA20,VALUE('Capacity summary'!AA139)),0),AA20*$BI20),AA20*$BI20),0)</f>
        <v>0</v>
      </c>
      <c r="CE20" s="314">
        <f>IF($BI20&lt;&gt;"",IF('Capacity summary'!$D$14="Yes",IF(COUNTBLANK('Capacity summary'!$H139:$BG139)&lt;52,IF('Capacity summary'!AB139&lt;&gt;"",IF(LOWER('Capacity summary'!AB139)="x",$BI20*AB20,VALUE('Capacity summary'!AB139)),0),AB20*$BI20),AB20*$BI20),0)</f>
        <v>0</v>
      </c>
      <c r="CF20" s="314">
        <f>IF($BI20&lt;&gt;"",IF('Capacity summary'!$D$14="Yes",IF(COUNTBLANK('Capacity summary'!$H139:$BG139)&lt;52,IF('Capacity summary'!AC139&lt;&gt;"",IF(LOWER('Capacity summary'!AC139)="x",$BI20*AC20,VALUE('Capacity summary'!AC139)),0),AC20*$BI20),AC20*$BI20),0)</f>
        <v>0</v>
      </c>
      <c r="CG20" s="314">
        <f>IF($BI20&lt;&gt;"",IF('Capacity summary'!$D$14="Yes",IF(COUNTBLANK('Capacity summary'!$H139:$BG139)&lt;52,IF('Capacity summary'!AD139&lt;&gt;"",IF(LOWER('Capacity summary'!AD139)="x",$BI20*AD20,VALUE('Capacity summary'!AD139)),0),AD20*$BI20),AD20*$BI20),0)</f>
        <v>0</v>
      </c>
      <c r="CH20" s="314">
        <f>IF($BI20&lt;&gt;"",IF('Capacity summary'!$D$14="Yes",IF(COUNTBLANK('Capacity summary'!$H139:$BG139)&lt;52,IF('Capacity summary'!AE139&lt;&gt;"",IF(LOWER('Capacity summary'!AE139)="x",$BI20*AE20,VALUE('Capacity summary'!AE139)),0),AE20*$BI20),AE20*$BI20),0)</f>
        <v>0</v>
      </c>
      <c r="CI20" s="314">
        <f>IF($BI20&lt;&gt;"",IF('Capacity summary'!$D$14="Yes",IF(COUNTBLANK('Capacity summary'!$H139:$BG139)&lt;52,IF('Capacity summary'!AF139&lt;&gt;"",IF(LOWER('Capacity summary'!AF139)="x",$BI20*AF20,VALUE('Capacity summary'!AF139)),0),AF20*$BI20),AF20*$BI20),0)</f>
        <v>0</v>
      </c>
      <c r="CJ20" s="314">
        <f>IF($BI20&lt;&gt;"",IF('Capacity summary'!$D$14="Yes",IF(COUNTBLANK('Capacity summary'!$H139:$BG139)&lt;52,IF('Capacity summary'!AG139&lt;&gt;"",IF(LOWER('Capacity summary'!AG139)="x",$BI20*AG20,VALUE('Capacity summary'!AG139)),0),AG20*$BI20),AG20*$BI20),0)</f>
        <v>0</v>
      </c>
      <c r="CK20" s="314">
        <f>IF($BI20&lt;&gt;"",IF('Capacity summary'!$D$14="Yes",IF(COUNTBLANK('Capacity summary'!$H139:$BG139)&lt;52,IF('Capacity summary'!AH139&lt;&gt;"",IF(LOWER('Capacity summary'!AH139)="x",$BI20*AH20,VALUE('Capacity summary'!AH139)),0),AH20*$BI20),AH20*$BI20),0)</f>
        <v>0</v>
      </c>
      <c r="CL20" s="314">
        <f>IF($BI20&lt;&gt;"",IF('Capacity summary'!$D$14="Yes",IF(COUNTBLANK('Capacity summary'!$H139:$BG139)&lt;52,IF('Capacity summary'!AI139&lt;&gt;"",IF(LOWER('Capacity summary'!AI139)="x",$BI20*AI20,VALUE('Capacity summary'!AI139)),0),AI20*$BI20),AI20*$BI20),0)</f>
        <v>0</v>
      </c>
      <c r="CM20" s="314">
        <f>IF($BI20&lt;&gt;"",IF('Capacity summary'!$D$14="Yes",IF(COUNTBLANK('Capacity summary'!$H139:$BG139)&lt;52,IF('Capacity summary'!AJ139&lt;&gt;"",IF(LOWER('Capacity summary'!AJ139)="x",$BI20*AJ20,VALUE('Capacity summary'!AJ139)),0),AJ20*$BI20),AJ20*$BI20),0)</f>
        <v>0</v>
      </c>
      <c r="CN20" s="314">
        <f>IF($BI20&lt;&gt;"",IF('Capacity summary'!$D$14="Yes",IF(COUNTBLANK('Capacity summary'!$H139:$BG139)&lt;52,IF('Capacity summary'!AK139&lt;&gt;"",IF(LOWER('Capacity summary'!AK139)="x",$BI20*AK20,VALUE('Capacity summary'!AK139)),0),AK20*$BI20),AK20*$BI20),0)</f>
        <v>0</v>
      </c>
      <c r="CO20" s="314">
        <f>IF($BI20&lt;&gt;"",IF('Capacity summary'!$D$14="Yes",IF(COUNTBLANK('Capacity summary'!$H139:$BG139)&lt;52,IF('Capacity summary'!AL139&lt;&gt;"",IF(LOWER('Capacity summary'!AL139)="x",$BI20*AL20,VALUE('Capacity summary'!AL139)),0),AL20*$BI20),AL20*$BI20),0)</f>
        <v>0</v>
      </c>
      <c r="CP20" s="314">
        <f>IF($BI20&lt;&gt;"",IF('Capacity summary'!$D$14="Yes",IF(COUNTBLANK('Capacity summary'!$H139:$BG139)&lt;52,IF('Capacity summary'!AM139&lt;&gt;"",IF(LOWER('Capacity summary'!AM139)="x",$BI20*AM20,VALUE('Capacity summary'!AM139)),0),AM20*$BI20),AM20*$BI20),0)</f>
        <v>0</v>
      </c>
      <c r="CQ20" s="314">
        <f>IF($BI20&lt;&gt;"",IF('Capacity summary'!$D$14="Yes",IF(COUNTBLANK('Capacity summary'!$H139:$BG139)&lt;52,IF('Capacity summary'!AN139&lt;&gt;"",IF(LOWER('Capacity summary'!AN139)="x",$BI20*AN20,VALUE('Capacity summary'!AN139)),0),AN20*$BI20),AN20*$BI20),0)</f>
        <v>0</v>
      </c>
      <c r="CR20" s="314">
        <f>IF($BI20&lt;&gt;"",IF('Capacity summary'!$D$14="Yes",IF(COUNTBLANK('Capacity summary'!$H139:$BG139)&lt;52,IF('Capacity summary'!AO139&lt;&gt;"",IF(LOWER('Capacity summary'!AO139)="x",$BI20*AO20,VALUE('Capacity summary'!AO139)),0),AO20*$BI20),AO20*$BI20),0)</f>
        <v>0</v>
      </c>
      <c r="CS20" s="314">
        <f>IF($BI20&lt;&gt;"",IF('Capacity summary'!$D$14="Yes",IF(COUNTBLANK('Capacity summary'!$H139:$BG139)&lt;52,IF('Capacity summary'!AP139&lt;&gt;"",IF(LOWER('Capacity summary'!AP139)="x",$BI20*AP20,VALUE('Capacity summary'!AP139)),0),AP20*$BI20),AP20*$BI20),0)</f>
        <v>0</v>
      </c>
      <c r="CT20" s="314">
        <f>IF($BI20&lt;&gt;"",IF('Capacity summary'!$D$14="Yes",IF(COUNTBLANK('Capacity summary'!$H139:$BG139)&lt;52,IF('Capacity summary'!AQ139&lt;&gt;"",IF(LOWER('Capacity summary'!AQ139)="x",$BI20*AQ20,VALUE('Capacity summary'!AQ139)),0),AQ20*$BI20),AQ20*$BI20),0)</f>
        <v>0</v>
      </c>
      <c r="CU20" s="314">
        <f>IF($BI20&lt;&gt;"",IF('Capacity summary'!$D$14="Yes",IF(COUNTBLANK('Capacity summary'!$H139:$BG139)&lt;52,IF('Capacity summary'!AR139&lt;&gt;"",IF(LOWER('Capacity summary'!AR139)="x",$BI20*AR20,VALUE('Capacity summary'!AR139)),0),AR20*$BI20),AR20*$BI20),0)</f>
        <v>0</v>
      </c>
      <c r="CV20" s="314">
        <f>IF($BI20&lt;&gt;"",IF('Capacity summary'!$D$14="Yes",IF(COUNTBLANK('Capacity summary'!$H139:$BG139)&lt;52,IF('Capacity summary'!AS139&lt;&gt;"",IF(LOWER('Capacity summary'!AS139)="x",$BI20*AS20,VALUE('Capacity summary'!AS139)),0),AS20*$BI20),AS20*$BI20),0)</f>
        <v>0</v>
      </c>
      <c r="CW20" s="314">
        <f>IF($BI20&lt;&gt;"",IF('Capacity summary'!$D$14="Yes",IF(COUNTBLANK('Capacity summary'!$H139:$BG139)&lt;52,IF('Capacity summary'!AT139&lt;&gt;"",IF(LOWER('Capacity summary'!AT139)="x",$BI20*AT20,VALUE('Capacity summary'!AT139)),0),AT20*$BI20),AT20*$BI20),0)</f>
        <v>0</v>
      </c>
      <c r="CX20" s="314">
        <f>IF($BI20&lt;&gt;"",IF('Capacity summary'!$D$14="Yes",IF(COUNTBLANK('Capacity summary'!$H139:$BG139)&lt;52,IF('Capacity summary'!AU139&lt;&gt;"",IF(LOWER('Capacity summary'!AU139)="x",$BI20*AU20,VALUE('Capacity summary'!AU139)),0),AU20*$BI20),AU20*$BI20),0)</f>
        <v>0</v>
      </c>
      <c r="CY20" s="314">
        <f>IF($BI20&lt;&gt;"",IF('Capacity summary'!$D$14="Yes",IF(COUNTBLANK('Capacity summary'!$H139:$BG139)&lt;52,IF('Capacity summary'!AV139&lt;&gt;"",IF(LOWER('Capacity summary'!AV139)="x",$BI20*AV20,VALUE('Capacity summary'!AV139)),0),AV20*$BI20),AV20*$BI20),0)</f>
        <v>0</v>
      </c>
      <c r="CZ20" s="314">
        <f>IF($BI20&lt;&gt;"",IF('Capacity summary'!$D$14="Yes",IF(COUNTBLANK('Capacity summary'!$H139:$BG139)&lt;52,IF('Capacity summary'!AW139&lt;&gt;"",IF(LOWER('Capacity summary'!AW139)="x",$BI20*AW20,VALUE('Capacity summary'!AW139)),0),AW20*$BI20),AW20*$BI20),0)</f>
        <v>0</v>
      </c>
      <c r="DA20" s="314">
        <f>IF($BI20&lt;&gt;"",IF('Capacity summary'!$D$14="Yes",IF(COUNTBLANK('Capacity summary'!$H139:$BG139)&lt;52,IF('Capacity summary'!AX139&lt;&gt;"",IF(LOWER('Capacity summary'!AX139)="x",$BI20*AX20,VALUE('Capacity summary'!AX139)),0),AX20*$BI20),AX20*$BI20),0)</f>
        <v>0</v>
      </c>
      <c r="DB20" s="314">
        <f>IF($BI20&lt;&gt;"",IF('Capacity summary'!$D$14="Yes",IF(COUNTBLANK('Capacity summary'!$H139:$BG139)&lt;52,IF('Capacity summary'!AY139&lt;&gt;"",IF(LOWER('Capacity summary'!AY139)="x",$BI20*AY20,VALUE('Capacity summary'!AY139)),0),AY20*$BI20),AY20*$BI20),0)</f>
        <v>0</v>
      </c>
      <c r="DC20" s="314">
        <f>IF($BI20&lt;&gt;"",IF('Capacity summary'!$D$14="Yes",IF(COUNTBLANK('Capacity summary'!$H139:$BG139)&lt;52,IF('Capacity summary'!AZ139&lt;&gt;"",IF(LOWER('Capacity summary'!AZ139)="x",$BI20*AZ20,VALUE('Capacity summary'!AZ139)),0),AZ20*$BI20),AZ20*$BI20),0)</f>
        <v>0</v>
      </c>
      <c r="DD20" s="314">
        <f>IF($BI20&lt;&gt;"",IF('Capacity summary'!$D$14="Yes",IF(COUNTBLANK('Capacity summary'!$H139:$BG139)&lt;52,IF('Capacity summary'!BA139&lt;&gt;"",IF(LOWER('Capacity summary'!BA139)="x",$BI20*BA20,VALUE('Capacity summary'!BA139)),0),BA20*$BI20),BA20*$BI20),0)</f>
        <v>0</v>
      </c>
      <c r="DE20" s="314">
        <f>IF($BI20&lt;&gt;"",IF('Capacity summary'!$D$14="Yes",IF(COUNTBLANK('Capacity summary'!$H139:$BG139)&lt;52,IF('Capacity summary'!BB139&lt;&gt;"",IF(LOWER('Capacity summary'!BB139)="x",$BI20*BB20,VALUE('Capacity summary'!BB139)),0),BB20*$BI20),BB20*$BI20),0)</f>
        <v>0</v>
      </c>
      <c r="DF20" s="314">
        <f>IF($BI20&lt;&gt;"",IF('Capacity summary'!$D$14="Yes",IF(COUNTBLANK('Capacity summary'!$H139:$BG139)&lt;52,IF('Capacity summary'!BC139&lt;&gt;"",IF(LOWER('Capacity summary'!BC139)="x",$BI20*BC20,VALUE('Capacity summary'!BC139)),0),BC20*$BI20),BC20*$BI20),0)</f>
        <v>0</v>
      </c>
      <c r="DG20" s="314">
        <f>IF($BI20&lt;&gt;"",IF('Capacity summary'!$D$14="Yes",IF(COUNTBLANK('Capacity summary'!$H139:$BG139)&lt;52,IF('Capacity summary'!BD139&lt;&gt;"",IF(LOWER('Capacity summary'!BD139)="x",$BI20*BD20,VALUE('Capacity summary'!BD139)),0),BD20*$BI20),BD20*$BI20),0)</f>
        <v>0</v>
      </c>
      <c r="DH20" s="314">
        <f>IF($BI20&lt;&gt;"",IF('Capacity summary'!$D$14="Yes",IF(COUNTBLANK('Capacity summary'!$H139:$BG139)&lt;52,IF('Capacity summary'!BE139&lt;&gt;"",IF(LOWER('Capacity summary'!BE139)="x",$BI20*BE20,VALUE('Capacity summary'!BE139)),0),BE20*$BI20),BE20*$BI20),0)</f>
        <v>0</v>
      </c>
      <c r="DI20" s="314">
        <f>IF($BI20&lt;&gt;"",IF('Capacity summary'!$D$14="Yes",IF(COUNTBLANK('Capacity summary'!$H139:$BG139)&lt;52,IF('Capacity summary'!BF139&lt;&gt;"",IF(LOWER('Capacity summary'!BF139)="x",$BI20*BF20,VALUE('Capacity summary'!BF139)),0),BF20*$BI20),BF20*$BI20),0)</f>
        <v>0</v>
      </c>
      <c r="DJ20" s="314">
        <f>IF($BI20&lt;&gt;"",IF('Capacity summary'!$D$14="Yes",IF(COUNTBLANK('Capacity summary'!$H139:$BG139)&lt;52,IF('Capacity summary'!BG139&lt;&gt;"",IF(LOWER('Capacity summary'!BG139)="x",$BI20*BG20,VALUE('Capacity summary'!BG139)),0),BG20*$BI20),BG20*$BI20),0)</f>
        <v>0</v>
      </c>
      <c r="DK20" s="137">
        <f t="shared" si="2"/>
        <v>0</v>
      </c>
      <c r="DL20" s="314" t="str">
        <f>Capacity!H32</f>
        <v/>
      </c>
      <c r="DP20" s="5"/>
    </row>
    <row r="21" spans="2:120" x14ac:dyDescent="0.25">
      <c r="B21" s="67"/>
      <c r="C21" s="67" t="str">
        <f>ROW(A17)&amp;". "&amp;Capacity!B33</f>
        <v xml:space="preserve">17. </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IF(ROW(C17)&lt;=Capacity!$A$16,IF('Capacity summary'!$D$14="No",SUM(H21:BG21),'Capacity summary'!$E140),0)</f>
        <v>0</v>
      </c>
      <c r="BI21" s="5" t="str">
        <f>IF(BH21&gt;0,IF(BH21&lt;Capacity!E33,Capacity!F33,Capacity!H33/'Capacity calculation (hide)'!BH21),"")</f>
        <v/>
      </c>
      <c r="BK21" s="314">
        <f>IF($BI21&lt;&gt;"",IF('Capacity summary'!$D$14="Yes",IF(COUNTBLANK('Capacity summary'!$H140:$BG140)&lt;52,IF('Capacity summary'!H140&lt;&gt;"",IF(LOWER('Capacity summary'!H140)="x",$BI21*H21,VALUE('Capacity summary'!H140)),0),H21*$BI21),H21*$BI21),0)</f>
        <v>0</v>
      </c>
      <c r="BL21" s="314">
        <f>IF($BI21&lt;&gt;"",IF('Capacity summary'!$D$14="Yes",IF(COUNTBLANK('Capacity summary'!$H140:$BG140)&lt;52,IF('Capacity summary'!I140&lt;&gt;"",IF(LOWER('Capacity summary'!I140)="x",$BI21*I21,VALUE('Capacity summary'!I140)),0),I21*$BI21),I21*$BI21),0)</f>
        <v>0</v>
      </c>
      <c r="BM21" s="314">
        <f>IF($BI21&lt;&gt;"",IF('Capacity summary'!$D$14="Yes",IF(COUNTBLANK('Capacity summary'!$H140:$BG140)&lt;52,IF('Capacity summary'!J140&lt;&gt;"",IF(LOWER('Capacity summary'!J140)="x",$BI21*J21,VALUE('Capacity summary'!J140)),0),J21*$BI21),J21*$BI21),0)</f>
        <v>0</v>
      </c>
      <c r="BN21" s="314">
        <f>IF($BI21&lt;&gt;"",IF('Capacity summary'!$D$14="Yes",IF(COUNTBLANK('Capacity summary'!$H140:$BG140)&lt;52,IF('Capacity summary'!K140&lt;&gt;"",IF(LOWER('Capacity summary'!K140)="x",$BI21*K21,VALUE('Capacity summary'!K140)),0),K21*$BI21),K21*$BI21),0)</f>
        <v>0</v>
      </c>
      <c r="BO21" s="314">
        <f>IF($BI21&lt;&gt;"",IF('Capacity summary'!$D$14="Yes",IF(COUNTBLANK('Capacity summary'!$H140:$BG140)&lt;52,IF('Capacity summary'!L140&lt;&gt;"",IF(LOWER('Capacity summary'!L140)="x",$BI21*L21,VALUE('Capacity summary'!L140)),0),L21*$BI21),L21*$BI21),0)</f>
        <v>0</v>
      </c>
      <c r="BP21" s="314">
        <f>IF($BI21&lt;&gt;"",IF('Capacity summary'!$D$14="Yes",IF(COUNTBLANK('Capacity summary'!$H140:$BG140)&lt;52,IF('Capacity summary'!M140&lt;&gt;"",IF(LOWER('Capacity summary'!M140)="x",$BI21*M21,VALUE('Capacity summary'!M140)),0),M21*$BI21),M21*$BI21),0)</f>
        <v>0</v>
      </c>
      <c r="BQ21" s="314">
        <f>IF($BI21&lt;&gt;"",IF('Capacity summary'!$D$14="Yes",IF(COUNTBLANK('Capacity summary'!$H140:$BG140)&lt;52,IF('Capacity summary'!N140&lt;&gt;"",IF(LOWER('Capacity summary'!N140)="x",$BI21*N21,VALUE('Capacity summary'!N140)),0),N21*$BI21),N21*$BI21),0)</f>
        <v>0</v>
      </c>
      <c r="BR21" s="314">
        <f>IF($BI21&lt;&gt;"",IF('Capacity summary'!$D$14="Yes",IF(COUNTBLANK('Capacity summary'!$H140:$BG140)&lt;52,IF('Capacity summary'!O140&lt;&gt;"",IF(LOWER('Capacity summary'!O140)="x",$BI21*O21,VALUE('Capacity summary'!O140)),0),O21*$BI21),O21*$BI21),0)</f>
        <v>0</v>
      </c>
      <c r="BS21" s="314">
        <f>IF($BI21&lt;&gt;"",IF('Capacity summary'!$D$14="Yes",IF(COUNTBLANK('Capacity summary'!$H140:$BG140)&lt;52,IF('Capacity summary'!P140&lt;&gt;"",IF(LOWER('Capacity summary'!P140)="x",$BI21*P21,VALUE('Capacity summary'!P140)),0),P21*$BI21),P21*$BI21),0)</f>
        <v>0</v>
      </c>
      <c r="BT21" s="314">
        <f>IF($BI21&lt;&gt;"",IF('Capacity summary'!$D$14="Yes",IF(COUNTBLANK('Capacity summary'!$H140:$BG140)&lt;52,IF('Capacity summary'!Q140&lt;&gt;"",IF(LOWER('Capacity summary'!Q140)="x",$BI21*Q21,VALUE('Capacity summary'!Q140)),0),Q21*$BI21),Q21*$BI21),0)</f>
        <v>0</v>
      </c>
      <c r="BU21" s="314">
        <f>IF($BI21&lt;&gt;"",IF('Capacity summary'!$D$14="Yes",IF(COUNTBLANK('Capacity summary'!$H140:$BG140)&lt;52,IF('Capacity summary'!R140&lt;&gt;"",IF(LOWER('Capacity summary'!R140)="x",$BI21*R21,VALUE('Capacity summary'!R140)),0),R21*$BI21),R21*$BI21),0)</f>
        <v>0</v>
      </c>
      <c r="BV21" s="314">
        <f>IF($BI21&lt;&gt;"",IF('Capacity summary'!$D$14="Yes",IF(COUNTBLANK('Capacity summary'!$H140:$BG140)&lt;52,IF('Capacity summary'!S140&lt;&gt;"",IF(LOWER('Capacity summary'!S140)="x",$BI21*S21,VALUE('Capacity summary'!S140)),0),S21*$BI21),S21*$BI21),0)</f>
        <v>0</v>
      </c>
      <c r="BW21" s="314">
        <f>IF($BI21&lt;&gt;"",IF('Capacity summary'!$D$14="Yes",IF(COUNTBLANK('Capacity summary'!$H140:$BG140)&lt;52,IF('Capacity summary'!T140&lt;&gt;"",IF(LOWER('Capacity summary'!T140)="x",$BI21*T21,VALUE('Capacity summary'!T140)),0),T21*$BI21),T21*$BI21),0)</f>
        <v>0</v>
      </c>
      <c r="BX21" s="314">
        <f>IF($BI21&lt;&gt;"",IF('Capacity summary'!$D$14="Yes",IF(COUNTBLANK('Capacity summary'!$H140:$BG140)&lt;52,IF('Capacity summary'!U140&lt;&gt;"",IF(LOWER('Capacity summary'!U140)="x",$BI21*U21,VALUE('Capacity summary'!U140)),0),U21*$BI21),U21*$BI21),0)</f>
        <v>0</v>
      </c>
      <c r="BY21" s="314">
        <f>IF($BI21&lt;&gt;"",IF('Capacity summary'!$D$14="Yes",IF(COUNTBLANK('Capacity summary'!$H140:$BG140)&lt;52,IF('Capacity summary'!V140&lt;&gt;"",IF(LOWER('Capacity summary'!V140)="x",$BI21*V21,VALUE('Capacity summary'!V140)),0),V21*$BI21),V21*$BI21),0)</f>
        <v>0</v>
      </c>
      <c r="BZ21" s="314">
        <f>IF($BI21&lt;&gt;"",IF('Capacity summary'!$D$14="Yes",IF(COUNTBLANK('Capacity summary'!$H140:$BG140)&lt;52,IF('Capacity summary'!W140&lt;&gt;"",IF(LOWER('Capacity summary'!W140)="x",$BI21*W21,VALUE('Capacity summary'!W140)),0),W21*$BI21),W21*$BI21),0)</f>
        <v>0</v>
      </c>
      <c r="CA21" s="314">
        <f>IF($BI21&lt;&gt;"",IF('Capacity summary'!$D$14="Yes",IF(COUNTBLANK('Capacity summary'!$H140:$BG140)&lt;52,IF('Capacity summary'!X140&lt;&gt;"",IF(LOWER('Capacity summary'!X140)="x",$BI21*X21,VALUE('Capacity summary'!X140)),0),X21*$BI21),X21*$BI21),0)</f>
        <v>0</v>
      </c>
      <c r="CB21" s="314">
        <f>IF($BI21&lt;&gt;"",IF('Capacity summary'!$D$14="Yes",IF(COUNTBLANK('Capacity summary'!$H140:$BG140)&lt;52,IF('Capacity summary'!Y140&lt;&gt;"",IF(LOWER('Capacity summary'!Y140)="x",$BI21*Y21,VALUE('Capacity summary'!Y140)),0),Y21*$BI21),Y21*$BI21),0)</f>
        <v>0</v>
      </c>
      <c r="CC21" s="314">
        <f>IF($BI21&lt;&gt;"",IF('Capacity summary'!$D$14="Yes",IF(COUNTBLANK('Capacity summary'!$H140:$BG140)&lt;52,IF('Capacity summary'!Z140&lt;&gt;"",IF(LOWER('Capacity summary'!Z140)="x",$BI21*Z21,VALUE('Capacity summary'!Z140)),0),Z21*$BI21),Z21*$BI21),0)</f>
        <v>0</v>
      </c>
      <c r="CD21" s="314">
        <f>IF($BI21&lt;&gt;"",IF('Capacity summary'!$D$14="Yes",IF(COUNTBLANK('Capacity summary'!$H140:$BG140)&lt;52,IF('Capacity summary'!AA140&lt;&gt;"",IF(LOWER('Capacity summary'!AA140)="x",$BI21*AA21,VALUE('Capacity summary'!AA140)),0),AA21*$BI21),AA21*$BI21),0)</f>
        <v>0</v>
      </c>
      <c r="CE21" s="314">
        <f>IF($BI21&lt;&gt;"",IF('Capacity summary'!$D$14="Yes",IF(COUNTBLANK('Capacity summary'!$H140:$BG140)&lt;52,IF('Capacity summary'!AB140&lt;&gt;"",IF(LOWER('Capacity summary'!AB140)="x",$BI21*AB21,VALUE('Capacity summary'!AB140)),0),AB21*$BI21),AB21*$BI21),0)</f>
        <v>0</v>
      </c>
      <c r="CF21" s="314">
        <f>IF($BI21&lt;&gt;"",IF('Capacity summary'!$D$14="Yes",IF(COUNTBLANK('Capacity summary'!$H140:$BG140)&lt;52,IF('Capacity summary'!AC140&lt;&gt;"",IF(LOWER('Capacity summary'!AC140)="x",$BI21*AC21,VALUE('Capacity summary'!AC140)),0),AC21*$BI21),AC21*$BI21),0)</f>
        <v>0</v>
      </c>
      <c r="CG21" s="314">
        <f>IF($BI21&lt;&gt;"",IF('Capacity summary'!$D$14="Yes",IF(COUNTBLANK('Capacity summary'!$H140:$BG140)&lt;52,IF('Capacity summary'!AD140&lt;&gt;"",IF(LOWER('Capacity summary'!AD140)="x",$BI21*AD21,VALUE('Capacity summary'!AD140)),0),AD21*$BI21),AD21*$BI21),0)</f>
        <v>0</v>
      </c>
      <c r="CH21" s="314">
        <f>IF($BI21&lt;&gt;"",IF('Capacity summary'!$D$14="Yes",IF(COUNTBLANK('Capacity summary'!$H140:$BG140)&lt;52,IF('Capacity summary'!AE140&lt;&gt;"",IF(LOWER('Capacity summary'!AE140)="x",$BI21*AE21,VALUE('Capacity summary'!AE140)),0),AE21*$BI21),AE21*$BI21),0)</f>
        <v>0</v>
      </c>
      <c r="CI21" s="314">
        <f>IF($BI21&lt;&gt;"",IF('Capacity summary'!$D$14="Yes",IF(COUNTBLANK('Capacity summary'!$H140:$BG140)&lt;52,IF('Capacity summary'!AF140&lt;&gt;"",IF(LOWER('Capacity summary'!AF140)="x",$BI21*AF21,VALUE('Capacity summary'!AF140)),0),AF21*$BI21),AF21*$BI21),0)</f>
        <v>0</v>
      </c>
      <c r="CJ21" s="314">
        <f>IF($BI21&lt;&gt;"",IF('Capacity summary'!$D$14="Yes",IF(COUNTBLANK('Capacity summary'!$H140:$BG140)&lt;52,IF('Capacity summary'!AG140&lt;&gt;"",IF(LOWER('Capacity summary'!AG140)="x",$BI21*AG21,VALUE('Capacity summary'!AG140)),0),AG21*$BI21),AG21*$BI21),0)</f>
        <v>0</v>
      </c>
      <c r="CK21" s="314">
        <f>IF($BI21&lt;&gt;"",IF('Capacity summary'!$D$14="Yes",IF(COUNTBLANK('Capacity summary'!$H140:$BG140)&lt;52,IF('Capacity summary'!AH140&lt;&gt;"",IF(LOWER('Capacity summary'!AH140)="x",$BI21*AH21,VALUE('Capacity summary'!AH140)),0),AH21*$BI21),AH21*$BI21),0)</f>
        <v>0</v>
      </c>
      <c r="CL21" s="314">
        <f>IF($BI21&lt;&gt;"",IF('Capacity summary'!$D$14="Yes",IF(COUNTBLANK('Capacity summary'!$H140:$BG140)&lt;52,IF('Capacity summary'!AI140&lt;&gt;"",IF(LOWER('Capacity summary'!AI140)="x",$BI21*AI21,VALUE('Capacity summary'!AI140)),0),AI21*$BI21),AI21*$BI21),0)</f>
        <v>0</v>
      </c>
      <c r="CM21" s="314">
        <f>IF($BI21&lt;&gt;"",IF('Capacity summary'!$D$14="Yes",IF(COUNTBLANK('Capacity summary'!$H140:$BG140)&lt;52,IF('Capacity summary'!AJ140&lt;&gt;"",IF(LOWER('Capacity summary'!AJ140)="x",$BI21*AJ21,VALUE('Capacity summary'!AJ140)),0),AJ21*$BI21),AJ21*$BI21),0)</f>
        <v>0</v>
      </c>
      <c r="CN21" s="314">
        <f>IF($BI21&lt;&gt;"",IF('Capacity summary'!$D$14="Yes",IF(COUNTBLANK('Capacity summary'!$H140:$BG140)&lt;52,IF('Capacity summary'!AK140&lt;&gt;"",IF(LOWER('Capacity summary'!AK140)="x",$BI21*AK21,VALUE('Capacity summary'!AK140)),0),AK21*$BI21),AK21*$BI21),0)</f>
        <v>0</v>
      </c>
      <c r="CO21" s="314">
        <f>IF($BI21&lt;&gt;"",IF('Capacity summary'!$D$14="Yes",IF(COUNTBLANK('Capacity summary'!$H140:$BG140)&lt;52,IF('Capacity summary'!AL140&lt;&gt;"",IF(LOWER('Capacity summary'!AL140)="x",$BI21*AL21,VALUE('Capacity summary'!AL140)),0),AL21*$BI21),AL21*$BI21),0)</f>
        <v>0</v>
      </c>
      <c r="CP21" s="314">
        <f>IF($BI21&lt;&gt;"",IF('Capacity summary'!$D$14="Yes",IF(COUNTBLANK('Capacity summary'!$H140:$BG140)&lt;52,IF('Capacity summary'!AM140&lt;&gt;"",IF(LOWER('Capacity summary'!AM140)="x",$BI21*AM21,VALUE('Capacity summary'!AM140)),0),AM21*$BI21),AM21*$BI21),0)</f>
        <v>0</v>
      </c>
      <c r="CQ21" s="314">
        <f>IF($BI21&lt;&gt;"",IF('Capacity summary'!$D$14="Yes",IF(COUNTBLANK('Capacity summary'!$H140:$BG140)&lt;52,IF('Capacity summary'!AN140&lt;&gt;"",IF(LOWER('Capacity summary'!AN140)="x",$BI21*AN21,VALUE('Capacity summary'!AN140)),0),AN21*$BI21),AN21*$BI21),0)</f>
        <v>0</v>
      </c>
      <c r="CR21" s="314">
        <f>IF($BI21&lt;&gt;"",IF('Capacity summary'!$D$14="Yes",IF(COUNTBLANK('Capacity summary'!$H140:$BG140)&lt;52,IF('Capacity summary'!AO140&lt;&gt;"",IF(LOWER('Capacity summary'!AO140)="x",$BI21*AO21,VALUE('Capacity summary'!AO140)),0),AO21*$BI21),AO21*$BI21),0)</f>
        <v>0</v>
      </c>
      <c r="CS21" s="314">
        <f>IF($BI21&lt;&gt;"",IF('Capacity summary'!$D$14="Yes",IF(COUNTBLANK('Capacity summary'!$H140:$BG140)&lt;52,IF('Capacity summary'!AP140&lt;&gt;"",IF(LOWER('Capacity summary'!AP140)="x",$BI21*AP21,VALUE('Capacity summary'!AP140)),0),AP21*$BI21),AP21*$BI21),0)</f>
        <v>0</v>
      </c>
      <c r="CT21" s="314">
        <f>IF($BI21&lt;&gt;"",IF('Capacity summary'!$D$14="Yes",IF(COUNTBLANK('Capacity summary'!$H140:$BG140)&lt;52,IF('Capacity summary'!AQ140&lt;&gt;"",IF(LOWER('Capacity summary'!AQ140)="x",$BI21*AQ21,VALUE('Capacity summary'!AQ140)),0),AQ21*$BI21),AQ21*$BI21),0)</f>
        <v>0</v>
      </c>
      <c r="CU21" s="314">
        <f>IF($BI21&lt;&gt;"",IF('Capacity summary'!$D$14="Yes",IF(COUNTBLANK('Capacity summary'!$H140:$BG140)&lt;52,IF('Capacity summary'!AR140&lt;&gt;"",IF(LOWER('Capacity summary'!AR140)="x",$BI21*AR21,VALUE('Capacity summary'!AR140)),0),AR21*$BI21),AR21*$BI21),0)</f>
        <v>0</v>
      </c>
      <c r="CV21" s="314">
        <f>IF($BI21&lt;&gt;"",IF('Capacity summary'!$D$14="Yes",IF(COUNTBLANK('Capacity summary'!$H140:$BG140)&lt;52,IF('Capacity summary'!AS140&lt;&gt;"",IF(LOWER('Capacity summary'!AS140)="x",$BI21*AS21,VALUE('Capacity summary'!AS140)),0),AS21*$BI21),AS21*$BI21),0)</f>
        <v>0</v>
      </c>
      <c r="CW21" s="314">
        <f>IF($BI21&lt;&gt;"",IF('Capacity summary'!$D$14="Yes",IF(COUNTBLANK('Capacity summary'!$H140:$BG140)&lt;52,IF('Capacity summary'!AT140&lt;&gt;"",IF(LOWER('Capacity summary'!AT140)="x",$BI21*AT21,VALUE('Capacity summary'!AT140)),0),AT21*$BI21),AT21*$BI21),0)</f>
        <v>0</v>
      </c>
      <c r="CX21" s="314">
        <f>IF($BI21&lt;&gt;"",IF('Capacity summary'!$D$14="Yes",IF(COUNTBLANK('Capacity summary'!$H140:$BG140)&lt;52,IF('Capacity summary'!AU140&lt;&gt;"",IF(LOWER('Capacity summary'!AU140)="x",$BI21*AU21,VALUE('Capacity summary'!AU140)),0),AU21*$BI21),AU21*$BI21),0)</f>
        <v>0</v>
      </c>
      <c r="CY21" s="314">
        <f>IF($BI21&lt;&gt;"",IF('Capacity summary'!$D$14="Yes",IF(COUNTBLANK('Capacity summary'!$H140:$BG140)&lt;52,IF('Capacity summary'!AV140&lt;&gt;"",IF(LOWER('Capacity summary'!AV140)="x",$BI21*AV21,VALUE('Capacity summary'!AV140)),0),AV21*$BI21),AV21*$BI21),0)</f>
        <v>0</v>
      </c>
      <c r="CZ21" s="314">
        <f>IF($BI21&lt;&gt;"",IF('Capacity summary'!$D$14="Yes",IF(COUNTBLANK('Capacity summary'!$H140:$BG140)&lt;52,IF('Capacity summary'!AW140&lt;&gt;"",IF(LOWER('Capacity summary'!AW140)="x",$BI21*AW21,VALUE('Capacity summary'!AW140)),0),AW21*$BI21),AW21*$BI21),0)</f>
        <v>0</v>
      </c>
      <c r="DA21" s="314">
        <f>IF($BI21&lt;&gt;"",IF('Capacity summary'!$D$14="Yes",IF(COUNTBLANK('Capacity summary'!$H140:$BG140)&lt;52,IF('Capacity summary'!AX140&lt;&gt;"",IF(LOWER('Capacity summary'!AX140)="x",$BI21*AX21,VALUE('Capacity summary'!AX140)),0),AX21*$BI21),AX21*$BI21),0)</f>
        <v>0</v>
      </c>
      <c r="DB21" s="314">
        <f>IF($BI21&lt;&gt;"",IF('Capacity summary'!$D$14="Yes",IF(COUNTBLANK('Capacity summary'!$H140:$BG140)&lt;52,IF('Capacity summary'!AY140&lt;&gt;"",IF(LOWER('Capacity summary'!AY140)="x",$BI21*AY21,VALUE('Capacity summary'!AY140)),0),AY21*$BI21),AY21*$BI21),0)</f>
        <v>0</v>
      </c>
      <c r="DC21" s="314">
        <f>IF($BI21&lt;&gt;"",IF('Capacity summary'!$D$14="Yes",IF(COUNTBLANK('Capacity summary'!$H140:$BG140)&lt;52,IF('Capacity summary'!AZ140&lt;&gt;"",IF(LOWER('Capacity summary'!AZ140)="x",$BI21*AZ21,VALUE('Capacity summary'!AZ140)),0),AZ21*$BI21),AZ21*$BI21),0)</f>
        <v>0</v>
      </c>
      <c r="DD21" s="314">
        <f>IF($BI21&lt;&gt;"",IF('Capacity summary'!$D$14="Yes",IF(COUNTBLANK('Capacity summary'!$H140:$BG140)&lt;52,IF('Capacity summary'!BA140&lt;&gt;"",IF(LOWER('Capacity summary'!BA140)="x",$BI21*BA21,VALUE('Capacity summary'!BA140)),0),BA21*$BI21),BA21*$BI21),0)</f>
        <v>0</v>
      </c>
      <c r="DE21" s="314">
        <f>IF($BI21&lt;&gt;"",IF('Capacity summary'!$D$14="Yes",IF(COUNTBLANK('Capacity summary'!$H140:$BG140)&lt;52,IF('Capacity summary'!BB140&lt;&gt;"",IF(LOWER('Capacity summary'!BB140)="x",$BI21*BB21,VALUE('Capacity summary'!BB140)),0),BB21*$BI21),BB21*$BI21),0)</f>
        <v>0</v>
      </c>
      <c r="DF21" s="314">
        <f>IF($BI21&lt;&gt;"",IF('Capacity summary'!$D$14="Yes",IF(COUNTBLANK('Capacity summary'!$H140:$BG140)&lt;52,IF('Capacity summary'!BC140&lt;&gt;"",IF(LOWER('Capacity summary'!BC140)="x",$BI21*BC21,VALUE('Capacity summary'!BC140)),0),BC21*$BI21),BC21*$BI21),0)</f>
        <v>0</v>
      </c>
      <c r="DG21" s="314">
        <f>IF($BI21&lt;&gt;"",IF('Capacity summary'!$D$14="Yes",IF(COUNTBLANK('Capacity summary'!$H140:$BG140)&lt;52,IF('Capacity summary'!BD140&lt;&gt;"",IF(LOWER('Capacity summary'!BD140)="x",$BI21*BD21,VALUE('Capacity summary'!BD140)),0),BD21*$BI21),BD21*$BI21),0)</f>
        <v>0</v>
      </c>
      <c r="DH21" s="314">
        <f>IF($BI21&lt;&gt;"",IF('Capacity summary'!$D$14="Yes",IF(COUNTBLANK('Capacity summary'!$H140:$BG140)&lt;52,IF('Capacity summary'!BE140&lt;&gt;"",IF(LOWER('Capacity summary'!BE140)="x",$BI21*BE21,VALUE('Capacity summary'!BE140)),0),BE21*$BI21),BE21*$BI21),0)</f>
        <v>0</v>
      </c>
      <c r="DI21" s="314">
        <f>IF($BI21&lt;&gt;"",IF('Capacity summary'!$D$14="Yes",IF(COUNTBLANK('Capacity summary'!$H140:$BG140)&lt;52,IF('Capacity summary'!BF140&lt;&gt;"",IF(LOWER('Capacity summary'!BF140)="x",$BI21*BF21,VALUE('Capacity summary'!BF140)),0),BF21*$BI21),BF21*$BI21),0)</f>
        <v>0</v>
      </c>
      <c r="DJ21" s="314">
        <f>IF($BI21&lt;&gt;"",IF('Capacity summary'!$D$14="Yes",IF(COUNTBLANK('Capacity summary'!$H140:$BG140)&lt;52,IF('Capacity summary'!BG140&lt;&gt;"",IF(LOWER('Capacity summary'!BG140)="x",$BI21*BG21,VALUE('Capacity summary'!BG140)),0),BG21*$BI21),BG21*$BI21),0)</f>
        <v>0</v>
      </c>
      <c r="DK21" s="137">
        <f t="shared" si="2"/>
        <v>0</v>
      </c>
      <c r="DL21" s="314" t="str">
        <f>Capacity!H33</f>
        <v/>
      </c>
      <c r="DP21" s="5"/>
    </row>
    <row r="22" spans="2:120" x14ac:dyDescent="0.25">
      <c r="B22" s="67"/>
      <c r="C22" s="67" t="str">
        <f>ROW(A18)&amp;". "&amp;Capacity!B34</f>
        <v xml:space="preserve">18. </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IF(ROW(C18)&lt;=Capacity!$A$16,IF('Capacity summary'!$D$14="No",SUM(H22:BG22),'Capacity summary'!$E141),0)</f>
        <v>0</v>
      </c>
      <c r="BI22" s="5" t="str">
        <f>IF(BH22&gt;0,IF(BH22&lt;Capacity!E34,Capacity!F34,Capacity!H34/'Capacity calculation (hide)'!BH22),"")</f>
        <v/>
      </c>
      <c r="BK22" s="314">
        <f>IF($BI22&lt;&gt;"",IF('Capacity summary'!$D$14="Yes",IF(COUNTBLANK('Capacity summary'!$H141:$BG141)&lt;52,IF('Capacity summary'!H141&lt;&gt;"",IF(LOWER('Capacity summary'!H141)="x",$BI22*H22,VALUE('Capacity summary'!H141)),0),H22*$BI22),H22*$BI22),0)</f>
        <v>0</v>
      </c>
      <c r="BL22" s="314">
        <f>IF($BI22&lt;&gt;"",IF('Capacity summary'!$D$14="Yes",IF(COUNTBLANK('Capacity summary'!$H141:$BG141)&lt;52,IF('Capacity summary'!I141&lt;&gt;"",IF(LOWER('Capacity summary'!I141)="x",$BI22*I22,VALUE('Capacity summary'!I141)),0),I22*$BI22),I22*$BI22),0)</f>
        <v>0</v>
      </c>
      <c r="BM22" s="314">
        <f>IF($BI22&lt;&gt;"",IF('Capacity summary'!$D$14="Yes",IF(COUNTBLANK('Capacity summary'!$H141:$BG141)&lt;52,IF('Capacity summary'!J141&lt;&gt;"",IF(LOWER('Capacity summary'!J141)="x",$BI22*J22,VALUE('Capacity summary'!J141)),0),J22*$BI22),J22*$BI22),0)</f>
        <v>0</v>
      </c>
      <c r="BN22" s="314">
        <f>IF($BI22&lt;&gt;"",IF('Capacity summary'!$D$14="Yes",IF(COUNTBLANK('Capacity summary'!$H141:$BG141)&lt;52,IF('Capacity summary'!K141&lt;&gt;"",IF(LOWER('Capacity summary'!K141)="x",$BI22*K22,VALUE('Capacity summary'!K141)),0),K22*$BI22),K22*$BI22),0)</f>
        <v>0</v>
      </c>
      <c r="BO22" s="314">
        <f>IF($BI22&lt;&gt;"",IF('Capacity summary'!$D$14="Yes",IF(COUNTBLANK('Capacity summary'!$H141:$BG141)&lt;52,IF('Capacity summary'!L141&lt;&gt;"",IF(LOWER('Capacity summary'!L141)="x",$BI22*L22,VALUE('Capacity summary'!L141)),0),L22*$BI22),L22*$BI22),0)</f>
        <v>0</v>
      </c>
      <c r="BP22" s="314">
        <f>IF($BI22&lt;&gt;"",IF('Capacity summary'!$D$14="Yes",IF(COUNTBLANK('Capacity summary'!$H141:$BG141)&lt;52,IF('Capacity summary'!M141&lt;&gt;"",IF(LOWER('Capacity summary'!M141)="x",$BI22*M22,VALUE('Capacity summary'!M141)),0),M22*$BI22),M22*$BI22),0)</f>
        <v>0</v>
      </c>
      <c r="BQ22" s="314">
        <f>IF($BI22&lt;&gt;"",IF('Capacity summary'!$D$14="Yes",IF(COUNTBLANK('Capacity summary'!$H141:$BG141)&lt;52,IF('Capacity summary'!N141&lt;&gt;"",IF(LOWER('Capacity summary'!N141)="x",$BI22*N22,VALUE('Capacity summary'!N141)),0),N22*$BI22),N22*$BI22),0)</f>
        <v>0</v>
      </c>
      <c r="BR22" s="314">
        <f>IF($BI22&lt;&gt;"",IF('Capacity summary'!$D$14="Yes",IF(COUNTBLANK('Capacity summary'!$H141:$BG141)&lt;52,IF('Capacity summary'!O141&lt;&gt;"",IF(LOWER('Capacity summary'!O141)="x",$BI22*O22,VALUE('Capacity summary'!O141)),0),O22*$BI22),O22*$BI22),0)</f>
        <v>0</v>
      </c>
      <c r="BS22" s="314">
        <f>IF($BI22&lt;&gt;"",IF('Capacity summary'!$D$14="Yes",IF(COUNTBLANK('Capacity summary'!$H141:$BG141)&lt;52,IF('Capacity summary'!P141&lt;&gt;"",IF(LOWER('Capacity summary'!P141)="x",$BI22*P22,VALUE('Capacity summary'!P141)),0),P22*$BI22),P22*$BI22),0)</f>
        <v>0</v>
      </c>
      <c r="BT22" s="314">
        <f>IF($BI22&lt;&gt;"",IF('Capacity summary'!$D$14="Yes",IF(COUNTBLANK('Capacity summary'!$H141:$BG141)&lt;52,IF('Capacity summary'!Q141&lt;&gt;"",IF(LOWER('Capacity summary'!Q141)="x",$BI22*Q22,VALUE('Capacity summary'!Q141)),0),Q22*$BI22),Q22*$BI22),0)</f>
        <v>0</v>
      </c>
      <c r="BU22" s="314">
        <f>IF($BI22&lt;&gt;"",IF('Capacity summary'!$D$14="Yes",IF(COUNTBLANK('Capacity summary'!$H141:$BG141)&lt;52,IF('Capacity summary'!R141&lt;&gt;"",IF(LOWER('Capacity summary'!R141)="x",$BI22*R22,VALUE('Capacity summary'!R141)),0),R22*$BI22),R22*$BI22),0)</f>
        <v>0</v>
      </c>
      <c r="BV22" s="314">
        <f>IF($BI22&lt;&gt;"",IF('Capacity summary'!$D$14="Yes",IF(COUNTBLANK('Capacity summary'!$H141:$BG141)&lt;52,IF('Capacity summary'!S141&lt;&gt;"",IF(LOWER('Capacity summary'!S141)="x",$BI22*S22,VALUE('Capacity summary'!S141)),0),S22*$BI22),S22*$BI22),0)</f>
        <v>0</v>
      </c>
      <c r="BW22" s="314">
        <f>IF($BI22&lt;&gt;"",IF('Capacity summary'!$D$14="Yes",IF(COUNTBLANK('Capacity summary'!$H141:$BG141)&lt;52,IF('Capacity summary'!T141&lt;&gt;"",IF(LOWER('Capacity summary'!T141)="x",$BI22*T22,VALUE('Capacity summary'!T141)),0),T22*$BI22),T22*$BI22),0)</f>
        <v>0</v>
      </c>
      <c r="BX22" s="314">
        <f>IF($BI22&lt;&gt;"",IF('Capacity summary'!$D$14="Yes",IF(COUNTBLANK('Capacity summary'!$H141:$BG141)&lt;52,IF('Capacity summary'!U141&lt;&gt;"",IF(LOWER('Capacity summary'!U141)="x",$BI22*U22,VALUE('Capacity summary'!U141)),0),U22*$BI22),U22*$BI22),0)</f>
        <v>0</v>
      </c>
      <c r="BY22" s="314">
        <f>IF($BI22&lt;&gt;"",IF('Capacity summary'!$D$14="Yes",IF(COUNTBLANK('Capacity summary'!$H141:$BG141)&lt;52,IF('Capacity summary'!V141&lt;&gt;"",IF(LOWER('Capacity summary'!V141)="x",$BI22*V22,VALUE('Capacity summary'!V141)),0),V22*$BI22),V22*$BI22),0)</f>
        <v>0</v>
      </c>
      <c r="BZ22" s="314">
        <f>IF($BI22&lt;&gt;"",IF('Capacity summary'!$D$14="Yes",IF(COUNTBLANK('Capacity summary'!$H141:$BG141)&lt;52,IF('Capacity summary'!W141&lt;&gt;"",IF(LOWER('Capacity summary'!W141)="x",$BI22*W22,VALUE('Capacity summary'!W141)),0),W22*$BI22),W22*$BI22),0)</f>
        <v>0</v>
      </c>
      <c r="CA22" s="314">
        <f>IF($BI22&lt;&gt;"",IF('Capacity summary'!$D$14="Yes",IF(COUNTBLANK('Capacity summary'!$H141:$BG141)&lt;52,IF('Capacity summary'!X141&lt;&gt;"",IF(LOWER('Capacity summary'!X141)="x",$BI22*X22,VALUE('Capacity summary'!X141)),0),X22*$BI22),X22*$BI22),0)</f>
        <v>0</v>
      </c>
      <c r="CB22" s="314">
        <f>IF($BI22&lt;&gt;"",IF('Capacity summary'!$D$14="Yes",IF(COUNTBLANK('Capacity summary'!$H141:$BG141)&lt;52,IF('Capacity summary'!Y141&lt;&gt;"",IF(LOWER('Capacity summary'!Y141)="x",$BI22*Y22,VALUE('Capacity summary'!Y141)),0),Y22*$BI22),Y22*$BI22),0)</f>
        <v>0</v>
      </c>
      <c r="CC22" s="314">
        <f>IF($BI22&lt;&gt;"",IF('Capacity summary'!$D$14="Yes",IF(COUNTBLANK('Capacity summary'!$H141:$BG141)&lt;52,IF('Capacity summary'!Z141&lt;&gt;"",IF(LOWER('Capacity summary'!Z141)="x",$BI22*Z22,VALUE('Capacity summary'!Z141)),0),Z22*$BI22),Z22*$BI22),0)</f>
        <v>0</v>
      </c>
      <c r="CD22" s="314">
        <f>IF($BI22&lt;&gt;"",IF('Capacity summary'!$D$14="Yes",IF(COUNTBLANK('Capacity summary'!$H141:$BG141)&lt;52,IF('Capacity summary'!AA141&lt;&gt;"",IF(LOWER('Capacity summary'!AA141)="x",$BI22*AA22,VALUE('Capacity summary'!AA141)),0),AA22*$BI22),AA22*$BI22),0)</f>
        <v>0</v>
      </c>
      <c r="CE22" s="314">
        <f>IF($BI22&lt;&gt;"",IF('Capacity summary'!$D$14="Yes",IF(COUNTBLANK('Capacity summary'!$H141:$BG141)&lt;52,IF('Capacity summary'!AB141&lt;&gt;"",IF(LOWER('Capacity summary'!AB141)="x",$BI22*AB22,VALUE('Capacity summary'!AB141)),0),AB22*$BI22),AB22*$BI22),0)</f>
        <v>0</v>
      </c>
      <c r="CF22" s="314">
        <f>IF($BI22&lt;&gt;"",IF('Capacity summary'!$D$14="Yes",IF(COUNTBLANK('Capacity summary'!$H141:$BG141)&lt;52,IF('Capacity summary'!AC141&lt;&gt;"",IF(LOWER('Capacity summary'!AC141)="x",$BI22*AC22,VALUE('Capacity summary'!AC141)),0),AC22*$BI22),AC22*$BI22),0)</f>
        <v>0</v>
      </c>
      <c r="CG22" s="314">
        <f>IF($BI22&lt;&gt;"",IF('Capacity summary'!$D$14="Yes",IF(COUNTBLANK('Capacity summary'!$H141:$BG141)&lt;52,IF('Capacity summary'!AD141&lt;&gt;"",IF(LOWER('Capacity summary'!AD141)="x",$BI22*AD22,VALUE('Capacity summary'!AD141)),0),AD22*$BI22),AD22*$BI22),0)</f>
        <v>0</v>
      </c>
      <c r="CH22" s="314">
        <f>IF($BI22&lt;&gt;"",IF('Capacity summary'!$D$14="Yes",IF(COUNTBLANK('Capacity summary'!$H141:$BG141)&lt;52,IF('Capacity summary'!AE141&lt;&gt;"",IF(LOWER('Capacity summary'!AE141)="x",$BI22*AE22,VALUE('Capacity summary'!AE141)),0),AE22*$BI22),AE22*$BI22),0)</f>
        <v>0</v>
      </c>
      <c r="CI22" s="314">
        <f>IF($BI22&lt;&gt;"",IF('Capacity summary'!$D$14="Yes",IF(COUNTBLANK('Capacity summary'!$H141:$BG141)&lt;52,IF('Capacity summary'!AF141&lt;&gt;"",IF(LOWER('Capacity summary'!AF141)="x",$BI22*AF22,VALUE('Capacity summary'!AF141)),0),AF22*$BI22),AF22*$BI22),0)</f>
        <v>0</v>
      </c>
      <c r="CJ22" s="314">
        <f>IF($BI22&lt;&gt;"",IF('Capacity summary'!$D$14="Yes",IF(COUNTBLANK('Capacity summary'!$H141:$BG141)&lt;52,IF('Capacity summary'!AG141&lt;&gt;"",IF(LOWER('Capacity summary'!AG141)="x",$BI22*AG22,VALUE('Capacity summary'!AG141)),0),AG22*$BI22),AG22*$BI22),0)</f>
        <v>0</v>
      </c>
      <c r="CK22" s="314">
        <f>IF($BI22&lt;&gt;"",IF('Capacity summary'!$D$14="Yes",IF(COUNTBLANK('Capacity summary'!$H141:$BG141)&lt;52,IF('Capacity summary'!AH141&lt;&gt;"",IF(LOWER('Capacity summary'!AH141)="x",$BI22*AH22,VALUE('Capacity summary'!AH141)),0),AH22*$BI22),AH22*$BI22),0)</f>
        <v>0</v>
      </c>
      <c r="CL22" s="314">
        <f>IF($BI22&lt;&gt;"",IF('Capacity summary'!$D$14="Yes",IF(COUNTBLANK('Capacity summary'!$H141:$BG141)&lt;52,IF('Capacity summary'!AI141&lt;&gt;"",IF(LOWER('Capacity summary'!AI141)="x",$BI22*AI22,VALUE('Capacity summary'!AI141)),0),AI22*$BI22),AI22*$BI22),0)</f>
        <v>0</v>
      </c>
      <c r="CM22" s="314">
        <f>IF($BI22&lt;&gt;"",IF('Capacity summary'!$D$14="Yes",IF(COUNTBLANK('Capacity summary'!$H141:$BG141)&lt;52,IF('Capacity summary'!AJ141&lt;&gt;"",IF(LOWER('Capacity summary'!AJ141)="x",$BI22*AJ22,VALUE('Capacity summary'!AJ141)),0),AJ22*$BI22),AJ22*$BI22),0)</f>
        <v>0</v>
      </c>
      <c r="CN22" s="314">
        <f>IF($BI22&lt;&gt;"",IF('Capacity summary'!$D$14="Yes",IF(COUNTBLANK('Capacity summary'!$H141:$BG141)&lt;52,IF('Capacity summary'!AK141&lt;&gt;"",IF(LOWER('Capacity summary'!AK141)="x",$BI22*AK22,VALUE('Capacity summary'!AK141)),0),AK22*$BI22),AK22*$BI22),0)</f>
        <v>0</v>
      </c>
      <c r="CO22" s="314">
        <f>IF($BI22&lt;&gt;"",IF('Capacity summary'!$D$14="Yes",IF(COUNTBLANK('Capacity summary'!$H141:$BG141)&lt;52,IF('Capacity summary'!AL141&lt;&gt;"",IF(LOWER('Capacity summary'!AL141)="x",$BI22*AL22,VALUE('Capacity summary'!AL141)),0),AL22*$BI22),AL22*$BI22),0)</f>
        <v>0</v>
      </c>
      <c r="CP22" s="314">
        <f>IF($BI22&lt;&gt;"",IF('Capacity summary'!$D$14="Yes",IF(COUNTBLANK('Capacity summary'!$H141:$BG141)&lt;52,IF('Capacity summary'!AM141&lt;&gt;"",IF(LOWER('Capacity summary'!AM141)="x",$BI22*AM22,VALUE('Capacity summary'!AM141)),0),AM22*$BI22),AM22*$BI22),0)</f>
        <v>0</v>
      </c>
      <c r="CQ22" s="314">
        <f>IF($BI22&lt;&gt;"",IF('Capacity summary'!$D$14="Yes",IF(COUNTBLANK('Capacity summary'!$H141:$BG141)&lt;52,IF('Capacity summary'!AN141&lt;&gt;"",IF(LOWER('Capacity summary'!AN141)="x",$BI22*AN22,VALUE('Capacity summary'!AN141)),0),AN22*$BI22),AN22*$BI22),0)</f>
        <v>0</v>
      </c>
      <c r="CR22" s="314">
        <f>IF($BI22&lt;&gt;"",IF('Capacity summary'!$D$14="Yes",IF(COUNTBLANK('Capacity summary'!$H141:$BG141)&lt;52,IF('Capacity summary'!AO141&lt;&gt;"",IF(LOWER('Capacity summary'!AO141)="x",$BI22*AO22,VALUE('Capacity summary'!AO141)),0),AO22*$BI22),AO22*$BI22),0)</f>
        <v>0</v>
      </c>
      <c r="CS22" s="314">
        <f>IF($BI22&lt;&gt;"",IF('Capacity summary'!$D$14="Yes",IF(COUNTBLANK('Capacity summary'!$H141:$BG141)&lt;52,IF('Capacity summary'!AP141&lt;&gt;"",IF(LOWER('Capacity summary'!AP141)="x",$BI22*AP22,VALUE('Capacity summary'!AP141)),0),AP22*$BI22),AP22*$BI22),0)</f>
        <v>0</v>
      </c>
      <c r="CT22" s="314">
        <f>IF($BI22&lt;&gt;"",IF('Capacity summary'!$D$14="Yes",IF(COUNTBLANK('Capacity summary'!$H141:$BG141)&lt;52,IF('Capacity summary'!AQ141&lt;&gt;"",IF(LOWER('Capacity summary'!AQ141)="x",$BI22*AQ22,VALUE('Capacity summary'!AQ141)),0),AQ22*$BI22),AQ22*$BI22),0)</f>
        <v>0</v>
      </c>
      <c r="CU22" s="314">
        <f>IF($BI22&lt;&gt;"",IF('Capacity summary'!$D$14="Yes",IF(COUNTBLANK('Capacity summary'!$H141:$BG141)&lt;52,IF('Capacity summary'!AR141&lt;&gt;"",IF(LOWER('Capacity summary'!AR141)="x",$BI22*AR22,VALUE('Capacity summary'!AR141)),0),AR22*$BI22),AR22*$BI22),0)</f>
        <v>0</v>
      </c>
      <c r="CV22" s="314">
        <f>IF($BI22&lt;&gt;"",IF('Capacity summary'!$D$14="Yes",IF(COUNTBLANK('Capacity summary'!$H141:$BG141)&lt;52,IF('Capacity summary'!AS141&lt;&gt;"",IF(LOWER('Capacity summary'!AS141)="x",$BI22*AS22,VALUE('Capacity summary'!AS141)),0),AS22*$BI22),AS22*$BI22),0)</f>
        <v>0</v>
      </c>
      <c r="CW22" s="314">
        <f>IF($BI22&lt;&gt;"",IF('Capacity summary'!$D$14="Yes",IF(COUNTBLANK('Capacity summary'!$H141:$BG141)&lt;52,IF('Capacity summary'!AT141&lt;&gt;"",IF(LOWER('Capacity summary'!AT141)="x",$BI22*AT22,VALUE('Capacity summary'!AT141)),0),AT22*$BI22),AT22*$BI22),0)</f>
        <v>0</v>
      </c>
      <c r="CX22" s="314">
        <f>IF($BI22&lt;&gt;"",IF('Capacity summary'!$D$14="Yes",IF(COUNTBLANK('Capacity summary'!$H141:$BG141)&lt;52,IF('Capacity summary'!AU141&lt;&gt;"",IF(LOWER('Capacity summary'!AU141)="x",$BI22*AU22,VALUE('Capacity summary'!AU141)),0),AU22*$BI22),AU22*$BI22),0)</f>
        <v>0</v>
      </c>
      <c r="CY22" s="314">
        <f>IF($BI22&lt;&gt;"",IF('Capacity summary'!$D$14="Yes",IF(COUNTBLANK('Capacity summary'!$H141:$BG141)&lt;52,IF('Capacity summary'!AV141&lt;&gt;"",IF(LOWER('Capacity summary'!AV141)="x",$BI22*AV22,VALUE('Capacity summary'!AV141)),0),AV22*$BI22),AV22*$BI22),0)</f>
        <v>0</v>
      </c>
      <c r="CZ22" s="314">
        <f>IF($BI22&lt;&gt;"",IF('Capacity summary'!$D$14="Yes",IF(COUNTBLANK('Capacity summary'!$H141:$BG141)&lt;52,IF('Capacity summary'!AW141&lt;&gt;"",IF(LOWER('Capacity summary'!AW141)="x",$BI22*AW22,VALUE('Capacity summary'!AW141)),0),AW22*$BI22),AW22*$BI22),0)</f>
        <v>0</v>
      </c>
      <c r="DA22" s="314">
        <f>IF($BI22&lt;&gt;"",IF('Capacity summary'!$D$14="Yes",IF(COUNTBLANK('Capacity summary'!$H141:$BG141)&lt;52,IF('Capacity summary'!AX141&lt;&gt;"",IF(LOWER('Capacity summary'!AX141)="x",$BI22*AX22,VALUE('Capacity summary'!AX141)),0),AX22*$BI22),AX22*$BI22),0)</f>
        <v>0</v>
      </c>
      <c r="DB22" s="314">
        <f>IF($BI22&lt;&gt;"",IF('Capacity summary'!$D$14="Yes",IF(COUNTBLANK('Capacity summary'!$H141:$BG141)&lt;52,IF('Capacity summary'!AY141&lt;&gt;"",IF(LOWER('Capacity summary'!AY141)="x",$BI22*AY22,VALUE('Capacity summary'!AY141)),0),AY22*$BI22),AY22*$BI22),0)</f>
        <v>0</v>
      </c>
      <c r="DC22" s="314">
        <f>IF($BI22&lt;&gt;"",IF('Capacity summary'!$D$14="Yes",IF(COUNTBLANK('Capacity summary'!$H141:$BG141)&lt;52,IF('Capacity summary'!AZ141&lt;&gt;"",IF(LOWER('Capacity summary'!AZ141)="x",$BI22*AZ22,VALUE('Capacity summary'!AZ141)),0),AZ22*$BI22),AZ22*$BI22),0)</f>
        <v>0</v>
      </c>
      <c r="DD22" s="314">
        <f>IF($BI22&lt;&gt;"",IF('Capacity summary'!$D$14="Yes",IF(COUNTBLANK('Capacity summary'!$H141:$BG141)&lt;52,IF('Capacity summary'!BA141&lt;&gt;"",IF(LOWER('Capacity summary'!BA141)="x",$BI22*BA22,VALUE('Capacity summary'!BA141)),0),BA22*$BI22),BA22*$BI22),0)</f>
        <v>0</v>
      </c>
      <c r="DE22" s="314">
        <f>IF($BI22&lt;&gt;"",IF('Capacity summary'!$D$14="Yes",IF(COUNTBLANK('Capacity summary'!$H141:$BG141)&lt;52,IF('Capacity summary'!BB141&lt;&gt;"",IF(LOWER('Capacity summary'!BB141)="x",$BI22*BB22,VALUE('Capacity summary'!BB141)),0),BB22*$BI22),BB22*$BI22),0)</f>
        <v>0</v>
      </c>
      <c r="DF22" s="314">
        <f>IF($BI22&lt;&gt;"",IF('Capacity summary'!$D$14="Yes",IF(COUNTBLANK('Capacity summary'!$H141:$BG141)&lt;52,IF('Capacity summary'!BC141&lt;&gt;"",IF(LOWER('Capacity summary'!BC141)="x",$BI22*BC22,VALUE('Capacity summary'!BC141)),0),BC22*$BI22),BC22*$BI22),0)</f>
        <v>0</v>
      </c>
      <c r="DG22" s="314">
        <f>IF($BI22&lt;&gt;"",IF('Capacity summary'!$D$14="Yes",IF(COUNTBLANK('Capacity summary'!$H141:$BG141)&lt;52,IF('Capacity summary'!BD141&lt;&gt;"",IF(LOWER('Capacity summary'!BD141)="x",$BI22*BD22,VALUE('Capacity summary'!BD141)),0),BD22*$BI22),BD22*$BI22),0)</f>
        <v>0</v>
      </c>
      <c r="DH22" s="314">
        <f>IF($BI22&lt;&gt;"",IF('Capacity summary'!$D$14="Yes",IF(COUNTBLANK('Capacity summary'!$H141:$BG141)&lt;52,IF('Capacity summary'!BE141&lt;&gt;"",IF(LOWER('Capacity summary'!BE141)="x",$BI22*BE22,VALUE('Capacity summary'!BE141)),0),BE22*$BI22),BE22*$BI22),0)</f>
        <v>0</v>
      </c>
      <c r="DI22" s="314">
        <f>IF($BI22&lt;&gt;"",IF('Capacity summary'!$D$14="Yes",IF(COUNTBLANK('Capacity summary'!$H141:$BG141)&lt;52,IF('Capacity summary'!BF141&lt;&gt;"",IF(LOWER('Capacity summary'!BF141)="x",$BI22*BF22,VALUE('Capacity summary'!BF141)),0),BF22*$BI22),BF22*$BI22),0)</f>
        <v>0</v>
      </c>
      <c r="DJ22" s="314">
        <f>IF($BI22&lt;&gt;"",IF('Capacity summary'!$D$14="Yes",IF(COUNTBLANK('Capacity summary'!$H141:$BG141)&lt;52,IF('Capacity summary'!BG141&lt;&gt;"",IF(LOWER('Capacity summary'!BG141)="x",$BI22*BG22,VALUE('Capacity summary'!BG141)),0),BG22*$BI22),BG22*$BI22),0)</f>
        <v>0</v>
      </c>
      <c r="DK22" s="137">
        <f t="shared" si="2"/>
        <v>0</v>
      </c>
      <c r="DL22" s="314" t="str">
        <f>Capacity!H34</f>
        <v/>
      </c>
      <c r="DP22" s="5"/>
    </row>
    <row r="23" spans="2:120" x14ac:dyDescent="0.25">
      <c r="B23" s="67"/>
      <c r="C23" s="67" t="str">
        <f>ROW(A19)&amp;". "&amp;Capacity!B35</f>
        <v xml:space="preserve">19.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IF(ROW(C19)&lt;=Capacity!$A$16,IF('Capacity summary'!$D$14="No",SUM(H23:BG23),'Capacity summary'!$E142),0)</f>
        <v>0</v>
      </c>
      <c r="BI23" s="5" t="str">
        <f>IF(BH23&gt;0,IF(BH23&lt;Capacity!E35,Capacity!F35,Capacity!H35/'Capacity calculation (hide)'!BH23),"")</f>
        <v/>
      </c>
      <c r="BK23" s="314">
        <f>IF($BI23&lt;&gt;"",IF('Capacity summary'!$D$14="Yes",IF(COUNTBLANK('Capacity summary'!$H142:$BG142)&lt;52,IF('Capacity summary'!H142&lt;&gt;"",IF(LOWER('Capacity summary'!H142)="x",$BI23*H23,VALUE('Capacity summary'!H142)),0),H23*$BI23),H23*$BI23),0)</f>
        <v>0</v>
      </c>
      <c r="BL23" s="314">
        <f>IF($BI23&lt;&gt;"",IF('Capacity summary'!$D$14="Yes",IF(COUNTBLANK('Capacity summary'!$H142:$BG142)&lt;52,IF('Capacity summary'!I142&lt;&gt;"",IF(LOWER('Capacity summary'!I142)="x",$BI23*I23,VALUE('Capacity summary'!I142)),0),I23*$BI23),I23*$BI23),0)</f>
        <v>0</v>
      </c>
      <c r="BM23" s="314">
        <f>IF($BI23&lt;&gt;"",IF('Capacity summary'!$D$14="Yes",IF(COUNTBLANK('Capacity summary'!$H142:$BG142)&lt;52,IF('Capacity summary'!J142&lt;&gt;"",IF(LOWER('Capacity summary'!J142)="x",$BI23*J23,VALUE('Capacity summary'!J142)),0),J23*$BI23),J23*$BI23),0)</f>
        <v>0</v>
      </c>
      <c r="BN23" s="314">
        <f>IF($BI23&lt;&gt;"",IF('Capacity summary'!$D$14="Yes",IF(COUNTBLANK('Capacity summary'!$H142:$BG142)&lt;52,IF('Capacity summary'!K142&lt;&gt;"",IF(LOWER('Capacity summary'!K142)="x",$BI23*K23,VALUE('Capacity summary'!K142)),0),K23*$BI23),K23*$BI23),0)</f>
        <v>0</v>
      </c>
      <c r="BO23" s="314">
        <f>IF($BI23&lt;&gt;"",IF('Capacity summary'!$D$14="Yes",IF(COUNTBLANK('Capacity summary'!$H142:$BG142)&lt;52,IF('Capacity summary'!L142&lt;&gt;"",IF(LOWER('Capacity summary'!L142)="x",$BI23*L23,VALUE('Capacity summary'!L142)),0),L23*$BI23),L23*$BI23),0)</f>
        <v>0</v>
      </c>
      <c r="BP23" s="314">
        <f>IF($BI23&lt;&gt;"",IF('Capacity summary'!$D$14="Yes",IF(COUNTBLANK('Capacity summary'!$H142:$BG142)&lt;52,IF('Capacity summary'!M142&lt;&gt;"",IF(LOWER('Capacity summary'!M142)="x",$BI23*M23,VALUE('Capacity summary'!M142)),0),M23*$BI23),M23*$BI23),0)</f>
        <v>0</v>
      </c>
      <c r="BQ23" s="314">
        <f>IF($BI23&lt;&gt;"",IF('Capacity summary'!$D$14="Yes",IF(COUNTBLANK('Capacity summary'!$H142:$BG142)&lt;52,IF('Capacity summary'!N142&lt;&gt;"",IF(LOWER('Capacity summary'!N142)="x",$BI23*N23,VALUE('Capacity summary'!N142)),0),N23*$BI23),N23*$BI23),0)</f>
        <v>0</v>
      </c>
      <c r="BR23" s="314">
        <f>IF($BI23&lt;&gt;"",IF('Capacity summary'!$D$14="Yes",IF(COUNTBLANK('Capacity summary'!$H142:$BG142)&lt;52,IF('Capacity summary'!O142&lt;&gt;"",IF(LOWER('Capacity summary'!O142)="x",$BI23*O23,VALUE('Capacity summary'!O142)),0),O23*$BI23),O23*$BI23),0)</f>
        <v>0</v>
      </c>
      <c r="BS23" s="314">
        <f>IF($BI23&lt;&gt;"",IF('Capacity summary'!$D$14="Yes",IF(COUNTBLANK('Capacity summary'!$H142:$BG142)&lt;52,IF('Capacity summary'!P142&lt;&gt;"",IF(LOWER('Capacity summary'!P142)="x",$BI23*P23,VALUE('Capacity summary'!P142)),0),P23*$BI23),P23*$BI23),0)</f>
        <v>0</v>
      </c>
      <c r="BT23" s="314">
        <f>IF($BI23&lt;&gt;"",IF('Capacity summary'!$D$14="Yes",IF(COUNTBLANK('Capacity summary'!$H142:$BG142)&lt;52,IF('Capacity summary'!Q142&lt;&gt;"",IF(LOWER('Capacity summary'!Q142)="x",$BI23*Q23,VALUE('Capacity summary'!Q142)),0),Q23*$BI23),Q23*$BI23),0)</f>
        <v>0</v>
      </c>
      <c r="BU23" s="314">
        <f>IF($BI23&lt;&gt;"",IF('Capacity summary'!$D$14="Yes",IF(COUNTBLANK('Capacity summary'!$H142:$BG142)&lt;52,IF('Capacity summary'!R142&lt;&gt;"",IF(LOWER('Capacity summary'!R142)="x",$BI23*R23,VALUE('Capacity summary'!R142)),0),R23*$BI23),R23*$BI23),0)</f>
        <v>0</v>
      </c>
      <c r="BV23" s="314">
        <f>IF($BI23&lt;&gt;"",IF('Capacity summary'!$D$14="Yes",IF(COUNTBLANK('Capacity summary'!$H142:$BG142)&lt;52,IF('Capacity summary'!S142&lt;&gt;"",IF(LOWER('Capacity summary'!S142)="x",$BI23*S23,VALUE('Capacity summary'!S142)),0),S23*$BI23),S23*$BI23),0)</f>
        <v>0</v>
      </c>
      <c r="BW23" s="314">
        <f>IF($BI23&lt;&gt;"",IF('Capacity summary'!$D$14="Yes",IF(COUNTBLANK('Capacity summary'!$H142:$BG142)&lt;52,IF('Capacity summary'!T142&lt;&gt;"",IF(LOWER('Capacity summary'!T142)="x",$BI23*T23,VALUE('Capacity summary'!T142)),0),T23*$BI23),T23*$BI23),0)</f>
        <v>0</v>
      </c>
      <c r="BX23" s="314">
        <f>IF($BI23&lt;&gt;"",IF('Capacity summary'!$D$14="Yes",IF(COUNTBLANK('Capacity summary'!$H142:$BG142)&lt;52,IF('Capacity summary'!U142&lt;&gt;"",IF(LOWER('Capacity summary'!U142)="x",$BI23*U23,VALUE('Capacity summary'!U142)),0),U23*$BI23),U23*$BI23),0)</f>
        <v>0</v>
      </c>
      <c r="BY23" s="314">
        <f>IF($BI23&lt;&gt;"",IF('Capacity summary'!$D$14="Yes",IF(COUNTBLANK('Capacity summary'!$H142:$BG142)&lt;52,IF('Capacity summary'!V142&lt;&gt;"",IF(LOWER('Capacity summary'!V142)="x",$BI23*V23,VALUE('Capacity summary'!V142)),0),V23*$BI23),V23*$BI23),0)</f>
        <v>0</v>
      </c>
      <c r="BZ23" s="314">
        <f>IF($BI23&lt;&gt;"",IF('Capacity summary'!$D$14="Yes",IF(COUNTBLANK('Capacity summary'!$H142:$BG142)&lt;52,IF('Capacity summary'!W142&lt;&gt;"",IF(LOWER('Capacity summary'!W142)="x",$BI23*W23,VALUE('Capacity summary'!W142)),0),W23*$BI23),W23*$BI23),0)</f>
        <v>0</v>
      </c>
      <c r="CA23" s="314">
        <f>IF($BI23&lt;&gt;"",IF('Capacity summary'!$D$14="Yes",IF(COUNTBLANK('Capacity summary'!$H142:$BG142)&lt;52,IF('Capacity summary'!X142&lt;&gt;"",IF(LOWER('Capacity summary'!X142)="x",$BI23*X23,VALUE('Capacity summary'!X142)),0),X23*$BI23),X23*$BI23),0)</f>
        <v>0</v>
      </c>
      <c r="CB23" s="314">
        <f>IF($BI23&lt;&gt;"",IF('Capacity summary'!$D$14="Yes",IF(COUNTBLANK('Capacity summary'!$H142:$BG142)&lt;52,IF('Capacity summary'!Y142&lt;&gt;"",IF(LOWER('Capacity summary'!Y142)="x",$BI23*Y23,VALUE('Capacity summary'!Y142)),0),Y23*$BI23),Y23*$BI23),0)</f>
        <v>0</v>
      </c>
      <c r="CC23" s="314">
        <f>IF($BI23&lt;&gt;"",IF('Capacity summary'!$D$14="Yes",IF(COUNTBLANK('Capacity summary'!$H142:$BG142)&lt;52,IF('Capacity summary'!Z142&lt;&gt;"",IF(LOWER('Capacity summary'!Z142)="x",$BI23*Z23,VALUE('Capacity summary'!Z142)),0),Z23*$BI23),Z23*$BI23),0)</f>
        <v>0</v>
      </c>
      <c r="CD23" s="314">
        <f>IF($BI23&lt;&gt;"",IF('Capacity summary'!$D$14="Yes",IF(COUNTBLANK('Capacity summary'!$H142:$BG142)&lt;52,IF('Capacity summary'!AA142&lt;&gt;"",IF(LOWER('Capacity summary'!AA142)="x",$BI23*AA23,VALUE('Capacity summary'!AA142)),0),AA23*$BI23),AA23*$BI23),0)</f>
        <v>0</v>
      </c>
      <c r="CE23" s="314">
        <f>IF($BI23&lt;&gt;"",IF('Capacity summary'!$D$14="Yes",IF(COUNTBLANK('Capacity summary'!$H142:$BG142)&lt;52,IF('Capacity summary'!AB142&lt;&gt;"",IF(LOWER('Capacity summary'!AB142)="x",$BI23*AB23,VALUE('Capacity summary'!AB142)),0),AB23*$BI23),AB23*$BI23),0)</f>
        <v>0</v>
      </c>
      <c r="CF23" s="314">
        <f>IF($BI23&lt;&gt;"",IF('Capacity summary'!$D$14="Yes",IF(COUNTBLANK('Capacity summary'!$H142:$BG142)&lt;52,IF('Capacity summary'!AC142&lt;&gt;"",IF(LOWER('Capacity summary'!AC142)="x",$BI23*AC23,VALUE('Capacity summary'!AC142)),0),AC23*$BI23),AC23*$BI23),0)</f>
        <v>0</v>
      </c>
      <c r="CG23" s="314">
        <f>IF($BI23&lt;&gt;"",IF('Capacity summary'!$D$14="Yes",IF(COUNTBLANK('Capacity summary'!$H142:$BG142)&lt;52,IF('Capacity summary'!AD142&lt;&gt;"",IF(LOWER('Capacity summary'!AD142)="x",$BI23*AD23,VALUE('Capacity summary'!AD142)),0),AD23*$BI23),AD23*$BI23),0)</f>
        <v>0</v>
      </c>
      <c r="CH23" s="314">
        <f>IF($BI23&lt;&gt;"",IF('Capacity summary'!$D$14="Yes",IF(COUNTBLANK('Capacity summary'!$H142:$BG142)&lt;52,IF('Capacity summary'!AE142&lt;&gt;"",IF(LOWER('Capacity summary'!AE142)="x",$BI23*AE23,VALUE('Capacity summary'!AE142)),0),AE23*$BI23),AE23*$BI23),0)</f>
        <v>0</v>
      </c>
      <c r="CI23" s="314">
        <f>IF($BI23&lt;&gt;"",IF('Capacity summary'!$D$14="Yes",IF(COUNTBLANK('Capacity summary'!$H142:$BG142)&lt;52,IF('Capacity summary'!AF142&lt;&gt;"",IF(LOWER('Capacity summary'!AF142)="x",$BI23*AF23,VALUE('Capacity summary'!AF142)),0),AF23*$BI23),AF23*$BI23),0)</f>
        <v>0</v>
      </c>
      <c r="CJ23" s="314">
        <f>IF($BI23&lt;&gt;"",IF('Capacity summary'!$D$14="Yes",IF(COUNTBLANK('Capacity summary'!$H142:$BG142)&lt;52,IF('Capacity summary'!AG142&lt;&gt;"",IF(LOWER('Capacity summary'!AG142)="x",$BI23*AG23,VALUE('Capacity summary'!AG142)),0),AG23*$BI23),AG23*$BI23),0)</f>
        <v>0</v>
      </c>
      <c r="CK23" s="314">
        <f>IF($BI23&lt;&gt;"",IF('Capacity summary'!$D$14="Yes",IF(COUNTBLANK('Capacity summary'!$H142:$BG142)&lt;52,IF('Capacity summary'!AH142&lt;&gt;"",IF(LOWER('Capacity summary'!AH142)="x",$BI23*AH23,VALUE('Capacity summary'!AH142)),0),AH23*$BI23),AH23*$BI23),0)</f>
        <v>0</v>
      </c>
      <c r="CL23" s="314">
        <f>IF($BI23&lt;&gt;"",IF('Capacity summary'!$D$14="Yes",IF(COUNTBLANK('Capacity summary'!$H142:$BG142)&lt;52,IF('Capacity summary'!AI142&lt;&gt;"",IF(LOWER('Capacity summary'!AI142)="x",$BI23*AI23,VALUE('Capacity summary'!AI142)),0),AI23*$BI23),AI23*$BI23),0)</f>
        <v>0</v>
      </c>
      <c r="CM23" s="314">
        <f>IF($BI23&lt;&gt;"",IF('Capacity summary'!$D$14="Yes",IF(COUNTBLANK('Capacity summary'!$H142:$BG142)&lt;52,IF('Capacity summary'!AJ142&lt;&gt;"",IF(LOWER('Capacity summary'!AJ142)="x",$BI23*AJ23,VALUE('Capacity summary'!AJ142)),0),AJ23*$BI23),AJ23*$BI23),0)</f>
        <v>0</v>
      </c>
      <c r="CN23" s="314">
        <f>IF($BI23&lt;&gt;"",IF('Capacity summary'!$D$14="Yes",IF(COUNTBLANK('Capacity summary'!$H142:$BG142)&lt;52,IF('Capacity summary'!AK142&lt;&gt;"",IF(LOWER('Capacity summary'!AK142)="x",$BI23*AK23,VALUE('Capacity summary'!AK142)),0),AK23*$BI23),AK23*$BI23),0)</f>
        <v>0</v>
      </c>
      <c r="CO23" s="314">
        <f>IF($BI23&lt;&gt;"",IF('Capacity summary'!$D$14="Yes",IF(COUNTBLANK('Capacity summary'!$H142:$BG142)&lt;52,IF('Capacity summary'!AL142&lt;&gt;"",IF(LOWER('Capacity summary'!AL142)="x",$BI23*AL23,VALUE('Capacity summary'!AL142)),0),AL23*$BI23),AL23*$BI23),0)</f>
        <v>0</v>
      </c>
      <c r="CP23" s="314">
        <f>IF($BI23&lt;&gt;"",IF('Capacity summary'!$D$14="Yes",IF(COUNTBLANK('Capacity summary'!$H142:$BG142)&lt;52,IF('Capacity summary'!AM142&lt;&gt;"",IF(LOWER('Capacity summary'!AM142)="x",$BI23*AM23,VALUE('Capacity summary'!AM142)),0),AM23*$BI23),AM23*$BI23),0)</f>
        <v>0</v>
      </c>
      <c r="CQ23" s="314">
        <f>IF($BI23&lt;&gt;"",IF('Capacity summary'!$D$14="Yes",IF(COUNTBLANK('Capacity summary'!$H142:$BG142)&lt;52,IF('Capacity summary'!AN142&lt;&gt;"",IF(LOWER('Capacity summary'!AN142)="x",$BI23*AN23,VALUE('Capacity summary'!AN142)),0),AN23*$BI23),AN23*$BI23),0)</f>
        <v>0</v>
      </c>
      <c r="CR23" s="314">
        <f>IF($BI23&lt;&gt;"",IF('Capacity summary'!$D$14="Yes",IF(COUNTBLANK('Capacity summary'!$H142:$BG142)&lt;52,IF('Capacity summary'!AO142&lt;&gt;"",IF(LOWER('Capacity summary'!AO142)="x",$BI23*AO23,VALUE('Capacity summary'!AO142)),0),AO23*$BI23),AO23*$BI23),0)</f>
        <v>0</v>
      </c>
      <c r="CS23" s="314">
        <f>IF($BI23&lt;&gt;"",IF('Capacity summary'!$D$14="Yes",IF(COUNTBLANK('Capacity summary'!$H142:$BG142)&lt;52,IF('Capacity summary'!AP142&lt;&gt;"",IF(LOWER('Capacity summary'!AP142)="x",$BI23*AP23,VALUE('Capacity summary'!AP142)),0),AP23*$BI23),AP23*$BI23),0)</f>
        <v>0</v>
      </c>
      <c r="CT23" s="314">
        <f>IF($BI23&lt;&gt;"",IF('Capacity summary'!$D$14="Yes",IF(COUNTBLANK('Capacity summary'!$H142:$BG142)&lt;52,IF('Capacity summary'!AQ142&lt;&gt;"",IF(LOWER('Capacity summary'!AQ142)="x",$BI23*AQ23,VALUE('Capacity summary'!AQ142)),0),AQ23*$BI23),AQ23*$BI23),0)</f>
        <v>0</v>
      </c>
      <c r="CU23" s="314">
        <f>IF($BI23&lt;&gt;"",IF('Capacity summary'!$D$14="Yes",IF(COUNTBLANK('Capacity summary'!$H142:$BG142)&lt;52,IF('Capacity summary'!AR142&lt;&gt;"",IF(LOWER('Capacity summary'!AR142)="x",$BI23*AR23,VALUE('Capacity summary'!AR142)),0),AR23*$BI23),AR23*$BI23),0)</f>
        <v>0</v>
      </c>
      <c r="CV23" s="314">
        <f>IF($BI23&lt;&gt;"",IF('Capacity summary'!$D$14="Yes",IF(COUNTBLANK('Capacity summary'!$H142:$BG142)&lt;52,IF('Capacity summary'!AS142&lt;&gt;"",IF(LOWER('Capacity summary'!AS142)="x",$BI23*AS23,VALUE('Capacity summary'!AS142)),0),AS23*$BI23),AS23*$BI23),0)</f>
        <v>0</v>
      </c>
      <c r="CW23" s="314">
        <f>IF($BI23&lt;&gt;"",IF('Capacity summary'!$D$14="Yes",IF(COUNTBLANK('Capacity summary'!$H142:$BG142)&lt;52,IF('Capacity summary'!AT142&lt;&gt;"",IF(LOWER('Capacity summary'!AT142)="x",$BI23*AT23,VALUE('Capacity summary'!AT142)),0),AT23*$BI23),AT23*$BI23),0)</f>
        <v>0</v>
      </c>
      <c r="CX23" s="314">
        <f>IF($BI23&lt;&gt;"",IF('Capacity summary'!$D$14="Yes",IF(COUNTBLANK('Capacity summary'!$H142:$BG142)&lt;52,IF('Capacity summary'!AU142&lt;&gt;"",IF(LOWER('Capacity summary'!AU142)="x",$BI23*AU23,VALUE('Capacity summary'!AU142)),0),AU23*$BI23),AU23*$BI23),0)</f>
        <v>0</v>
      </c>
      <c r="CY23" s="314">
        <f>IF($BI23&lt;&gt;"",IF('Capacity summary'!$D$14="Yes",IF(COUNTBLANK('Capacity summary'!$H142:$BG142)&lt;52,IF('Capacity summary'!AV142&lt;&gt;"",IF(LOWER('Capacity summary'!AV142)="x",$BI23*AV23,VALUE('Capacity summary'!AV142)),0),AV23*$BI23),AV23*$BI23),0)</f>
        <v>0</v>
      </c>
      <c r="CZ23" s="314">
        <f>IF($BI23&lt;&gt;"",IF('Capacity summary'!$D$14="Yes",IF(COUNTBLANK('Capacity summary'!$H142:$BG142)&lt;52,IF('Capacity summary'!AW142&lt;&gt;"",IF(LOWER('Capacity summary'!AW142)="x",$BI23*AW23,VALUE('Capacity summary'!AW142)),0),AW23*$BI23),AW23*$BI23),0)</f>
        <v>0</v>
      </c>
      <c r="DA23" s="314">
        <f>IF($BI23&lt;&gt;"",IF('Capacity summary'!$D$14="Yes",IF(COUNTBLANK('Capacity summary'!$H142:$BG142)&lt;52,IF('Capacity summary'!AX142&lt;&gt;"",IF(LOWER('Capacity summary'!AX142)="x",$BI23*AX23,VALUE('Capacity summary'!AX142)),0),AX23*$BI23),AX23*$BI23),0)</f>
        <v>0</v>
      </c>
      <c r="DB23" s="314">
        <f>IF($BI23&lt;&gt;"",IF('Capacity summary'!$D$14="Yes",IF(COUNTBLANK('Capacity summary'!$H142:$BG142)&lt;52,IF('Capacity summary'!AY142&lt;&gt;"",IF(LOWER('Capacity summary'!AY142)="x",$BI23*AY23,VALUE('Capacity summary'!AY142)),0),AY23*$BI23),AY23*$BI23),0)</f>
        <v>0</v>
      </c>
      <c r="DC23" s="314">
        <f>IF($BI23&lt;&gt;"",IF('Capacity summary'!$D$14="Yes",IF(COUNTBLANK('Capacity summary'!$H142:$BG142)&lt;52,IF('Capacity summary'!AZ142&lt;&gt;"",IF(LOWER('Capacity summary'!AZ142)="x",$BI23*AZ23,VALUE('Capacity summary'!AZ142)),0),AZ23*$BI23),AZ23*$BI23),0)</f>
        <v>0</v>
      </c>
      <c r="DD23" s="314">
        <f>IF($BI23&lt;&gt;"",IF('Capacity summary'!$D$14="Yes",IF(COUNTBLANK('Capacity summary'!$H142:$BG142)&lt;52,IF('Capacity summary'!BA142&lt;&gt;"",IF(LOWER('Capacity summary'!BA142)="x",$BI23*BA23,VALUE('Capacity summary'!BA142)),0),BA23*$BI23),BA23*$BI23),0)</f>
        <v>0</v>
      </c>
      <c r="DE23" s="314">
        <f>IF($BI23&lt;&gt;"",IF('Capacity summary'!$D$14="Yes",IF(COUNTBLANK('Capacity summary'!$H142:$BG142)&lt;52,IF('Capacity summary'!BB142&lt;&gt;"",IF(LOWER('Capacity summary'!BB142)="x",$BI23*BB23,VALUE('Capacity summary'!BB142)),0),BB23*$BI23),BB23*$BI23),0)</f>
        <v>0</v>
      </c>
      <c r="DF23" s="314">
        <f>IF($BI23&lt;&gt;"",IF('Capacity summary'!$D$14="Yes",IF(COUNTBLANK('Capacity summary'!$H142:$BG142)&lt;52,IF('Capacity summary'!BC142&lt;&gt;"",IF(LOWER('Capacity summary'!BC142)="x",$BI23*BC23,VALUE('Capacity summary'!BC142)),0),BC23*$BI23),BC23*$BI23),0)</f>
        <v>0</v>
      </c>
      <c r="DG23" s="314">
        <f>IF($BI23&lt;&gt;"",IF('Capacity summary'!$D$14="Yes",IF(COUNTBLANK('Capacity summary'!$H142:$BG142)&lt;52,IF('Capacity summary'!BD142&lt;&gt;"",IF(LOWER('Capacity summary'!BD142)="x",$BI23*BD23,VALUE('Capacity summary'!BD142)),0),BD23*$BI23),BD23*$BI23),0)</f>
        <v>0</v>
      </c>
      <c r="DH23" s="314">
        <f>IF($BI23&lt;&gt;"",IF('Capacity summary'!$D$14="Yes",IF(COUNTBLANK('Capacity summary'!$H142:$BG142)&lt;52,IF('Capacity summary'!BE142&lt;&gt;"",IF(LOWER('Capacity summary'!BE142)="x",$BI23*BE23,VALUE('Capacity summary'!BE142)),0),BE23*$BI23),BE23*$BI23),0)</f>
        <v>0</v>
      </c>
      <c r="DI23" s="314">
        <f>IF($BI23&lt;&gt;"",IF('Capacity summary'!$D$14="Yes",IF(COUNTBLANK('Capacity summary'!$H142:$BG142)&lt;52,IF('Capacity summary'!BF142&lt;&gt;"",IF(LOWER('Capacity summary'!BF142)="x",$BI23*BF23,VALUE('Capacity summary'!BF142)),0),BF23*$BI23),BF23*$BI23),0)</f>
        <v>0</v>
      </c>
      <c r="DJ23" s="314">
        <f>IF($BI23&lt;&gt;"",IF('Capacity summary'!$D$14="Yes",IF(COUNTBLANK('Capacity summary'!$H142:$BG142)&lt;52,IF('Capacity summary'!BG142&lt;&gt;"",IF(LOWER('Capacity summary'!BG142)="x",$BI23*BG23,VALUE('Capacity summary'!BG142)),0),BG23*$BI23),BG23*$BI23),0)</f>
        <v>0</v>
      </c>
      <c r="DK23" s="137">
        <f t="shared" si="2"/>
        <v>0</v>
      </c>
      <c r="DL23" s="314" t="str">
        <f>Capacity!H35</f>
        <v/>
      </c>
      <c r="DP23" s="5"/>
    </row>
    <row r="24" spans="2:120" x14ac:dyDescent="0.25">
      <c r="B24" s="67"/>
      <c r="C24" s="67" t="str">
        <f>ROW(A20)&amp;". "&amp;Capacity!B36</f>
        <v xml:space="preserve">20. </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IF(ROW(C20)&lt;=Capacity!$A$16,IF('Capacity summary'!$D$14="No",SUM(H24:BG24),'Capacity summary'!$E143),0)</f>
        <v>0</v>
      </c>
      <c r="BI24" s="5" t="str">
        <f>IF(BH24&gt;0,IF(BH24&lt;Capacity!E36,Capacity!F36,Capacity!H36/'Capacity calculation (hide)'!BH24),"")</f>
        <v/>
      </c>
      <c r="BK24" s="314">
        <f>IF($BI24&lt;&gt;"",IF('Capacity summary'!$D$14="Yes",IF(COUNTBLANK('Capacity summary'!$H143:$BG143)&lt;52,IF('Capacity summary'!H143&lt;&gt;"",IF(LOWER('Capacity summary'!H143)="x",$BI24*H24,VALUE('Capacity summary'!H143)),0),H24*$BI24),H24*$BI24),0)</f>
        <v>0</v>
      </c>
      <c r="BL24" s="314">
        <f>IF($BI24&lt;&gt;"",IF('Capacity summary'!$D$14="Yes",IF(COUNTBLANK('Capacity summary'!$H143:$BG143)&lt;52,IF('Capacity summary'!I143&lt;&gt;"",IF(LOWER('Capacity summary'!I143)="x",$BI24*I24,VALUE('Capacity summary'!I143)),0),I24*$BI24),I24*$BI24),0)</f>
        <v>0</v>
      </c>
      <c r="BM24" s="314">
        <f>IF($BI24&lt;&gt;"",IF('Capacity summary'!$D$14="Yes",IF(COUNTBLANK('Capacity summary'!$H143:$BG143)&lt;52,IF('Capacity summary'!J143&lt;&gt;"",IF(LOWER('Capacity summary'!J143)="x",$BI24*J24,VALUE('Capacity summary'!J143)),0),J24*$BI24),J24*$BI24),0)</f>
        <v>0</v>
      </c>
      <c r="BN24" s="314">
        <f>IF($BI24&lt;&gt;"",IF('Capacity summary'!$D$14="Yes",IF(COUNTBLANK('Capacity summary'!$H143:$BG143)&lt;52,IF('Capacity summary'!K143&lt;&gt;"",IF(LOWER('Capacity summary'!K143)="x",$BI24*K24,VALUE('Capacity summary'!K143)),0),K24*$BI24),K24*$BI24),0)</f>
        <v>0</v>
      </c>
      <c r="BO24" s="314">
        <f>IF($BI24&lt;&gt;"",IF('Capacity summary'!$D$14="Yes",IF(COUNTBLANK('Capacity summary'!$H143:$BG143)&lt;52,IF('Capacity summary'!L143&lt;&gt;"",IF(LOWER('Capacity summary'!L143)="x",$BI24*L24,VALUE('Capacity summary'!L143)),0),L24*$BI24),L24*$BI24),0)</f>
        <v>0</v>
      </c>
      <c r="BP24" s="314">
        <f>IF($BI24&lt;&gt;"",IF('Capacity summary'!$D$14="Yes",IF(COUNTBLANK('Capacity summary'!$H143:$BG143)&lt;52,IF('Capacity summary'!M143&lt;&gt;"",IF(LOWER('Capacity summary'!M143)="x",$BI24*M24,VALUE('Capacity summary'!M143)),0),M24*$BI24),M24*$BI24),0)</f>
        <v>0</v>
      </c>
      <c r="BQ24" s="314">
        <f>IF($BI24&lt;&gt;"",IF('Capacity summary'!$D$14="Yes",IF(COUNTBLANK('Capacity summary'!$H143:$BG143)&lt;52,IF('Capacity summary'!N143&lt;&gt;"",IF(LOWER('Capacity summary'!N143)="x",$BI24*N24,VALUE('Capacity summary'!N143)),0),N24*$BI24),N24*$BI24),0)</f>
        <v>0</v>
      </c>
      <c r="BR24" s="314">
        <f>IF($BI24&lt;&gt;"",IF('Capacity summary'!$D$14="Yes",IF(COUNTBLANK('Capacity summary'!$H143:$BG143)&lt;52,IF('Capacity summary'!O143&lt;&gt;"",IF(LOWER('Capacity summary'!O143)="x",$BI24*O24,VALUE('Capacity summary'!O143)),0),O24*$BI24),O24*$BI24),0)</f>
        <v>0</v>
      </c>
      <c r="BS24" s="314">
        <f>IF($BI24&lt;&gt;"",IF('Capacity summary'!$D$14="Yes",IF(COUNTBLANK('Capacity summary'!$H143:$BG143)&lt;52,IF('Capacity summary'!P143&lt;&gt;"",IF(LOWER('Capacity summary'!P143)="x",$BI24*P24,VALUE('Capacity summary'!P143)),0),P24*$BI24),P24*$BI24),0)</f>
        <v>0</v>
      </c>
      <c r="BT24" s="314">
        <f>IF($BI24&lt;&gt;"",IF('Capacity summary'!$D$14="Yes",IF(COUNTBLANK('Capacity summary'!$H143:$BG143)&lt;52,IF('Capacity summary'!Q143&lt;&gt;"",IF(LOWER('Capacity summary'!Q143)="x",$BI24*Q24,VALUE('Capacity summary'!Q143)),0),Q24*$BI24),Q24*$BI24),0)</f>
        <v>0</v>
      </c>
      <c r="BU24" s="314">
        <f>IF($BI24&lt;&gt;"",IF('Capacity summary'!$D$14="Yes",IF(COUNTBLANK('Capacity summary'!$H143:$BG143)&lt;52,IF('Capacity summary'!R143&lt;&gt;"",IF(LOWER('Capacity summary'!R143)="x",$BI24*R24,VALUE('Capacity summary'!R143)),0),R24*$BI24),R24*$BI24),0)</f>
        <v>0</v>
      </c>
      <c r="BV24" s="314">
        <f>IF($BI24&lt;&gt;"",IF('Capacity summary'!$D$14="Yes",IF(COUNTBLANK('Capacity summary'!$H143:$BG143)&lt;52,IF('Capacity summary'!S143&lt;&gt;"",IF(LOWER('Capacity summary'!S143)="x",$BI24*S24,VALUE('Capacity summary'!S143)),0),S24*$BI24),S24*$BI24),0)</f>
        <v>0</v>
      </c>
      <c r="BW24" s="314">
        <f>IF($BI24&lt;&gt;"",IF('Capacity summary'!$D$14="Yes",IF(COUNTBLANK('Capacity summary'!$H143:$BG143)&lt;52,IF('Capacity summary'!T143&lt;&gt;"",IF(LOWER('Capacity summary'!T143)="x",$BI24*T24,VALUE('Capacity summary'!T143)),0),T24*$BI24),T24*$BI24),0)</f>
        <v>0</v>
      </c>
      <c r="BX24" s="314">
        <f>IF($BI24&lt;&gt;"",IF('Capacity summary'!$D$14="Yes",IF(COUNTBLANK('Capacity summary'!$H143:$BG143)&lt;52,IF('Capacity summary'!U143&lt;&gt;"",IF(LOWER('Capacity summary'!U143)="x",$BI24*U24,VALUE('Capacity summary'!U143)),0),U24*$BI24),U24*$BI24),0)</f>
        <v>0</v>
      </c>
      <c r="BY24" s="314">
        <f>IF($BI24&lt;&gt;"",IF('Capacity summary'!$D$14="Yes",IF(COUNTBLANK('Capacity summary'!$H143:$BG143)&lt;52,IF('Capacity summary'!V143&lt;&gt;"",IF(LOWER('Capacity summary'!V143)="x",$BI24*V24,VALUE('Capacity summary'!V143)),0),V24*$BI24),V24*$BI24),0)</f>
        <v>0</v>
      </c>
      <c r="BZ24" s="314">
        <f>IF($BI24&lt;&gt;"",IF('Capacity summary'!$D$14="Yes",IF(COUNTBLANK('Capacity summary'!$H143:$BG143)&lt;52,IF('Capacity summary'!W143&lt;&gt;"",IF(LOWER('Capacity summary'!W143)="x",$BI24*W24,VALUE('Capacity summary'!W143)),0),W24*$BI24),W24*$BI24),0)</f>
        <v>0</v>
      </c>
      <c r="CA24" s="314">
        <f>IF($BI24&lt;&gt;"",IF('Capacity summary'!$D$14="Yes",IF(COUNTBLANK('Capacity summary'!$H143:$BG143)&lt;52,IF('Capacity summary'!X143&lt;&gt;"",IF(LOWER('Capacity summary'!X143)="x",$BI24*X24,VALUE('Capacity summary'!X143)),0),X24*$BI24),X24*$BI24),0)</f>
        <v>0</v>
      </c>
      <c r="CB24" s="314">
        <f>IF($BI24&lt;&gt;"",IF('Capacity summary'!$D$14="Yes",IF(COUNTBLANK('Capacity summary'!$H143:$BG143)&lt;52,IF('Capacity summary'!Y143&lt;&gt;"",IF(LOWER('Capacity summary'!Y143)="x",$BI24*Y24,VALUE('Capacity summary'!Y143)),0),Y24*$BI24),Y24*$BI24),0)</f>
        <v>0</v>
      </c>
      <c r="CC24" s="314">
        <f>IF($BI24&lt;&gt;"",IF('Capacity summary'!$D$14="Yes",IF(COUNTBLANK('Capacity summary'!$H143:$BG143)&lt;52,IF('Capacity summary'!Z143&lt;&gt;"",IF(LOWER('Capacity summary'!Z143)="x",$BI24*Z24,VALUE('Capacity summary'!Z143)),0),Z24*$BI24),Z24*$BI24),0)</f>
        <v>0</v>
      </c>
      <c r="CD24" s="314">
        <f>IF($BI24&lt;&gt;"",IF('Capacity summary'!$D$14="Yes",IF(COUNTBLANK('Capacity summary'!$H143:$BG143)&lt;52,IF('Capacity summary'!AA143&lt;&gt;"",IF(LOWER('Capacity summary'!AA143)="x",$BI24*AA24,VALUE('Capacity summary'!AA143)),0),AA24*$BI24),AA24*$BI24),0)</f>
        <v>0</v>
      </c>
      <c r="CE24" s="314">
        <f>IF($BI24&lt;&gt;"",IF('Capacity summary'!$D$14="Yes",IF(COUNTBLANK('Capacity summary'!$H143:$BG143)&lt;52,IF('Capacity summary'!AB143&lt;&gt;"",IF(LOWER('Capacity summary'!AB143)="x",$BI24*AB24,VALUE('Capacity summary'!AB143)),0),AB24*$BI24),AB24*$BI24),0)</f>
        <v>0</v>
      </c>
      <c r="CF24" s="314">
        <f>IF($BI24&lt;&gt;"",IF('Capacity summary'!$D$14="Yes",IF(COUNTBLANK('Capacity summary'!$H143:$BG143)&lt;52,IF('Capacity summary'!AC143&lt;&gt;"",IF(LOWER('Capacity summary'!AC143)="x",$BI24*AC24,VALUE('Capacity summary'!AC143)),0),AC24*$BI24),AC24*$BI24),0)</f>
        <v>0</v>
      </c>
      <c r="CG24" s="314">
        <f>IF($BI24&lt;&gt;"",IF('Capacity summary'!$D$14="Yes",IF(COUNTBLANK('Capacity summary'!$H143:$BG143)&lt;52,IF('Capacity summary'!AD143&lt;&gt;"",IF(LOWER('Capacity summary'!AD143)="x",$BI24*AD24,VALUE('Capacity summary'!AD143)),0),AD24*$BI24),AD24*$BI24),0)</f>
        <v>0</v>
      </c>
      <c r="CH24" s="314">
        <f>IF($BI24&lt;&gt;"",IF('Capacity summary'!$D$14="Yes",IF(COUNTBLANK('Capacity summary'!$H143:$BG143)&lt;52,IF('Capacity summary'!AE143&lt;&gt;"",IF(LOWER('Capacity summary'!AE143)="x",$BI24*AE24,VALUE('Capacity summary'!AE143)),0),AE24*$BI24),AE24*$BI24),0)</f>
        <v>0</v>
      </c>
      <c r="CI24" s="314">
        <f>IF($BI24&lt;&gt;"",IF('Capacity summary'!$D$14="Yes",IF(COUNTBLANK('Capacity summary'!$H143:$BG143)&lt;52,IF('Capacity summary'!AF143&lt;&gt;"",IF(LOWER('Capacity summary'!AF143)="x",$BI24*AF24,VALUE('Capacity summary'!AF143)),0),AF24*$BI24),AF24*$BI24),0)</f>
        <v>0</v>
      </c>
      <c r="CJ24" s="314">
        <f>IF($BI24&lt;&gt;"",IF('Capacity summary'!$D$14="Yes",IF(COUNTBLANK('Capacity summary'!$H143:$BG143)&lt;52,IF('Capacity summary'!AG143&lt;&gt;"",IF(LOWER('Capacity summary'!AG143)="x",$BI24*AG24,VALUE('Capacity summary'!AG143)),0),AG24*$BI24),AG24*$BI24),0)</f>
        <v>0</v>
      </c>
      <c r="CK24" s="314">
        <f>IF($BI24&lt;&gt;"",IF('Capacity summary'!$D$14="Yes",IF(COUNTBLANK('Capacity summary'!$H143:$BG143)&lt;52,IF('Capacity summary'!AH143&lt;&gt;"",IF(LOWER('Capacity summary'!AH143)="x",$BI24*AH24,VALUE('Capacity summary'!AH143)),0),AH24*$BI24),AH24*$BI24),0)</f>
        <v>0</v>
      </c>
      <c r="CL24" s="314">
        <f>IF($BI24&lt;&gt;"",IF('Capacity summary'!$D$14="Yes",IF(COUNTBLANK('Capacity summary'!$H143:$BG143)&lt;52,IF('Capacity summary'!AI143&lt;&gt;"",IF(LOWER('Capacity summary'!AI143)="x",$BI24*AI24,VALUE('Capacity summary'!AI143)),0),AI24*$BI24),AI24*$BI24),0)</f>
        <v>0</v>
      </c>
      <c r="CM24" s="314">
        <f>IF($BI24&lt;&gt;"",IF('Capacity summary'!$D$14="Yes",IF(COUNTBLANK('Capacity summary'!$H143:$BG143)&lt;52,IF('Capacity summary'!AJ143&lt;&gt;"",IF(LOWER('Capacity summary'!AJ143)="x",$BI24*AJ24,VALUE('Capacity summary'!AJ143)),0),AJ24*$BI24),AJ24*$BI24),0)</f>
        <v>0</v>
      </c>
      <c r="CN24" s="314">
        <f>IF($BI24&lt;&gt;"",IF('Capacity summary'!$D$14="Yes",IF(COUNTBLANK('Capacity summary'!$H143:$BG143)&lt;52,IF('Capacity summary'!AK143&lt;&gt;"",IF(LOWER('Capacity summary'!AK143)="x",$BI24*AK24,VALUE('Capacity summary'!AK143)),0),AK24*$BI24),AK24*$BI24),0)</f>
        <v>0</v>
      </c>
      <c r="CO24" s="314">
        <f>IF($BI24&lt;&gt;"",IF('Capacity summary'!$D$14="Yes",IF(COUNTBLANK('Capacity summary'!$H143:$BG143)&lt;52,IF('Capacity summary'!AL143&lt;&gt;"",IF(LOWER('Capacity summary'!AL143)="x",$BI24*AL24,VALUE('Capacity summary'!AL143)),0),AL24*$BI24),AL24*$BI24),0)</f>
        <v>0</v>
      </c>
      <c r="CP24" s="314">
        <f>IF($BI24&lt;&gt;"",IF('Capacity summary'!$D$14="Yes",IF(COUNTBLANK('Capacity summary'!$H143:$BG143)&lt;52,IF('Capacity summary'!AM143&lt;&gt;"",IF(LOWER('Capacity summary'!AM143)="x",$BI24*AM24,VALUE('Capacity summary'!AM143)),0),AM24*$BI24),AM24*$BI24),0)</f>
        <v>0</v>
      </c>
      <c r="CQ24" s="314">
        <f>IF($BI24&lt;&gt;"",IF('Capacity summary'!$D$14="Yes",IF(COUNTBLANK('Capacity summary'!$H143:$BG143)&lt;52,IF('Capacity summary'!AN143&lt;&gt;"",IF(LOWER('Capacity summary'!AN143)="x",$BI24*AN24,VALUE('Capacity summary'!AN143)),0),AN24*$BI24),AN24*$BI24),0)</f>
        <v>0</v>
      </c>
      <c r="CR24" s="314">
        <f>IF($BI24&lt;&gt;"",IF('Capacity summary'!$D$14="Yes",IF(COUNTBLANK('Capacity summary'!$H143:$BG143)&lt;52,IF('Capacity summary'!AO143&lt;&gt;"",IF(LOWER('Capacity summary'!AO143)="x",$BI24*AO24,VALUE('Capacity summary'!AO143)),0),AO24*$BI24),AO24*$BI24),0)</f>
        <v>0</v>
      </c>
      <c r="CS24" s="314">
        <f>IF($BI24&lt;&gt;"",IF('Capacity summary'!$D$14="Yes",IF(COUNTBLANK('Capacity summary'!$H143:$BG143)&lt;52,IF('Capacity summary'!AP143&lt;&gt;"",IF(LOWER('Capacity summary'!AP143)="x",$BI24*AP24,VALUE('Capacity summary'!AP143)),0),AP24*$BI24),AP24*$BI24),0)</f>
        <v>0</v>
      </c>
      <c r="CT24" s="314">
        <f>IF($BI24&lt;&gt;"",IF('Capacity summary'!$D$14="Yes",IF(COUNTBLANK('Capacity summary'!$H143:$BG143)&lt;52,IF('Capacity summary'!AQ143&lt;&gt;"",IF(LOWER('Capacity summary'!AQ143)="x",$BI24*AQ24,VALUE('Capacity summary'!AQ143)),0),AQ24*$BI24),AQ24*$BI24),0)</f>
        <v>0</v>
      </c>
      <c r="CU24" s="314">
        <f>IF($BI24&lt;&gt;"",IF('Capacity summary'!$D$14="Yes",IF(COUNTBLANK('Capacity summary'!$H143:$BG143)&lt;52,IF('Capacity summary'!AR143&lt;&gt;"",IF(LOWER('Capacity summary'!AR143)="x",$BI24*AR24,VALUE('Capacity summary'!AR143)),0),AR24*$BI24),AR24*$BI24),0)</f>
        <v>0</v>
      </c>
      <c r="CV24" s="314">
        <f>IF($BI24&lt;&gt;"",IF('Capacity summary'!$D$14="Yes",IF(COUNTBLANK('Capacity summary'!$H143:$BG143)&lt;52,IF('Capacity summary'!AS143&lt;&gt;"",IF(LOWER('Capacity summary'!AS143)="x",$BI24*AS24,VALUE('Capacity summary'!AS143)),0),AS24*$BI24),AS24*$BI24),0)</f>
        <v>0</v>
      </c>
      <c r="CW24" s="314">
        <f>IF($BI24&lt;&gt;"",IF('Capacity summary'!$D$14="Yes",IF(COUNTBLANK('Capacity summary'!$H143:$BG143)&lt;52,IF('Capacity summary'!AT143&lt;&gt;"",IF(LOWER('Capacity summary'!AT143)="x",$BI24*AT24,VALUE('Capacity summary'!AT143)),0),AT24*$BI24),AT24*$BI24),0)</f>
        <v>0</v>
      </c>
      <c r="CX24" s="314">
        <f>IF($BI24&lt;&gt;"",IF('Capacity summary'!$D$14="Yes",IF(COUNTBLANK('Capacity summary'!$H143:$BG143)&lt;52,IF('Capacity summary'!AU143&lt;&gt;"",IF(LOWER('Capacity summary'!AU143)="x",$BI24*AU24,VALUE('Capacity summary'!AU143)),0),AU24*$BI24),AU24*$BI24),0)</f>
        <v>0</v>
      </c>
      <c r="CY24" s="314">
        <f>IF($BI24&lt;&gt;"",IF('Capacity summary'!$D$14="Yes",IF(COUNTBLANK('Capacity summary'!$H143:$BG143)&lt;52,IF('Capacity summary'!AV143&lt;&gt;"",IF(LOWER('Capacity summary'!AV143)="x",$BI24*AV24,VALUE('Capacity summary'!AV143)),0),AV24*$BI24),AV24*$BI24),0)</f>
        <v>0</v>
      </c>
      <c r="CZ24" s="314">
        <f>IF($BI24&lt;&gt;"",IF('Capacity summary'!$D$14="Yes",IF(COUNTBLANK('Capacity summary'!$H143:$BG143)&lt;52,IF('Capacity summary'!AW143&lt;&gt;"",IF(LOWER('Capacity summary'!AW143)="x",$BI24*AW24,VALUE('Capacity summary'!AW143)),0),AW24*$BI24),AW24*$BI24),0)</f>
        <v>0</v>
      </c>
      <c r="DA24" s="314">
        <f>IF($BI24&lt;&gt;"",IF('Capacity summary'!$D$14="Yes",IF(COUNTBLANK('Capacity summary'!$H143:$BG143)&lt;52,IF('Capacity summary'!AX143&lt;&gt;"",IF(LOWER('Capacity summary'!AX143)="x",$BI24*AX24,VALUE('Capacity summary'!AX143)),0),AX24*$BI24),AX24*$BI24),0)</f>
        <v>0</v>
      </c>
      <c r="DB24" s="314">
        <f>IF($BI24&lt;&gt;"",IF('Capacity summary'!$D$14="Yes",IF(COUNTBLANK('Capacity summary'!$H143:$BG143)&lt;52,IF('Capacity summary'!AY143&lt;&gt;"",IF(LOWER('Capacity summary'!AY143)="x",$BI24*AY24,VALUE('Capacity summary'!AY143)),0),AY24*$BI24),AY24*$BI24),0)</f>
        <v>0</v>
      </c>
      <c r="DC24" s="314">
        <f>IF($BI24&lt;&gt;"",IF('Capacity summary'!$D$14="Yes",IF(COUNTBLANK('Capacity summary'!$H143:$BG143)&lt;52,IF('Capacity summary'!AZ143&lt;&gt;"",IF(LOWER('Capacity summary'!AZ143)="x",$BI24*AZ24,VALUE('Capacity summary'!AZ143)),0),AZ24*$BI24),AZ24*$BI24),0)</f>
        <v>0</v>
      </c>
      <c r="DD24" s="314">
        <f>IF($BI24&lt;&gt;"",IF('Capacity summary'!$D$14="Yes",IF(COUNTBLANK('Capacity summary'!$H143:$BG143)&lt;52,IF('Capacity summary'!BA143&lt;&gt;"",IF(LOWER('Capacity summary'!BA143)="x",$BI24*BA24,VALUE('Capacity summary'!BA143)),0),BA24*$BI24),BA24*$BI24),0)</f>
        <v>0</v>
      </c>
      <c r="DE24" s="314">
        <f>IF($BI24&lt;&gt;"",IF('Capacity summary'!$D$14="Yes",IF(COUNTBLANK('Capacity summary'!$H143:$BG143)&lt;52,IF('Capacity summary'!BB143&lt;&gt;"",IF(LOWER('Capacity summary'!BB143)="x",$BI24*BB24,VALUE('Capacity summary'!BB143)),0),BB24*$BI24),BB24*$BI24),0)</f>
        <v>0</v>
      </c>
      <c r="DF24" s="314">
        <f>IF($BI24&lt;&gt;"",IF('Capacity summary'!$D$14="Yes",IF(COUNTBLANK('Capacity summary'!$H143:$BG143)&lt;52,IF('Capacity summary'!BC143&lt;&gt;"",IF(LOWER('Capacity summary'!BC143)="x",$BI24*BC24,VALUE('Capacity summary'!BC143)),0),BC24*$BI24),BC24*$BI24),0)</f>
        <v>0</v>
      </c>
      <c r="DG24" s="314">
        <f>IF($BI24&lt;&gt;"",IF('Capacity summary'!$D$14="Yes",IF(COUNTBLANK('Capacity summary'!$H143:$BG143)&lt;52,IF('Capacity summary'!BD143&lt;&gt;"",IF(LOWER('Capacity summary'!BD143)="x",$BI24*BD24,VALUE('Capacity summary'!BD143)),0),BD24*$BI24),BD24*$BI24),0)</f>
        <v>0</v>
      </c>
      <c r="DH24" s="314">
        <f>IF($BI24&lt;&gt;"",IF('Capacity summary'!$D$14="Yes",IF(COUNTBLANK('Capacity summary'!$H143:$BG143)&lt;52,IF('Capacity summary'!BE143&lt;&gt;"",IF(LOWER('Capacity summary'!BE143)="x",$BI24*BE24,VALUE('Capacity summary'!BE143)),0),BE24*$BI24),BE24*$BI24),0)</f>
        <v>0</v>
      </c>
      <c r="DI24" s="314">
        <f>IF($BI24&lt;&gt;"",IF('Capacity summary'!$D$14="Yes",IF(COUNTBLANK('Capacity summary'!$H143:$BG143)&lt;52,IF('Capacity summary'!BF143&lt;&gt;"",IF(LOWER('Capacity summary'!BF143)="x",$BI24*BF24,VALUE('Capacity summary'!BF143)),0),BF24*$BI24),BF24*$BI24),0)</f>
        <v>0</v>
      </c>
      <c r="DJ24" s="314">
        <f>IF($BI24&lt;&gt;"",IF('Capacity summary'!$D$14="Yes",IF(COUNTBLANK('Capacity summary'!$H143:$BG143)&lt;52,IF('Capacity summary'!BG143&lt;&gt;"",IF(LOWER('Capacity summary'!BG143)="x",$BI24*BG24,VALUE('Capacity summary'!BG143)),0),BG24*$BI24),BG24*$BI24),0)</f>
        <v>0</v>
      </c>
      <c r="DK24" s="137">
        <f t="shared" si="2"/>
        <v>0</v>
      </c>
      <c r="DL24" s="314" t="str">
        <f>Capacity!H36</f>
        <v/>
      </c>
      <c r="DP24" s="5"/>
    </row>
    <row r="25" spans="2:120" x14ac:dyDescent="0.25">
      <c r="B25" s="67"/>
      <c r="C25" s="67" t="str">
        <f>ROW(A21)&amp;". "&amp;Capacity!B37</f>
        <v xml:space="preserve">21. </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IF(ROW(C21)&lt;=Capacity!$A$16,IF('Capacity summary'!$D$14="No",SUM(H25:BG25),'Capacity summary'!$E144),0)</f>
        <v>0</v>
      </c>
      <c r="BI25" s="5" t="str">
        <f>IF(BH25&gt;0,IF(BH25&lt;Capacity!E37,Capacity!F37,Capacity!H37/'Capacity calculation (hide)'!BH25),"")</f>
        <v/>
      </c>
      <c r="BK25" s="314">
        <f>IF($BI25&lt;&gt;"",IF('Capacity summary'!$D$14="Yes",IF(COUNTBLANK('Capacity summary'!$H144:$BG144)&lt;52,IF('Capacity summary'!H144&lt;&gt;"",IF(LOWER('Capacity summary'!H144)="x",$BI25*H25,VALUE('Capacity summary'!H144)),0),H25*$BI25),H25*$BI25),0)</f>
        <v>0</v>
      </c>
      <c r="BL25" s="314">
        <f>IF($BI25&lt;&gt;"",IF('Capacity summary'!$D$14="Yes",IF(COUNTBLANK('Capacity summary'!$H144:$BG144)&lt;52,IF('Capacity summary'!I144&lt;&gt;"",IF(LOWER('Capacity summary'!I144)="x",$BI25*I25,VALUE('Capacity summary'!I144)),0),I25*$BI25),I25*$BI25),0)</f>
        <v>0</v>
      </c>
      <c r="BM25" s="314">
        <f>IF($BI25&lt;&gt;"",IF('Capacity summary'!$D$14="Yes",IF(COUNTBLANK('Capacity summary'!$H144:$BG144)&lt;52,IF('Capacity summary'!J144&lt;&gt;"",IF(LOWER('Capacity summary'!J144)="x",$BI25*J25,VALUE('Capacity summary'!J144)),0),J25*$BI25),J25*$BI25),0)</f>
        <v>0</v>
      </c>
      <c r="BN25" s="314">
        <f>IF($BI25&lt;&gt;"",IF('Capacity summary'!$D$14="Yes",IF(COUNTBLANK('Capacity summary'!$H144:$BG144)&lt;52,IF('Capacity summary'!K144&lt;&gt;"",IF(LOWER('Capacity summary'!K144)="x",$BI25*K25,VALUE('Capacity summary'!K144)),0),K25*$BI25),K25*$BI25),0)</f>
        <v>0</v>
      </c>
      <c r="BO25" s="314">
        <f>IF($BI25&lt;&gt;"",IF('Capacity summary'!$D$14="Yes",IF(COUNTBLANK('Capacity summary'!$H144:$BG144)&lt;52,IF('Capacity summary'!L144&lt;&gt;"",IF(LOWER('Capacity summary'!L144)="x",$BI25*L25,VALUE('Capacity summary'!L144)),0),L25*$BI25),L25*$BI25),0)</f>
        <v>0</v>
      </c>
      <c r="BP25" s="314">
        <f>IF($BI25&lt;&gt;"",IF('Capacity summary'!$D$14="Yes",IF(COUNTBLANK('Capacity summary'!$H144:$BG144)&lt;52,IF('Capacity summary'!M144&lt;&gt;"",IF(LOWER('Capacity summary'!M144)="x",$BI25*M25,VALUE('Capacity summary'!M144)),0),M25*$BI25),M25*$BI25),0)</f>
        <v>0</v>
      </c>
      <c r="BQ25" s="314">
        <f>IF($BI25&lt;&gt;"",IF('Capacity summary'!$D$14="Yes",IF(COUNTBLANK('Capacity summary'!$H144:$BG144)&lt;52,IF('Capacity summary'!N144&lt;&gt;"",IF(LOWER('Capacity summary'!N144)="x",$BI25*N25,VALUE('Capacity summary'!N144)),0),N25*$BI25),N25*$BI25),0)</f>
        <v>0</v>
      </c>
      <c r="BR25" s="314">
        <f>IF($BI25&lt;&gt;"",IF('Capacity summary'!$D$14="Yes",IF(COUNTBLANK('Capacity summary'!$H144:$BG144)&lt;52,IF('Capacity summary'!O144&lt;&gt;"",IF(LOWER('Capacity summary'!O144)="x",$BI25*O25,VALUE('Capacity summary'!O144)),0),O25*$BI25),O25*$BI25),0)</f>
        <v>0</v>
      </c>
      <c r="BS25" s="314">
        <f>IF($BI25&lt;&gt;"",IF('Capacity summary'!$D$14="Yes",IF(COUNTBLANK('Capacity summary'!$H144:$BG144)&lt;52,IF('Capacity summary'!P144&lt;&gt;"",IF(LOWER('Capacity summary'!P144)="x",$BI25*P25,VALUE('Capacity summary'!P144)),0),P25*$BI25),P25*$BI25),0)</f>
        <v>0</v>
      </c>
      <c r="BT25" s="314">
        <f>IF($BI25&lt;&gt;"",IF('Capacity summary'!$D$14="Yes",IF(COUNTBLANK('Capacity summary'!$H144:$BG144)&lt;52,IF('Capacity summary'!Q144&lt;&gt;"",IF(LOWER('Capacity summary'!Q144)="x",$BI25*Q25,VALUE('Capacity summary'!Q144)),0),Q25*$BI25),Q25*$BI25),0)</f>
        <v>0</v>
      </c>
      <c r="BU25" s="314">
        <f>IF($BI25&lt;&gt;"",IF('Capacity summary'!$D$14="Yes",IF(COUNTBLANK('Capacity summary'!$H144:$BG144)&lt;52,IF('Capacity summary'!R144&lt;&gt;"",IF(LOWER('Capacity summary'!R144)="x",$BI25*R25,VALUE('Capacity summary'!R144)),0),R25*$BI25),R25*$BI25),0)</f>
        <v>0</v>
      </c>
      <c r="BV25" s="314">
        <f>IF($BI25&lt;&gt;"",IF('Capacity summary'!$D$14="Yes",IF(COUNTBLANK('Capacity summary'!$H144:$BG144)&lt;52,IF('Capacity summary'!S144&lt;&gt;"",IF(LOWER('Capacity summary'!S144)="x",$BI25*S25,VALUE('Capacity summary'!S144)),0),S25*$BI25),S25*$BI25),0)</f>
        <v>0</v>
      </c>
      <c r="BW25" s="314">
        <f>IF($BI25&lt;&gt;"",IF('Capacity summary'!$D$14="Yes",IF(COUNTBLANK('Capacity summary'!$H144:$BG144)&lt;52,IF('Capacity summary'!T144&lt;&gt;"",IF(LOWER('Capacity summary'!T144)="x",$BI25*T25,VALUE('Capacity summary'!T144)),0),T25*$BI25),T25*$BI25),0)</f>
        <v>0</v>
      </c>
      <c r="BX25" s="314">
        <f>IF($BI25&lt;&gt;"",IF('Capacity summary'!$D$14="Yes",IF(COUNTBLANK('Capacity summary'!$H144:$BG144)&lt;52,IF('Capacity summary'!U144&lt;&gt;"",IF(LOWER('Capacity summary'!U144)="x",$BI25*U25,VALUE('Capacity summary'!U144)),0),U25*$BI25),U25*$BI25),0)</f>
        <v>0</v>
      </c>
      <c r="BY25" s="314">
        <f>IF($BI25&lt;&gt;"",IF('Capacity summary'!$D$14="Yes",IF(COUNTBLANK('Capacity summary'!$H144:$BG144)&lt;52,IF('Capacity summary'!V144&lt;&gt;"",IF(LOWER('Capacity summary'!V144)="x",$BI25*V25,VALUE('Capacity summary'!V144)),0),V25*$BI25),V25*$BI25),0)</f>
        <v>0</v>
      </c>
      <c r="BZ25" s="314">
        <f>IF($BI25&lt;&gt;"",IF('Capacity summary'!$D$14="Yes",IF(COUNTBLANK('Capacity summary'!$H144:$BG144)&lt;52,IF('Capacity summary'!W144&lt;&gt;"",IF(LOWER('Capacity summary'!W144)="x",$BI25*W25,VALUE('Capacity summary'!W144)),0),W25*$BI25),W25*$BI25),0)</f>
        <v>0</v>
      </c>
      <c r="CA25" s="314">
        <f>IF($BI25&lt;&gt;"",IF('Capacity summary'!$D$14="Yes",IF(COUNTBLANK('Capacity summary'!$H144:$BG144)&lt;52,IF('Capacity summary'!X144&lt;&gt;"",IF(LOWER('Capacity summary'!X144)="x",$BI25*X25,VALUE('Capacity summary'!X144)),0),X25*$BI25),X25*$BI25),0)</f>
        <v>0</v>
      </c>
      <c r="CB25" s="314">
        <f>IF($BI25&lt;&gt;"",IF('Capacity summary'!$D$14="Yes",IF(COUNTBLANK('Capacity summary'!$H144:$BG144)&lt;52,IF('Capacity summary'!Y144&lt;&gt;"",IF(LOWER('Capacity summary'!Y144)="x",$BI25*Y25,VALUE('Capacity summary'!Y144)),0),Y25*$BI25),Y25*$BI25),0)</f>
        <v>0</v>
      </c>
      <c r="CC25" s="314">
        <f>IF($BI25&lt;&gt;"",IF('Capacity summary'!$D$14="Yes",IF(COUNTBLANK('Capacity summary'!$H144:$BG144)&lt;52,IF('Capacity summary'!Z144&lt;&gt;"",IF(LOWER('Capacity summary'!Z144)="x",$BI25*Z25,VALUE('Capacity summary'!Z144)),0),Z25*$BI25),Z25*$BI25),0)</f>
        <v>0</v>
      </c>
      <c r="CD25" s="314">
        <f>IF($BI25&lt;&gt;"",IF('Capacity summary'!$D$14="Yes",IF(COUNTBLANK('Capacity summary'!$H144:$BG144)&lt;52,IF('Capacity summary'!AA144&lt;&gt;"",IF(LOWER('Capacity summary'!AA144)="x",$BI25*AA25,VALUE('Capacity summary'!AA144)),0),AA25*$BI25),AA25*$BI25),0)</f>
        <v>0</v>
      </c>
      <c r="CE25" s="314">
        <f>IF($BI25&lt;&gt;"",IF('Capacity summary'!$D$14="Yes",IF(COUNTBLANK('Capacity summary'!$H144:$BG144)&lt;52,IF('Capacity summary'!AB144&lt;&gt;"",IF(LOWER('Capacity summary'!AB144)="x",$BI25*AB25,VALUE('Capacity summary'!AB144)),0),AB25*$BI25),AB25*$BI25),0)</f>
        <v>0</v>
      </c>
      <c r="CF25" s="314">
        <f>IF($BI25&lt;&gt;"",IF('Capacity summary'!$D$14="Yes",IF(COUNTBLANK('Capacity summary'!$H144:$BG144)&lt;52,IF('Capacity summary'!AC144&lt;&gt;"",IF(LOWER('Capacity summary'!AC144)="x",$BI25*AC25,VALUE('Capacity summary'!AC144)),0),AC25*$BI25),AC25*$BI25),0)</f>
        <v>0</v>
      </c>
      <c r="CG25" s="314">
        <f>IF($BI25&lt;&gt;"",IF('Capacity summary'!$D$14="Yes",IF(COUNTBLANK('Capacity summary'!$H144:$BG144)&lt;52,IF('Capacity summary'!AD144&lt;&gt;"",IF(LOWER('Capacity summary'!AD144)="x",$BI25*AD25,VALUE('Capacity summary'!AD144)),0),AD25*$BI25),AD25*$BI25),0)</f>
        <v>0</v>
      </c>
      <c r="CH25" s="314">
        <f>IF($BI25&lt;&gt;"",IF('Capacity summary'!$D$14="Yes",IF(COUNTBLANK('Capacity summary'!$H144:$BG144)&lt;52,IF('Capacity summary'!AE144&lt;&gt;"",IF(LOWER('Capacity summary'!AE144)="x",$BI25*AE25,VALUE('Capacity summary'!AE144)),0),AE25*$BI25),AE25*$BI25),0)</f>
        <v>0</v>
      </c>
      <c r="CI25" s="314">
        <f>IF($BI25&lt;&gt;"",IF('Capacity summary'!$D$14="Yes",IF(COUNTBLANK('Capacity summary'!$H144:$BG144)&lt;52,IF('Capacity summary'!AF144&lt;&gt;"",IF(LOWER('Capacity summary'!AF144)="x",$BI25*AF25,VALUE('Capacity summary'!AF144)),0),AF25*$BI25),AF25*$BI25),0)</f>
        <v>0</v>
      </c>
      <c r="CJ25" s="314">
        <f>IF($BI25&lt;&gt;"",IF('Capacity summary'!$D$14="Yes",IF(COUNTBLANK('Capacity summary'!$H144:$BG144)&lt;52,IF('Capacity summary'!AG144&lt;&gt;"",IF(LOWER('Capacity summary'!AG144)="x",$BI25*AG25,VALUE('Capacity summary'!AG144)),0),AG25*$BI25),AG25*$BI25),0)</f>
        <v>0</v>
      </c>
      <c r="CK25" s="314">
        <f>IF($BI25&lt;&gt;"",IF('Capacity summary'!$D$14="Yes",IF(COUNTBLANK('Capacity summary'!$H144:$BG144)&lt;52,IF('Capacity summary'!AH144&lt;&gt;"",IF(LOWER('Capacity summary'!AH144)="x",$BI25*AH25,VALUE('Capacity summary'!AH144)),0),AH25*$BI25),AH25*$BI25),0)</f>
        <v>0</v>
      </c>
      <c r="CL25" s="314">
        <f>IF($BI25&lt;&gt;"",IF('Capacity summary'!$D$14="Yes",IF(COUNTBLANK('Capacity summary'!$H144:$BG144)&lt;52,IF('Capacity summary'!AI144&lt;&gt;"",IF(LOWER('Capacity summary'!AI144)="x",$BI25*AI25,VALUE('Capacity summary'!AI144)),0),AI25*$BI25),AI25*$BI25),0)</f>
        <v>0</v>
      </c>
      <c r="CM25" s="314">
        <f>IF($BI25&lt;&gt;"",IF('Capacity summary'!$D$14="Yes",IF(COUNTBLANK('Capacity summary'!$H144:$BG144)&lt;52,IF('Capacity summary'!AJ144&lt;&gt;"",IF(LOWER('Capacity summary'!AJ144)="x",$BI25*AJ25,VALUE('Capacity summary'!AJ144)),0),AJ25*$BI25),AJ25*$BI25),0)</f>
        <v>0</v>
      </c>
      <c r="CN25" s="314">
        <f>IF($BI25&lt;&gt;"",IF('Capacity summary'!$D$14="Yes",IF(COUNTBLANK('Capacity summary'!$H144:$BG144)&lt;52,IF('Capacity summary'!AK144&lt;&gt;"",IF(LOWER('Capacity summary'!AK144)="x",$BI25*AK25,VALUE('Capacity summary'!AK144)),0),AK25*$BI25),AK25*$BI25),0)</f>
        <v>0</v>
      </c>
      <c r="CO25" s="314">
        <f>IF($BI25&lt;&gt;"",IF('Capacity summary'!$D$14="Yes",IF(COUNTBLANK('Capacity summary'!$H144:$BG144)&lt;52,IF('Capacity summary'!AL144&lt;&gt;"",IF(LOWER('Capacity summary'!AL144)="x",$BI25*AL25,VALUE('Capacity summary'!AL144)),0),AL25*$BI25),AL25*$BI25),0)</f>
        <v>0</v>
      </c>
      <c r="CP25" s="314">
        <f>IF($BI25&lt;&gt;"",IF('Capacity summary'!$D$14="Yes",IF(COUNTBLANK('Capacity summary'!$H144:$BG144)&lt;52,IF('Capacity summary'!AM144&lt;&gt;"",IF(LOWER('Capacity summary'!AM144)="x",$BI25*AM25,VALUE('Capacity summary'!AM144)),0),AM25*$BI25),AM25*$BI25),0)</f>
        <v>0</v>
      </c>
      <c r="CQ25" s="314">
        <f>IF($BI25&lt;&gt;"",IF('Capacity summary'!$D$14="Yes",IF(COUNTBLANK('Capacity summary'!$H144:$BG144)&lt;52,IF('Capacity summary'!AN144&lt;&gt;"",IF(LOWER('Capacity summary'!AN144)="x",$BI25*AN25,VALUE('Capacity summary'!AN144)),0),AN25*$BI25),AN25*$BI25),0)</f>
        <v>0</v>
      </c>
      <c r="CR25" s="314">
        <f>IF($BI25&lt;&gt;"",IF('Capacity summary'!$D$14="Yes",IF(COUNTBLANK('Capacity summary'!$H144:$BG144)&lt;52,IF('Capacity summary'!AO144&lt;&gt;"",IF(LOWER('Capacity summary'!AO144)="x",$BI25*AO25,VALUE('Capacity summary'!AO144)),0),AO25*$BI25),AO25*$BI25),0)</f>
        <v>0</v>
      </c>
      <c r="CS25" s="314">
        <f>IF($BI25&lt;&gt;"",IF('Capacity summary'!$D$14="Yes",IF(COUNTBLANK('Capacity summary'!$H144:$BG144)&lt;52,IF('Capacity summary'!AP144&lt;&gt;"",IF(LOWER('Capacity summary'!AP144)="x",$BI25*AP25,VALUE('Capacity summary'!AP144)),0),AP25*$BI25),AP25*$BI25),0)</f>
        <v>0</v>
      </c>
      <c r="CT25" s="314">
        <f>IF($BI25&lt;&gt;"",IF('Capacity summary'!$D$14="Yes",IF(COUNTBLANK('Capacity summary'!$H144:$BG144)&lt;52,IF('Capacity summary'!AQ144&lt;&gt;"",IF(LOWER('Capacity summary'!AQ144)="x",$BI25*AQ25,VALUE('Capacity summary'!AQ144)),0),AQ25*$BI25),AQ25*$BI25),0)</f>
        <v>0</v>
      </c>
      <c r="CU25" s="314">
        <f>IF($BI25&lt;&gt;"",IF('Capacity summary'!$D$14="Yes",IF(COUNTBLANK('Capacity summary'!$H144:$BG144)&lt;52,IF('Capacity summary'!AR144&lt;&gt;"",IF(LOWER('Capacity summary'!AR144)="x",$BI25*AR25,VALUE('Capacity summary'!AR144)),0),AR25*$BI25),AR25*$BI25),0)</f>
        <v>0</v>
      </c>
      <c r="CV25" s="314">
        <f>IF($BI25&lt;&gt;"",IF('Capacity summary'!$D$14="Yes",IF(COUNTBLANK('Capacity summary'!$H144:$BG144)&lt;52,IF('Capacity summary'!AS144&lt;&gt;"",IF(LOWER('Capacity summary'!AS144)="x",$BI25*AS25,VALUE('Capacity summary'!AS144)),0),AS25*$BI25),AS25*$BI25),0)</f>
        <v>0</v>
      </c>
      <c r="CW25" s="314">
        <f>IF($BI25&lt;&gt;"",IF('Capacity summary'!$D$14="Yes",IF(COUNTBLANK('Capacity summary'!$H144:$BG144)&lt;52,IF('Capacity summary'!AT144&lt;&gt;"",IF(LOWER('Capacity summary'!AT144)="x",$BI25*AT25,VALUE('Capacity summary'!AT144)),0),AT25*$BI25),AT25*$BI25),0)</f>
        <v>0</v>
      </c>
      <c r="CX25" s="314">
        <f>IF($BI25&lt;&gt;"",IF('Capacity summary'!$D$14="Yes",IF(COUNTBLANK('Capacity summary'!$H144:$BG144)&lt;52,IF('Capacity summary'!AU144&lt;&gt;"",IF(LOWER('Capacity summary'!AU144)="x",$BI25*AU25,VALUE('Capacity summary'!AU144)),0),AU25*$BI25),AU25*$BI25),0)</f>
        <v>0</v>
      </c>
      <c r="CY25" s="314">
        <f>IF($BI25&lt;&gt;"",IF('Capacity summary'!$D$14="Yes",IF(COUNTBLANK('Capacity summary'!$H144:$BG144)&lt;52,IF('Capacity summary'!AV144&lt;&gt;"",IF(LOWER('Capacity summary'!AV144)="x",$BI25*AV25,VALUE('Capacity summary'!AV144)),0),AV25*$BI25),AV25*$BI25),0)</f>
        <v>0</v>
      </c>
      <c r="CZ25" s="314">
        <f>IF($BI25&lt;&gt;"",IF('Capacity summary'!$D$14="Yes",IF(COUNTBLANK('Capacity summary'!$H144:$BG144)&lt;52,IF('Capacity summary'!AW144&lt;&gt;"",IF(LOWER('Capacity summary'!AW144)="x",$BI25*AW25,VALUE('Capacity summary'!AW144)),0),AW25*$BI25),AW25*$BI25),0)</f>
        <v>0</v>
      </c>
      <c r="DA25" s="314">
        <f>IF($BI25&lt;&gt;"",IF('Capacity summary'!$D$14="Yes",IF(COUNTBLANK('Capacity summary'!$H144:$BG144)&lt;52,IF('Capacity summary'!AX144&lt;&gt;"",IF(LOWER('Capacity summary'!AX144)="x",$BI25*AX25,VALUE('Capacity summary'!AX144)),0),AX25*$BI25),AX25*$BI25),0)</f>
        <v>0</v>
      </c>
      <c r="DB25" s="314">
        <f>IF($BI25&lt;&gt;"",IF('Capacity summary'!$D$14="Yes",IF(COUNTBLANK('Capacity summary'!$H144:$BG144)&lt;52,IF('Capacity summary'!AY144&lt;&gt;"",IF(LOWER('Capacity summary'!AY144)="x",$BI25*AY25,VALUE('Capacity summary'!AY144)),0),AY25*$BI25),AY25*$BI25),0)</f>
        <v>0</v>
      </c>
      <c r="DC25" s="314">
        <f>IF($BI25&lt;&gt;"",IF('Capacity summary'!$D$14="Yes",IF(COUNTBLANK('Capacity summary'!$H144:$BG144)&lt;52,IF('Capacity summary'!AZ144&lt;&gt;"",IF(LOWER('Capacity summary'!AZ144)="x",$BI25*AZ25,VALUE('Capacity summary'!AZ144)),0),AZ25*$BI25),AZ25*$BI25),0)</f>
        <v>0</v>
      </c>
      <c r="DD25" s="314">
        <f>IF($BI25&lt;&gt;"",IF('Capacity summary'!$D$14="Yes",IF(COUNTBLANK('Capacity summary'!$H144:$BG144)&lt;52,IF('Capacity summary'!BA144&lt;&gt;"",IF(LOWER('Capacity summary'!BA144)="x",$BI25*BA25,VALUE('Capacity summary'!BA144)),0),BA25*$BI25),BA25*$BI25),0)</f>
        <v>0</v>
      </c>
      <c r="DE25" s="314">
        <f>IF($BI25&lt;&gt;"",IF('Capacity summary'!$D$14="Yes",IF(COUNTBLANK('Capacity summary'!$H144:$BG144)&lt;52,IF('Capacity summary'!BB144&lt;&gt;"",IF(LOWER('Capacity summary'!BB144)="x",$BI25*BB25,VALUE('Capacity summary'!BB144)),0),BB25*$BI25),BB25*$BI25),0)</f>
        <v>0</v>
      </c>
      <c r="DF25" s="314">
        <f>IF($BI25&lt;&gt;"",IF('Capacity summary'!$D$14="Yes",IF(COUNTBLANK('Capacity summary'!$H144:$BG144)&lt;52,IF('Capacity summary'!BC144&lt;&gt;"",IF(LOWER('Capacity summary'!BC144)="x",$BI25*BC25,VALUE('Capacity summary'!BC144)),0),BC25*$BI25),BC25*$BI25),0)</f>
        <v>0</v>
      </c>
      <c r="DG25" s="314">
        <f>IF($BI25&lt;&gt;"",IF('Capacity summary'!$D$14="Yes",IF(COUNTBLANK('Capacity summary'!$H144:$BG144)&lt;52,IF('Capacity summary'!BD144&lt;&gt;"",IF(LOWER('Capacity summary'!BD144)="x",$BI25*BD25,VALUE('Capacity summary'!BD144)),0),BD25*$BI25),BD25*$BI25),0)</f>
        <v>0</v>
      </c>
      <c r="DH25" s="314">
        <f>IF($BI25&lt;&gt;"",IF('Capacity summary'!$D$14="Yes",IF(COUNTBLANK('Capacity summary'!$H144:$BG144)&lt;52,IF('Capacity summary'!BE144&lt;&gt;"",IF(LOWER('Capacity summary'!BE144)="x",$BI25*BE25,VALUE('Capacity summary'!BE144)),0),BE25*$BI25),BE25*$BI25),0)</f>
        <v>0</v>
      </c>
      <c r="DI25" s="314">
        <f>IF($BI25&lt;&gt;"",IF('Capacity summary'!$D$14="Yes",IF(COUNTBLANK('Capacity summary'!$H144:$BG144)&lt;52,IF('Capacity summary'!BF144&lt;&gt;"",IF(LOWER('Capacity summary'!BF144)="x",$BI25*BF25,VALUE('Capacity summary'!BF144)),0),BF25*$BI25),BF25*$BI25),0)</f>
        <v>0</v>
      </c>
      <c r="DJ25" s="314">
        <f>IF($BI25&lt;&gt;"",IF('Capacity summary'!$D$14="Yes",IF(COUNTBLANK('Capacity summary'!$H144:$BG144)&lt;52,IF('Capacity summary'!BG144&lt;&gt;"",IF(LOWER('Capacity summary'!BG144)="x",$BI25*BG25,VALUE('Capacity summary'!BG144)),0),BG25*$BI25),BG25*$BI25),0)</f>
        <v>0</v>
      </c>
      <c r="DK25" s="137">
        <f t="shared" si="2"/>
        <v>0</v>
      </c>
      <c r="DL25" s="314" t="str">
        <f>Capacity!H37</f>
        <v/>
      </c>
      <c r="DP25" s="5"/>
    </row>
    <row r="26" spans="2:120" x14ac:dyDescent="0.25">
      <c r="B26" s="67"/>
      <c r="C26" s="67" t="str">
        <f>ROW(A22)&amp;". "&amp;Capacity!B38</f>
        <v xml:space="preserve">22. </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IF(ROW(C22)&lt;=Capacity!$A$16,IF('Capacity summary'!$D$14="No",SUM(H26:BG26),'Capacity summary'!$E145),0)</f>
        <v>0</v>
      </c>
      <c r="BI26" s="5" t="str">
        <f>IF(BH26&gt;0,IF(BH26&lt;Capacity!E38,Capacity!F38,Capacity!H38/'Capacity calculation (hide)'!BH26),"")</f>
        <v/>
      </c>
      <c r="BK26" s="314">
        <f>IF($BI26&lt;&gt;"",IF('Capacity summary'!$D$14="Yes",IF(COUNTBLANK('Capacity summary'!$H145:$BG145)&lt;52,IF('Capacity summary'!H145&lt;&gt;"",IF(LOWER('Capacity summary'!H145)="x",$BI26*H26,VALUE('Capacity summary'!H145)),0),H26*$BI26),H26*$BI26),0)</f>
        <v>0</v>
      </c>
      <c r="BL26" s="314">
        <f>IF($BI26&lt;&gt;"",IF('Capacity summary'!$D$14="Yes",IF(COUNTBLANK('Capacity summary'!$H145:$BG145)&lt;52,IF('Capacity summary'!I145&lt;&gt;"",IF(LOWER('Capacity summary'!I145)="x",$BI26*I26,VALUE('Capacity summary'!I145)),0),I26*$BI26),I26*$BI26),0)</f>
        <v>0</v>
      </c>
      <c r="BM26" s="314">
        <f>IF($BI26&lt;&gt;"",IF('Capacity summary'!$D$14="Yes",IF(COUNTBLANK('Capacity summary'!$H145:$BG145)&lt;52,IF('Capacity summary'!J145&lt;&gt;"",IF(LOWER('Capacity summary'!J145)="x",$BI26*J26,VALUE('Capacity summary'!J145)),0),J26*$BI26),J26*$BI26),0)</f>
        <v>0</v>
      </c>
      <c r="BN26" s="314">
        <f>IF($BI26&lt;&gt;"",IF('Capacity summary'!$D$14="Yes",IF(COUNTBLANK('Capacity summary'!$H145:$BG145)&lt;52,IF('Capacity summary'!K145&lt;&gt;"",IF(LOWER('Capacity summary'!K145)="x",$BI26*K26,VALUE('Capacity summary'!K145)),0),K26*$BI26),K26*$BI26),0)</f>
        <v>0</v>
      </c>
      <c r="BO26" s="314">
        <f>IF($BI26&lt;&gt;"",IF('Capacity summary'!$D$14="Yes",IF(COUNTBLANK('Capacity summary'!$H145:$BG145)&lt;52,IF('Capacity summary'!L145&lt;&gt;"",IF(LOWER('Capacity summary'!L145)="x",$BI26*L26,VALUE('Capacity summary'!L145)),0),L26*$BI26),L26*$BI26),0)</f>
        <v>0</v>
      </c>
      <c r="BP26" s="314">
        <f>IF($BI26&lt;&gt;"",IF('Capacity summary'!$D$14="Yes",IF(COUNTBLANK('Capacity summary'!$H145:$BG145)&lt;52,IF('Capacity summary'!M145&lt;&gt;"",IF(LOWER('Capacity summary'!M145)="x",$BI26*M26,VALUE('Capacity summary'!M145)),0),M26*$BI26),M26*$BI26),0)</f>
        <v>0</v>
      </c>
      <c r="BQ26" s="314">
        <f>IF($BI26&lt;&gt;"",IF('Capacity summary'!$D$14="Yes",IF(COUNTBLANK('Capacity summary'!$H145:$BG145)&lt;52,IF('Capacity summary'!N145&lt;&gt;"",IF(LOWER('Capacity summary'!N145)="x",$BI26*N26,VALUE('Capacity summary'!N145)),0),N26*$BI26),N26*$BI26),0)</f>
        <v>0</v>
      </c>
      <c r="BR26" s="314">
        <f>IF($BI26&lt;&gt;"",IF('Capacity summary'!$D$14="Yes",IF(COUNTBLANK('Capacity summary'!$H145:$BG145)&lt;52,IF('Capacity summary'!O145&lt;&gt;"",IF(LOWER('Capacity summary'!O145)="x",$BI26*O26,VALUE('Capacity summary'!O145)),0),O26*$BI26),O26*$BI26),0)</f>
        <v>0</v>
      </c>
      <c r="BS26" s="314">
        <f>IF($BI26&lt;&gt;"",IF('Capacity summary'!$D$14="Yes",IF(COUNTBLANK('Capacity summary'!$H145:$BG145)&lt;52,IF('Capacity summary'!P145&lt;&gt;"",IF(LOWER('Capacity summary'!P145)="x",$BI26*P26,VALUE('Capacity summary'!P145)),0),P26*$BI26),P26*$BI26),0)</f>
        <v>0</v>
      </c>
      <c r="BT26" s="314">
        <f>IF($BI26&lt;&gt;"",IF('Capacity summary'!$D$14="Yes",IF(COUNTBLANK('Capacity summary'!$H145:$BG145)&lt;52,IF('Capacity summary'!Q145&lt;&gt;"",IF(LOWER('Capacity summary'!Q145)="x",$BI26*Q26,VALUE('Capacity summary'!Q145)),0),Q26*$BI26),Q26*$BI26),0)</f>
        <v>0</v>
      </c>
      <c r="BU26" s="314">
        <f>IF($BI26&lt;&gt;"",IF('Capacity summary'!$D$14="Yes",IF(COUNTBLANK('Capacity summary'!$H145:$BG145)&lt;52,IF('Capacity summary'!R145&lt;&gt;"",IF(LOWER('Capacity summary'!R145)="x",$BI26*R26,VALUE('Capacity summary'!R145)),0),R26*$BI26),R26*$BI26),0)</f>
        <v>0</v>
      </c>
      <c r="BV26" s="314">
        <f>IF($BI26&lt;&gt;"",IF('Capacity summary'!$D$14="Yes",IF(COUNTBLANK('Capacity summary'!$H145:$BG145)&lt;52,IF('Capacity summary'!S145&lt;&gt;"",IF(LOWER('Capacity summary'!S145)="x",$BI26*S26,VALUE('Capacity summary'!S145)),0),S26*$BI26),S26*$BI26),0)</f>
        <v>0</v>
      </c>
      <c r="BW26" s="314">
        <f>IF($BI26&lt;&gt;"",IF('Capacity summary'!$D$14="Yes",IF(COUNTBLANK('Capacity summary'!$H145:$BG145)&lt;52,IF('Capacity summary'!T145&lt;&gt;"",IF(LOWER('Capacity summary'!T145)="x",$BI26*T26,VALUE('Capacity summary'!T145)),0),T26*$BI26),T26*$BI26),0)</f>
        <v>0</v>
      </c>
      <c r="BX26" s="314">
        <f>IF($BI26&lt;&gt;"",IF('Capacity summary'!$D$14="Yes",IF(COUNTBLANK('Capacity summary'!$H145:$BG145)&lt;52,IF('Capacity summary'!U145&lt;&gt;"",IF(LOWER('Capacity summary'!U145)="x",$BI26*U26,VALUE('Capacity summary'!U145)),0),U26*$BI26),U26*$BI26),0)</f>
        <v>0</v>
      </c>
      <c r="BY26" s="314">
        <f>IF($BI26&lt;&gt;"",IF('Capacity summary'!$D$14="Yes",IF(COUNTBLANK('Capacity summary'!$H145:$BG145)&lt;52,IF('Capacity summary'!V145&lt;&gt;"",IF(LOWER('Capacity summary'!V145)="x",$BI26*V26,VALUE('Capacity summary'!V145)),0),V26*$BI26),V26*$BI26),0)</f>
        <v>0</v>
      </c>
      <c r="BZ26" s="314">
        <f>IF($BI26&lt;&gt;"",IF('Capacity summary'!$D$14="Yes",IF(COUNTBLANK('Capacity summary'!$H145:$BG145)&lt;52,IF('Capacity summary'!W145&lt;&gt;"",IF(LOWER('Capacity summary'!W145)="x",$BI26*W26,VALUE('Capacity summary'!W145)),0),W26*$BI26),W26*$BI26),0)</f>
        <v>0</v>
      </c>
      <c r="CA26" s="314">
        <f>IF($BI26&lt;&gt;"",IF('Capacity summary'!$D$14="Yes",IF(COUNTBLANK('Capacity summary'!$H145:$BG145)&lt;52,IF('Capacity summary'!X145&lt;&gt;"",IF(LOWER('Capacity summary'!X145)="x",$BI26*X26,VALUE('Capacity summary'!X145)),0),X26*$BI26),X26*$BI26),0)</f>
        <v>0</v>
      </c>
      <c r="CB26" s="314">
        <f>IF($BI26&lt;&gt;"",IF('Capacity summary'!$D$14="Yes",IF(COUNTBLANK('Capacity summary'!$H145:$BG145)&lt;52,IF('Capacity summary'!Y145&lt;&gt;"",IF(LOWER('Capacity summary'!Y145)="x",$BI26*Y26,VALUE('Capacity summary'!Y145)),0),Y26*$BI26),Y26*$BI26),0)</f>
        <v>0</v>
      </c>
      <c r="CC26" s="314">
        <f>IF($BI26&lt;&gt;"",IF('Capacity summary'!$D$14="Yes",IF(COUNTBLANK('Capacity summary'!$H145:$BG145)&lt;52,IF('Capacity summary'!Z145&lt;&gt;"",IF(LOWER('Capacity summary'!Z145)="x",$BI26*Z26,VALUE('Capacity summary'!Z145)),0),Z26*$BI26),Z26*$BI26),0)</f>
        <v>0</v>
      </c>
      <c r="CD26" s="314">
        <f>IF($BI26&lt;&gt;"",IF('Capacity summary'!$D$14="Yes",IF(COUNTBLANK('Capacity summary'!$H145:$BG145)&lt;52,IF('Capacity summary'!AA145&lt;&gt;"",IF(LOWER('Capacity summary'!AA145)="x",$BI26*AA26,VALUE('Capacity summary'!AA145)),0),AA26*$BI26),AA26*$BI26),0)</f>
        <v>0</v>
      </c>
      <c r="CE26" s="314">
        <f>IF($BI26&lt;&gt;"",IF('Capacity summary'!$D$14="Yes",IF(COUNTBLANK('Capacity summary'!$H145:$BG145)&lt;52,IF('Capacity summary'!AB145&lt;&gt;"",IF(LOWER('Capacity summary'!AB145)="x",$BI26*AB26,VALUE('Capacity summary'!AB145)),0),AB26*$BI26),AB26*$BI26),0)</f>
        <v>0</v>
      </c>
      <c r="CF26" s="314">
        <f>IF($BI26&lt;&gt;"",IF('Capacity summary'!$D$14="Yes",IF(COUNTBLANK('Capacity summary'!$H145:$BG145)&lt;52,IF('Capacity summary'!AC145&lt;&gt;"",IF(LOWER('Capacity summary'!AC145)="x",$BI26*AC26,VALUE('Capacity summary'!AC145)),0),AC26*$BI26),AC26*$BI26),0)</f>
        <v>0</v>
      </c>
      <c r="CG26" s="314">
        <f>IF($BI26&lt;&gt;"",IF('Capacity summary'!$D$14="Yes",IF(COUNTBLANK('Capacity summary'!$H145:$BG145)&lt;52,IF('Capacity summary'!AD145&lt;&gt;"",IF(LOWER('Capacity summary'!AD145)="x",$BI26*AD26,VALUE('Capacity summary'!AD145)),0),AD26*$BI26),AD26*$BI26),0)</f>
        <v>0</v>
      </c>
      <c r="CH26" s="314">
        <f>IF($BI26&lt;&gt;"",IF('Capacity summary'!$D$14="Yes",IF(COUNTBLANK('Capacity summary'!$H145:$BG145)&lt;52,IF('Capacity summary'!AE145&lt;&gt;"",IF(LOWER('Capacity summary'!AE145)="x",$BI26*AE26,VALUE('Capacity summary'!AE145)),0),AE26*$BI26),AE26*$BI26),0)</f>
        <v>0</v>
      </c>
      <c r="CI26" s="314">
        <f>IF($BI26&lt;&gt;"",IF('Capacity summary'!$D$14="Yes",IF(COUNTBLANK('Capacity summary'!$H145:$BG145)&lt;52,IF('Capacity summary'!AF145&lt;&gt;"",IF(LOWER('Capacity summary'!AF145)="x",$BI26*AF26,VALUE('Capacity summary'!AF145)),0),AF26*$BI26),AF26*$BI26),0)</f>
        <v>0</v>
      </c>
      <c r="CJ26" s="314">
        <f>IF($BI26&lt;&gt;"",IF('Capacity summary'!$D$14="Yes",IF(COUNTBLANK('Capacity summary'!$H145:$BG145)&lt;52,IF('Capacity summary'!AG145&lt;&gt;"",IF(LOWER('Capacity summary'!AG145)="x",$BI26*AG26,VALUE('Capacity summary'!AG145)),0),AG26*$BI26),AG26*$BI26),0)</f>
        <v>0</v>
      </c>
      <c r="CK26" s="314">
        <f>IF($BI26&lt;&gt;"",IF('Capacity summary'!$D$14="Yes",IF(COUNTBLANK('Capacity summary'!$H145:$BG145)&lt;52,IF('Capacity summary'!AH145&lt;&gt;"",IF(LOWER('Capacity summary'!AH145)="x",$BI26*AH26,VALUE('Capacity summary'!AH145)),0),AH26*$BI26),AH26*$BI26),0)</f>
        <v>0</v>
      </c>
      <c r="CL26" s="314">
        <f>IF($BI26&lt;&gt;"",IF('Capacity summary'!$D$14="Yes",IF(COUNTBLANK('Capacity summary'!$H145:$BG145)&lt;52,IF('Capacity summary'!AI145&lt;&gt;"",IF(LOWER('Capacity summary'!AI145)="x",$BI26*AI26,VALUE('Capacity summary'!AI145)),0),AI26*$BI26),AI26*$BI26),0)</f>
        <v>0</v>
      </c>
      <c r="CM26" s="314">
        <f>IF($BI26&lt;&gt;"",IF('Capacity summary'!$D$14="Yes",IF(COUNTBLANK('Capacity summary'!$H145:$BG145)&lt;52,IF('Capacity summary'!AJ145&lt;&gt;"",IF(LOWER('Capacity summary'!AJ145)="x",$BI26*AJ26,VALUE('Capacity summary'!AJ145)),0),AJ26*$BI26),AJ26*$BI26),0)</f>
        <v>0</v>
      </c>
      <c r="CN26" s="314">
        <f>IF($BI26&lt;&gt;"",IF('Capacity summary'!$D$14="Yes",IF(COUNTBLANK('Capacity summary'!$H145:$BG145)&lt;52,IF('Capacity summary'!AK145&lt;&gt;"",IF(LOWER('Capacity summary'!AK145)="x",$BI26*AK26,VALUE('Capacity summary'!AK145)),0),AK26*$BI26),AK26*$BI26),0)</f>
        <v>0</v>
      </c>
      <c r="CO26" s="314">
        <f>IF($BI26&lt;&gt;"",IF('Capacity summary'!$D$14="Yes",IF(COUNTBLANK('Capacity summary'!$H145:$BG145)&lt;52,IF('Capacity summary'!AL145&lt;&gt;"",IF(LOWER('Capacity summary'!AL145)="x",$BI26*AL26,VALUE('Capacity summary'!AL145)),0),AL26*$BI26),AL26*$BI26),0)</f>
        <v>0</v>
      </c>
      <c r="CP26" s="314">
        <f>IF($BI26&lt;&gt;"",IF('Capacity summary'!$D$14="Yes",IF(COUNTBLANK('Capacity summary'!$H145:$BG145)&lt;52,IF('Capacity summary'!AM145&lt;&gt;"",IF(LOWER('Capacity summary'!AM145)="x",$BI26*AM26,VALUE('Capacity summary'!AM145)),0),AM26*$BI26),AM26*$BI26),0)</f>
        <v>0</v>
      </c>
      <c r="CQ26" s="314">
        <f>IF($BI26&lt;&gt;"",IF('Capacity summary'!$D$14="Yes",IF(COUNTBLANK('Capacity summary'!$H145:$BG145)&lt;52,IF('Capacity summary'!AN145&lt;&gt;"",IF(LOWER('Capacity summary'!AN145)="x",$BI26*AN26,VALUE('Capacity summary'!AN145)),0),AN26*$BI26),AN26*$BI26),0)</f>
        <v>0</v>
      </c>
      <c r="CR26" s="314">
        <f>IF($BI26&lt;&gt;"",IF('Capacity summary'!$D$14="Yes",IF(COUNTBLANK('Capacity summary'!$H145:$BG145)&lt;52,IF('Capacity summary'!AO145&lt;&gt;"",IF(LOWER('Capacity summary'!AO145)="x",$BI26*AO26,VALUE('Capacity summary'!AO145)),0),AO26*$BI26),AO26*$BI26),0)</f>
        <v>0</v>
      </c>
      <c r="CS26" s="314">
        <f>IF($BI26&lt;&gt;"",IF('Capacity summary'!$D$14="Yes",IF(COUNTBLANK('Capacity summary'!$H145:$BG145)&lt;52,IF('Capacity summary'!AP145&lt;&gt;"",IF(LOWER('Capacity summary'!AP145)="x",$BI26*AP26,VALUE('Capacity summary'!AP145)),0),AP26*$BI26),AP26*$BI26),0)</f>
        <v>0</v>
      </c>
      <c r="CT26" s="314">
        <f>IF($BI26&lt;&gt;"",IF('Capacity summary'!$D$14="Yes",IF(COUNTBLANK('Capacity summary'!$H145:$BG145)&lt;52,IF('Capacity summary'!AQ145&lt;&gt;"",IF(LOWER('Capacity summary'!AQ145)="x",$BI26*AQ26,VALUE('Capacity summary'!AQ145)),0),AQ26*$BI26),AQ26*$BI26),0)</f>
        <v>0</v>
      </c>
      <c r="CU26" s="314">
        <f>IF($BI26&lt;&gt;"",IF('Capacity summary'!$D$14="Yes",IF(COUNTBLANK('Capacity summary'!$H145:$BG145)&lt;52,IF('Capacity summary'!AR145&lt;&gt;"",IF(LOWER('Capacity summary'!AR145)="x",$BI26*AR26,VALUE('Capacity summary'!AR145)),0),AR26*$BI26),AR26*$BI26),0)</f>
        <v>0</v>
      </c>
      <c r="CV26" s="314">
        <f>IF($BI26&lt;&gt;"",IF('Capacity summary'!$D$14="Yes",IF(COUNTBLANK('Capacity summary'!$H145:$BG145)&lt;52,IF('Capacity summary'!AS145&lt;&gt;"",IF(LOWER('Capacity summary'!AS145)="x",$BI26*AS26,VALUE('Capacity summary'!AS145)),0),AS26*$BI26),AS26*$BI26),0)</f>
        <v>0</v>
      </c>
      <c r="CW26" s="314">
        <f>IF($BI26&lt;&gt;"",IF('Capacity summary'!$D$14="Yes",IF(COUNTBLANK('Capacity summary'!$H145:$BG145)&lt;52,IF('Capacity summary'!AT145&lt;&gt;"",IF(LOWER('Capacity summary'!AT145)="x",$BI26*AT26,VALUE('Capacity summary'!AT145)),0),AT26*$BI26),AT26*$BI26),0)</f>
        <v>0</v>
      </c>
      <c r="CX26" s="314">
        <f>IF($BI26&lt;&gt;"",IF('Capacity summary'!$D$14="Yes",IF(COUNTBLANK('Capacity summary'!$H145:$BG145)&lt;52,IF('Capacity summary'!AU145&lt;&gt;"",IF(LOWER('Capacity summary'!AU145)="x",$BI26*AU26,VALUE('Capacity summary'!AU145)),0),AU26*$BI26),AU26*$BI26),0)</f>
        <v>0</v>
      </c>
      <c r="CY26" s="314">
        <f>IF($BI26&lt;&gt;"",IF('Capacity summary'!$D$14="Yes",IF(COUNTBLANK('Capacity summary'!$H145:$BG145)&lt;52,IF('Capacity summary'!AV145&lt;&gt;"",IF(LOWER('Capacity summary'!AV145)="x",$BI26*AV26,VALUE('Capacity summary'!AV145)),0),AV26*$BI26),AV26*$BI26),0)</f>
        <v>0</v>
      </c>
      <c r="CZ26" s="314">
        <f>IF($BI26&lt;&gt;"",IF('Capacity summary'!$D$14="Yes",IF(COUNTBLANK('Capacity summary'!$H145:$BG145)&lt;52,IF('Capacity summary'!AW145&lt;&gt;"",IF(LOWER('Capacity summary'!AW145)="x",$BI26*AW26,VALUE('Capacity summary'!AW145)),0),AW26*$BI26),AW26*$BI26),0)</f>
        <v>0</v>
      </c>
      <c r="DA26" s="314">
        <f>IF($BI26&lt;&gt;"",IF('Capacity summary'!$D$14="Yes",IF(COUNTBLANK('Capacity summary'!$H145:$BG145)&lt;52,IF('Capacity summary'!AX145&lt;&gt;"",IF(LOWER('Capacity summary'!AX145)="x",$BI26*AX26,VALUE('Capacity summary'!AX145)),0),AX26*$BI26),AX26*$BI26),0)</f>
        <v>0</v>
      </c>
      <c r="DB26" s="314">
        <f>IF($BI26&lt;&gt;"",IF('Capacity summary'!$D$14="Yes",IF(COUNTBLANK('Capacity summary'!$H145:$BG145)&lt;52,IF('Capacity summary'!AY145&lt;&gt;"",IF(LOWER('Capacity summary'!AY145)="x",$BI26*AY26,VALUE('Capacity summary'!AY145)),0),AY26*$BI26),AY26*$BI26),0)</f>
        <v>0</v>
      </c>
      <c r="DC26" s="314">
        <f>IF($BI26&lt;&gt;"",IF('Capacity summary'!$D$14="Yes",IF(COUNTBLANK('Capacity summary'!$H145:$BG145)&lt;52,IF('Capacity summary'!AZ145&lt;&gt;"",IF(LOWER('Capacity summary'!AZ145)="x",$BI26*AZ26,VALUE('Capacity summary'!AZ145)),0),AZ26*$BI26),AZ26*$BI26),0)</f>
        <v>0</v>
      </c>
      <c r="DD26" s="314">
        <f>IF($BI26&lt;&gt;"",IF('Capacity summary'!$D$14="Yes",IF(COUNTBLANK('Capacity summary'!$H145:$BG145)&lt;52,IF('Capacity summary'!BA145&lt;&gt;"",IF(LOWER('Capacity summary'!BA145)="x",$BI26*BA26,VALUE('Capacity summary'!BA145)),0),BA26*$BI26),BA26*$BI26),0)</f>
        <v>0</v>
      </c>
      <c r="DE26" s="314">
        <f>IF($BI26&lt;&gt;"",IF('Capacity summary'!$D$14="Yes",IF(COUNTBLANK('Capacity summary'!$H145:$BG145)&lt;52,IF('Capacity summary'!BB145&lt;&gt;"",IF(LOWER('Capacity summary'!BB145)="x",$BI26*BB26,VALUE('Capacity summary'!BB145)),0),BB26*$BI26),BB26*$BI26),0)</f>
        <v>0</v>
      </c>
      <c r="DF26" s="314">
        <f>IF($BI26&lt;&gt;"",IF('Capacity summary'!$D$14="Yes",IF(COUNTBLANK('Capacity summary'!$H145:$BG145)&lt;52,IF('Capacity summary'!BC145&lt;&gt;"",IF(LOWER('Capacity summary'!BC145)="x",$BI26*BC26,VALUE('Capacity summary'!BC145)),0),BC26*$BI26),BC26*$BI26),0)</f>
        <v>0</v>
      </c>
      <c r="DG26" s="314">
        <f>IF($BI26&lt;&gt;"",IF('Capacity summary'!$D$14="Yes",IF(COUNTBLANK('Capacity summary'!$H145:$BG145)&lt;52,IF('Capacity summary'!BD145&lt;&gt;"",IF(LOWER('Capacity summary'!BD145)="x",$BI26*BD26,VALUE('Capacity summary'!BD145)),0),BD26*$BI26),BD26*$BI26),0)</f>
        <v>0</v>
      </c>
      <c r="DH26" s="314">
        <f>IF($BI26&lt;&gt;"",IF('Capacity summary'!$D$14="Yes",IF(COUNTBLANK('Capacity summary'!$H145:$BG145)&lt;52,IF('Capacity summary'!BE145&lt;&gt;"",IF(LOWER('Capacity summary'!BE145)="x",$BI26*BE26,VALUE('Capacity summary'!BE145)),0),BE26*$BI26),BE26*$BI26),0)</f>
        <v>0</v>
      </c>
      <c r="DI26" s="314">
        <f>IF($BI26&lt;&gt;"",IF('Capacity summary'!$D$14="Yes",IF(COUNTBLANK('Capacity summary'!$H145:$BG145)&lt;52,IF('Capacity summary'!BF145&lt;&gt;"",IF(LOWER('Capacity summary'!BF145)="x",$BI26*BF26,VALUE('Capacity summary'!BF145)),0),BF26*$BI26),BF26*$BI26),0)</f>
        <v>0</v>
      </c>
      <c r="DJ26" s="314">
        <f>IF($BI26&lt;&gt;"",IF('Capacity summary'!$D$14="Yes",IF(COUNTBLANK('Capacity summary'!$H145:$BG145)&lt;52,IF('Capacity summary'!BG145&lt;&gt;"",IF(LOWER('Capacity summary'!BG145)="x",$BI26*BG26,VALUE('Capacity summary'!BG145)),0),BG26*$BI26),BG26*$BI26),0)</f>
        <v>0</v>
      </c>
      <c r="DK26" s="137">
        <f t="shared" si="2"/>
        <v>0</v>
      </c>
      <c r="DL26" s="314" t="str">
        <f>Capacity!H38</f>
        <v/>
      </c>
      <c r="DP26" s="5"/>
    </row>
    <row r="27" spans="2:120" x14ac:dyDescent="0.25">
      <c r="B27" s="67"/>
      <c r="C27" s="67" t="str">
        <f>ROW(A23)&amp;". "&amp;Capacity!B39</f>
        <v xml:space="preserve">23.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IF(ROW(C23)&lt;=Capacity!$A$16,IF('Capacity summary'!$D$14="No",SUM(H27:BG27),'Capacity summary'!$E146),0)</f>
        <v>0</v>
      </c>
      <c r="BI27" s="5" t="str">
        <f>IF(BH27&gt;0,IF(BH27&lt;Capacity!E39,Capacity!F39,Capacity!H39/'Capacity calculation (hide)'!BH27),"")</f>
        <v/>
      </c>
      <c r="BK27" s="314">
        <f>IF($BI27&lt;&gt;"",IF('Capacity summary'!$D$14="Yes",IF(COUNTBLANK('Capacity summary'!$H146:$BG146)&lt;52,IF('Capacity summary'!H146&lt;&gt;"",IF(LOWER('Capacity summary'!H146)="x",$BI27*H27,VALUE('Capacity summary'!H146)),0),H27*$BI27),H27*$BI27),0)</f>
        <v>0</v>
      </c>
      <c r="BL27" s="314">
        <f>IF($BI27&lt;&gt;"",IF('Capacity summary'!$D$14="Yes",IF(COUNTBLANK('Capacity summary'!$H146:$BG146)&lt;52,IF('Capacity summary'!I146&lt;&gt;"",IF(LOWER('Capacity summary'!I146)="x",$BI27*I27,VALUE('Capacity summary'!I146)),0),I27*$BI27),I27*$BI27),0)</f>
        <v>0</v>
      </c>
      <c r="BM27" s="314">
        <f>IF($BI27&lt;&gt;"",IF('Capacity summary'!$D$14="Yes",IF(COUNTBLANK('Capacity summary'!$H146:$BG146)&lt;52,IF('Capacity summary'!J146&lt;&gt;"",IF(LOWER('Capacity summary'!J146)="x",$BI27*J27,VALUE('Capacity summary'!J146)),0),J27*$BI27),J27*$BI27),0)</f>
        <v>0</v>
      </c>
      <c r="BN27" s="314">
        <f>IF($BI27&lt;&gt;"",IF('Capacity summary'!$D$14="Yes",IF(COUNTBLANK('Capacity summary'!$H146:$BG146)&lt;52,IF('Capacity summary'!K146&lt;&gt;"",IF(LOWER('Capacity summary'!K146)="x",$BI27*K27,VALUE('Capacity summary'!K146)),0),K27*$BI27),K27*$BI27),0)</f>
        <v>0</v>
      </c>
      <c r="BO27" s="314">
        <f>IF($BI27&lt;&gt;"",IF('Capacity summary'!$D$14="Yes",IF(COUNTBLANK('Capacity summary'!$H146:$BG146)&lt;52,IF('Capacity summary'!L146&lt;&gt;"",IF(LOWER('Capacity summary'!L146)="x",$BI27*L27,VALUE('Capacity summary'!L146)),0),L27*$BI27),L27*$BI27),0)</f>
        <v>0</v>
      </c>
      <c r="BP27" s="314">
        <f>IF($BI27&lt;&gt;"",IF('Capacity summary'!$D$14="Yes",IF(COUNTBLANK('Capacity summary'!$H146:$BG146)&lt;52,IF('Capacity summary'!M146&lt;&gt;"",IF(LOWER('Capacity summary'!M146)="x",$BI27*M27,VALUE('Capacity summary'!M146)),0),M27*$BI27),M27*$BI27),0)</f>
        <v>0</v>
      </c>
      <c r="BQ27" s="314">
        <f>IF($BI27&lt;&gt;"",IF('Capacity summary'!$D$14="Yes",IF(COUNTBLANK('Capacity summary'!$H146:$BG146)&lt;52,IF('Capacity summary'!N146&lt;&gt;"",IF(LOWER('Capacity summary'!N146)="x",$BI27*N27,VALUE('Capacity summary'!N146)),0),N27*$BI27),N27*$BI27),0)</f>
        <v>0</v>
      </c>
      <c r="BR27" s="314">
        <f>IF($BI27&lt;&gt;"",IF('Capacity summary'!$D$14="Yes",IF(COUNTBLANK('Capacity summary'!$H146:$BG146)&lt;52,IF('Capacity summary'!O146&lt;&gt;"",IF(LOWER('Capacity summary'!O146)="x",$BI27*O27,VALUE('Capacity summary'!O146)),0),O27*$BI27),O27*$BI27),0)</f>
        <v>0</v>
      </c>
      <c r="BS27" s="314">
        <f>IF($BI27&lt;&gt;"",IF('Capacity summary'!$D$14="Yes",IF(COUNTBLANK('Capacity summary'!$H146:$BG146)&lt;52,IF('Capacity summary'!P146&lt;&gt;"",IF(LOWER('Capacity summary'!P146)="x",$BI27*P27,VALUE('Capacity summary'!P146)),0),P27*$BI27),P27*$BI27),0)</f>
        <v>0</v>
      </c>
      <c r="BT27" s="314">
        <f>IF($BI27&lt;&gt;"",IF('Capacity summary'!$D$14="Yes",IF(COUNTBLANK('Capacity summary'!$H146:$BG146)&lt;52,IF('Capacity summary'!Q146&lt;&gt;"",IF(LOWER('Capacity summary'!Q146)="x",$BI27*Q27,VALUE('Capacity summary'!Q146)),0),Q27*$BI27),Q27*$BI27),0)</f>
        <v>0</v>
      </c>
      <c r="BU27" s="314">
        <f>IF($BI27&lt;&gt;"",IF('Capacity summary'!$D$14="Yes",IF(COUNTBLANK('Capacity summary'!$H146:$BG146)&lt;52,IF('Capacity summary'!R146&lt;&gt;"",IF(LOWER('Capacity summary'!R146)="x",$BI27*R27,VALUE('Capacity summary'!R146)),0),R27*$BI27),R27*$BI27),0)</f>
        <v>0</v>
      </c>
      <c r="BV27" s="314">
        <f>IF($BI27&lt;&gt;"",IF('Capacity summary'!$D$14="Yes",IF(COUNTBLANK('Capacity summary'!$H146:$BG146)&lt;52,IF('Capacity summary'!S146&lt;&gt;"",IF(LOWER('Capacity summary'!S146)="x",$BI27*S27,VALUE('Capacity summary'!S146)),0),S27*$BI27),S27*$BI27),0)</f>
        <v>0</v>
      </c>
      <c r="BW27" s="314">
        <f>IF($BI27&lt;&gt;"",IF('Capacity summary'!$D$14="Yes",IF(COUNTBLANK('Capacity summary'!$H146:$BG146)&lt;52,IF('Capacity summary'!T146&lt;&gt;"",IF(LOWER('Capacity summary'!T146)="x",$BI27*T27,VALUE('Capacity summary'!T146)),0),T27*$BI27),T27*$BI27),0)</f>
        <v>0</v>
      </c>
      <c r="BX27" s="314">
        <f>IF($BI27&lt;&gt;"",IF('Capacity summary'!$D$14="Yes",IF(COUNTBLANK('Capacity summary'!$H146:$BG146)&lt;52,IF('Capacity summary'!U146&lt;&gt;"",IF(LOWER('Capacity summary'!U146)="x",$BI27*U27,VALUE('Capacity summary'!U146)),0),U27*$BI27),U27*$BI27),0)</f>
        <v>0</v>
      </c>
      <c r="BY27" s="314">
        <f>IF($BI27&lt;&gt;"",IF('Capacity summary'!$D$14="Yes",IF(COUNTBLANK('Capacity summary'!$H146:$BG146)&lt;52,IF('Capacity summary'!V146&lt;&gt;"",IF(LOWER('Capacity summary'!V146)="x",$BI27*V27,VALUE('Capacity summary'!V146)),0),V27*$BI27),V27*$BI27),0)</f>
        <v>0</v>
      </c>
      <c r="BZ27" s="314">
        <f>IF($BI27&lt;&gt;"",IF('Capacity summary'!$D$14="Yes",IF(COUNTBLANK('Capacity summary'!$H146:$BG146)&lt;52,IF('Capacity summary'!W146&lt;&gt;"",IF(LOWER('Capacity summary'!W146)="x",$BI27*W27,VALUE('Capacity summary'!W146)),0),W27*$BI27),W27*$BI27),0)</f>
        <v>0</v>
      </c>
      <c r="CA27" s="314">
        <f>IF($BI27&lt;&gt;"",IF('Capacity summary'!$D$14="Yes",IF(COUNTBLANK('Capacity summary'!$H146:$BG146)&lt;52,IF('Capacity summary'!X146&lt;&gt;"",IF(LOWER('Capacity summary'!X146)="x",$BI27*X27,VALUE('Capacity summary'!X146)),0),X27*$BI27),X27*$BI27),0)</f>
        <v>0</v>
      </c>
      <c r="CB27" s="314">
        <f>IF($BI27&lt;&gt;"",IF('Capacity summary'!$D$14="Yes",IF(COUNTBLANK('Capacity summary'!$H146:$BG146)&lt;52,IF('Capacity summary'!Y146&lt;&gt;"",IF(LOWER('Capacity summary'!Y146)="x",$BI27*Y27,VALUE('Capacity summary'!Y146)),0),Y27*$BI27),Y27*$BI27),0)</f>
        <v>0</v>
      </c>
      <c r="CC27" s="314">
        <f>IF($BI27&lt;&gt;"",IF('Capacity summary'!$D$14="Yes",IF(COUNTBLANK('Capacity summary'!$H146:$BG146)&lt;52,IF('Capacity summary'!Z146&lt;&gt;"",IF(LOWER('Capacity summary'!Z146)="x",$BI27*Z27,VALUE('Capacity summary'!Z146)),0),Z27*$BI27),Z27*$BI27),0)</f>
        <v>0</v>
      </c>
      <c r="CD27" s="314">
        <f>IF($BI27&lt;&gt;"",IF('Capacity summary'!$D$14="Yes",IF(COUNTBLANK('Capacity summary'!$H146:$BG146)&lt;52,IF('Capacity summary'!AA146&lt;&gt;"",IF(LOWER('Capacity summary'!AA146)="x",$BI27*AA27,VALUE('Capacity summary'!AA146)),0),AA27*$BI27),AA27*$BI27),0)</f>
        <v>0</v>
      </c>
      <c r="CE27" s="314">
        <f>IF($BI27&lt;&gt;"",IF('Capacity summary'!$D$14="Yes",IF(COUNTBLANK('Capacity summary'!$H146:$BG146)&lt;52,IF('Capacity summary'!AB146&lt;&gt;"",IF(LOWER('Capacity summary'!AB146)="x",$BI27*AB27,VALUE('Capacity summary'!AB146)),0),AB27*$BI27),AB27*$BI27),0)</f>
        <v>0</v>
      </c>
      <c r="CF27" s="314">
        <f>IF($BI27&lt;&gt;"",IF('Capacity summary'!$D$14="Yes",IF(COUNTBLANK('Capacity summary'!$H146:$BG146)&lt;52,IF('Capacity summary'!AC146&lt;&gt;"",IF(LOWER('Capacity summary'!AC146)="x",$BI27*AC27,VALUE('Capacity summary'!AC146)),0),AC27*$BI27),AC27*$BI27),0)</f>
        <v>0</v>
      </c>
      <c r="CG27" s="314">
        <f>IF($BI27&lt;&gt;"",IF('Capacity summary'!$D$14="Yes",IF(COUNTBLANK('Capacity summary'!$H146:$BG146)&lt;52,IF('Capacity summary'!AD146&lt;&gt;"",IF(LOWER('Capacity summary'!AD146)="x",$BI27*AD27,VALUE('Capacity summary'!AD146)),0),AD27*$BI27),AD27*$BI27),0)</f>
        <v>0</v>
      </c>
      <c r="CH27" s="314">
        <f>IF($BI27&lt;&gt;"",IF('Capacity summary'!$D$14="Yes",IF(COUNTBLANK('Capacity summary'!$H146:$BG146)&lt;52,IF('Capacity summary'!AE146&lt;&gt;"",IF(LOWER('Capacity summary'!AE146)="x",$BI27*AE27,VALUE('Capacity summary'!AE146)),0),AE27*$BI27),AE27*$BI27),0)</f>
        <v>0</v>
      </c>
      <c r="CI27" s="314">
        <f>IF($BI27&lt;&gt;"",IF('Capacity summary'!$D$14="Yes",IF(COUNTBLANK('Capacity summary'!$H146:$BG146)&lt;52,IF('Capacity summary'!AF146&lt;&gt;"",IF(LOWER('Capacity summary'!AF146)="x",$BI27*AF27,VALUE('Capacity summary'!AF146)),0),AF27*$BI27),AF27*$BI27),0)</f>
        <v>0</v>
      </c>
      <c r="CJ27" s="314">
        <f>IF($BI27&lt;&gt;"",IF('Capacity summary'!$D$14="Yes",IF(COUNTBLANK('Capacity summary'!$H146:$BG146)&lt;52,IF('Capacity summary'!AG146&lt;&gt;"",IF(LOWER('Capacity summary'!AG146)="x",$BI27*AG27,VALUE('Capacity summary'!AG146)),0),AG27*$BI27),AG27*$BI27),0)</f>
        <v>0</v>
      </c>
      <c r="CK27" s="314">
        <f>IF($BI27&lt;&gt;"",IF('Capacity summary'!$D$14="Yes",IF(COUNTBLANK('Capacity summary'!$H146:$BG146)&lt;52,IF('Capacity summary'!AH146&lt;&gt;"",IF(LOWER('Capacity summary'!AH146)="x",$BI27*AH27,VALUE('Capacity summary'!AH146)),0),AH27*$BI27),AH27*$BI27),0)</f>
        <v>0</v>
      </c>
      <c r="CL27" s="314">
        <f>IF($BI27&lt;&gt;"",IF('Capacity summary'!$D$14="Yes",IF(COUNTBLANK('Capacity summary'!$H146:$BG146)&lt;52,IF('Capacity summary'!AI146&lt;&gt;"",IF(LOWER('Capacity summary'!AI146)="x",$BI27*AI27,VALUE('Capacity summary'!AI146)),0),AI27*$BI27),AI27*$BI27),0)</f>
        <v>0</v>
      </c>
      <c r="CM27" s="314">
        <f>IF($BI27&lt;&gt;"",IF('Capacity summary'!$D$14="Yes",IF(COUNTBLANK('Capacity summary'!$H146:$BG146)&lt;52,IF('Capacity summary'!AJ146&lt;&gt;"",IF(LOWER('Capacity summary'!AJ146)="x",$BI27*AJ27,VALUE('Capacity summary'!AJ146)),0),AJ27*$BI27),AJ27*$BI27),0)</f>
        <v>0</v>
      </c>
      <c r="CN27" s="314">
        <f>IF($BI27&lt;&gt;"",IF('Capacity summary'!$D$14="Yes",IF(COUNTBLANK('Capacity summary'!$H146:$BG146)&lt;52,IF('Capacity summary'!AK146&lt;&gt;"",IF(LOWER('Capacity summary'!AK146)="x",$BI27*AK27,VALUE('Capacity summary'!AK146)),0),AK27*$BI27),AK27*$BI27),0)</f>
        <v>0</v>
      </c>
      <c r="CO27" s="314">
        <f>IF($BI27&lt;&gt;"",IF('Capacity summary'!$D$14="Yes",IF(COUNTBLANK('Capacity summary'!$H146:$BG146)&lt;52,IF('Capacity summary'!AL146&lt;&gt;"",IF(LOWER('Capacity summary'!AL146)="x",$BI27*AL27,VALUE('Capacity summary'!AL146)),0),AL27*$BI27),AL27*$BI27),0)</f>
        <v>0</v>
      </c>
      <c r="CP27" s="314">
        <f>IF($BI27&lt;&gt;"",IF('Capacity summary'!$D$14="Yes",IF(COUNTBLANK('Capacity summary'!$H146:$BG146)&lt;52,IF('Capacity summary'!AM146&lt;&gt;"",IF(LOWER('Capacity summary'!AM146)="x",$BI27*AM27,VALUE('Capacity summary'!AM146)),0),AM27*$BI27),AM27*$BI27),0)</f>
        <v>0</v>
      </c>
      <c r="CQ27" s="314">
        <f>IF($BI27&lt;&gt;"",IF('Capacity summary'!$D$14="Yes",IF(COUNTBLANK('Capacity summary'!$H146:$BG146)&lt;52,IF('Capacity summary'!AN146&lt;&gt;"",IF(LOWER('Capacity summary'!AN146)="x",$BI27*AN27,VALUE('Capacity summary'!AN146)),0),AN27*$BI27),AN27*$BI27),0)</f>
        <v>0</v>
      </c>
      <c r="CR27" s="314">
        <f>IF($BI27&lt;&gt;"",IF('Capacity summary'!$D$14="Yes",IF(COUNTBLANK('Capacity summary'!$H146:$BG146)&lt;52,IF('Capacity summary'!AO146&lt;&gt;"",IF(LOWER('Capacity summary'!AO146)="x",$BI27*AO27,VALUE('Capacity summary'!AO146)),0),AO27*$BI27),AO27*$BI27),0)</f>
        <v>0</v>
      </c>
      <c r="CS27" s="314">
        <f>IF($BI27&lt;&gt;"",IF('Capacity summary'!$D$14="Yes",IF(COUNTBLANK('Capacity summary'!$H146:$BG146)&lt;52,IF('Capacity summary'!AP146&lt;&gt;"",IF(LOWER('Capacity summary'!AP146)="x",$BI27*AP27,VALUE('Capacity summary'!AP146)),0),AP27*$BI27),AP27*$BI27),0)</f>
        <v>0</v>
      </c>
      <c r="CT27" s="314">
        <f>IF($BI27&lt;&gt;"",IF('Capacity summary'!$D$14="Yes",IF(COUNTBLANK('Capacity summary'!$H146:$BG146)&lt;52,IF('Capacity summary'!AQ146&lt;&gt;"",IF(LOWER('Capacity summary'!AQ146)="x",$BI27*AQ27,VALUE('Capacity summary'!AQ146)),0),AQ27*$BI27),AQ27*$BI27),0)</f>
        <v>0</v>
      </c>
      <c r="CU27" s="314">
        <f>IF($BI27&lt;&gt;"",IF('Capacity summary'!$D$14="Yes",IF(COUNTBLANK('Capacity summary'!$H146:$BG146)&lt;52,IF('Capacity summary'!AR146&lt;&gt;"",IF(LOWER('Capacity summary'!AR146)="x",$BI27*AR27,VALUE('Capacity summary'!AR146)),0),AR27*$BI27),AR27*$BI27),0)</f>
        <v>0</v>
      </c>
      <c r="CV27" s="314">
        <f>IF($BI27&lt;&gt;"",IF('Capacity summary'!$D$14="Yes",IF(COUNTBLANK('Capacity summary'!$H146:$BG146)&lt;52,IF('Capacity summary'!AS146&lt;&gt;"",IF(LOWER('Capacity summary'!AS146)="x",$BI27*AS27,VALUE('Capacity summary'!AS146)),0),AS27*$BI27),AS27*$BI27),0)</f>
        <v>0</v>
      </c>
      <c r="CW27" s="314">
        <f>IF($BI27&lt;&gt;"",IF('Capacity summary'!$D$14="Yes",IF(COUNTBLANK('Capacity summary'!$H146:$BG146)&lt;52,IF('Capacity summary'!AT146&lt;&gt;"",IF(LOWER('Capacity summary'!AT146)="x",$BI27*AT27,VALUE('Capacity summary'!AT146)),0),AT27*$BI27),AT27*$BI27),0)</f>
        <v>0</v>
      </c>
      <c r="CX27" s="314">
        <f>IF($BI27&lt;&gt;"",IF('Capacity summary'!$D$14="Yes",IF(COUNTBLANK('Capacity summary'!$H146:$BG146)&lt;52,IF('Capacity summary'!AU146&lt;&gt;"",IF(LOWER('Capacity summary'!AU146)="x",$BI27*AU27,VALUE('Capacity summary'!AU146)),0),AU27*$BI27),AU27*$BI27),0)</f>
        <v>0</v>
      </c>
      <c r="CY27" s="314">
        <f>IF($BI27&lt;&gt;"",IF('Capacity summary'!$D$14="Yes",IF(COUNTBLANK('Capacity summary'!$H146:$BG146)&lt;52,IF('Capacity summary'!AV146&lt;&gt;"",IF(LOWER('Capacity summary'!AV146)="x",$BI27*AV27,VALUE('Capacity summary'!AV146)),0),AV27*$BI27),AV27*$BI27),0)</f>
        <v>0</v>
      </c>
      <c r="CZ27" s="314">
        <f>IF($BI27&lt;&gt;"",IF('Capacity summary'!$D$14="Yes",IF(COUNTBLANK('Capacity summary'!$H146:$BG146)&lt;52,IF('Capacity summary'!AW146&lt;&gt;"",IF(LOWER('Capacity summary'!AW146)="x",$BI27*AW27,VALUE('Capacity summary'!AW146)),0),AW27*$BI27),AW27*$BI27),0)</f>
        <v>0</v>
      </c>
      <c r="DA27" s="314">
        <f>IF($BI27&lt;&gt;"",IF('Capacity summary'!$D$14="Yes",IF(COUNTBLANK('Capacity summary'!$H146:$BG146)&lt;52,IF('Capacity summary'!AX146&lt;&gt;"",IF(LOWER('Capacity summary'!AX146)="x",$BI27*AX27,VALUE('Capacity summary'!AX146)),0),AX27*$BI27),AX27*$BI27),0)</f>
        <v>0</v>
      </c>
      <c r="DB27" s="314">
        <f>IF($BI27&lt;&gt;"",IF('Capacity summary'!$D$14="Yes",IF(COUNTBLANK('Capacity summary'!$H146:$BG146)&lt;52,IF('Capacity summary'!AY146&lt;&gt;"",IF(LOWER('Capacity summary'!AY146)="x",$BI27*AY27,VALUE('Capacity summary'!AY146)),0),AY27*$BI27),AY27*$BI27),0)</f>
        <v>0</v>
      </c>
      <c r="DC27" s="314">
        <f>IF($BI27&lt;&gt;"",IF('Capacity summary'!$D$14="Yes",IF(COUNTBLANK('Capacity summary'!$H146:$BG146)&lt;52,IF('Capacity summary'!AZ146&lt;&gt;"",IF(LOWER('Capacity summary'!AZ146)="x",$BI27*AZ27,VALUE('Capacity summary'!AZ146)),0),AZ27*$BI27),AZ27*$BI27),0)</f>
        <v>0</v>
      </c>
      <c r="DD27" s="314">
        <f>IF($BI27&lt;&gt;"",IF('Capacity summary'!$D$14="Yes",IF(COUNTBLANK('Capacity summary'!$H146:$BG146)&lt;52,IF('Capacity summary'!BA146&lt;&gt;"",IF(LOWER('Capacity summary'!BA146)="x",$BI27*BA27,VALUE('Capacity summary'!BA146)),0),BA27*$BI27),BA27*$BI27),0)</f>
        <v>0</v>
      </c>
      <c r="DE27" s="314">
        <f>IF($BI27&lt;&gt;"",IF('Capacity summary'!$D$14="Yes",IF(COUNTBLANK('Capacity summary'!$H146:$BG146)&lt;52,IF('Capacity summary'!BB146&lt;&gt;"",IF(LOWER('Capacity summary'!BB146)="x",$BI27*BB27,VALUE('Capacity summary'!BB146)),0),BB27*$BI27),BB27*$BI27),0)</f>
        <v>0</v>
      </c>
      <c r="DF27" s="314">
        <f>IF($BI27&lt;&gt;"",IF('Capacity summary'!$D$14="Yes",IF(COUNTBLANK('Capacity summary'!$H146:$BG146)&lt;52,IF('Capacity summary'!BC146&lt;&gt;"",IF(LOWER('Capacity summary'!BC146)="x",$BI27*BC27,VALUE('Capacity summary'!BC146)),0),BC27*$BI27),BC27*$BI27),0)</f>
        <v>0</v>
      </c>
      <c r="DG27" s="314">
        <f>IF($BI27&lt;&gt;"",IF('Capacity summary'!$D$14="Yes",IF(COUNTBLANK('Capacity summary'!$H146:$BG146)&lt;52,IF('Capacity summary'!BD146&lt;&gt;"",IF(LOWER('Capacity summary'!BD146)="x",$BI27*BD27,VALUE('Capacity summary'!BD146)),0),BD27*$BI27),BD27*$BI27),0)</f>
        <v>0</v>
      </c>
      <c r="DH27" s="314">
        <f>IF($BI27&lt;&gt;"",IF('Capacity summary'!$D$14="Yes",IF(COUNTBLANK('Capacity summary'!$H146:$BG146)&lt;52,IF('Capacity summary'!BE146&lt;&gt;"",IF(LOWER('Capacity summary'!BE146)="x",$BI27*BE27,VALUE('Capacity summary'!BE146)),0),BE27*$BI27),BE27*$BI27),0)</f>
        <v>0</v>
      </c>
      <c r="DI27" s="314">
        <f>IF($BI27&lt;&gt;"",IF('Capacity summary'!$D$14="Yes",IF(COUNTBLANK('Capacity summary'!$H146:$BG146)&lt;52,IF('Capacity summary'!BF146&lt;&gt;"",IF(LOWER('Capacity summary'!BF146)="x",$BI27*BF27,VALUE('Capacity summary'!BF146)),0),BF27*$BI27),BF27*$BI27),0)</f>
        <v>0</v>
      </c>
      <c r="DJ27" s="314">
        <f>IF($BI27&lt;&gt;"",IF('Capacity summary'!$D$14="Yes",IF(COUNTBLANK('Capacity summary'!$H146:$BG146)&lt;52,IF('Capacity summary'!BG146&lt;&gt;"",IF(LOWER('Capacity summary'!BG146)="x",$BI27*BG27,VALUE('Capacity summary'!BG146)),0),BG27*$BI27),BG27*$BI27),0)</f>
        <v>0</v>
      </c>
      <c r="DK27" s="137">
        <f t="shared" si="2"/>
        <v>0</v>
      </c>
      <c r="DL27" s="314" t="str">
        <f>Capacity!H39</f>
        <v/>
      </c>
      <c r="DP27" s="5"/>
    </row>
    <row r="28" spans="2:120" x14ac:dyDescent="0.25">
      <c r="B28" s="67"/>
      <c r="C28" s="67" t="str">
        <f>ROW(A24)&amp;". "&amp;Capacity!B40</f>
        <v xml:space="preserve">24.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IF(ROW(C24)&lt;=Capacity!$A$16,IF('Capacity summary'!$D$14="No",SUM(H28:BG28),'Capacity summary'!$E147),0)</f>
        <v>0</v>
      </c>
      <c r="BI28" s="5" t="str">
        <f>IF(BH28&gt;0,IF(BH28&lt;Capacity!E40,Capacity!F40,Capacity!H40/'Capacity calculation (hide)'!BH28),"")</f>
        <v/>
      </c>
      <c r="BK28" s="314">
        <f>IF($BI28&lt;&gt;"",IF('Capacity summary'!$D$14="Yes",IF(COUNTBLANK('Capacity summary'!$H147:$BG147)&lt;52,IF('Capacity summary'!H147&lt;&gt;"",IF(LOWER('Capacity summary'!H147)="x",$BI28*H28,VALUE('Capacity summary'!H147)),0),H28*$BI28),H28*$BI28),0)</f>
        <v>0</v>
      </c>
      <c r="BL28" s="314">
        <f>IF($BI28&lt;&gt;"",IF('Capacity summary'!$D$14="Yes",IF(COUNTBLANK('Capacity summary'!$H147:$BG147)&lt;52,IF('Capacity summary'!I147&lt;&gt;"",IF(LOWER('Capacity summary'!I147)="x",$BI28*I28,VALUE('Capacity summary'!I147)),0),I28*$BI28),I28*$BI28),0)</f>
        <v>0</v>
      </c>
      <c r="BM28" s="314">
        <f>IF($BI28&lt;&gt;"",IF('Capacity summary'!$D$14="Yes",IF(COUNTBLANK('Capacity summary'!$H147:$BG147)&lt;52,IF('Capacity summary'!J147&lt;&gt;"",IF(LOWER('Capacity summary'!J147)="x",$BI28*J28,VALUE('Capacity summary'!J147)),0),J28*$BI28),J28*$BI28),0)</f>
        <v>0</v>
      </c>
      <c r="BN28" s="314">
        <f>IF($BI28&lt;&gt;"",IF('Capacity summary'!$D$14="Yes",IF(COUNTBLANK('Capacity summary'!$H147:$BG147)&lt;52,IF('Capacity summary'!K147&lt;&gt;"",IF(LOWER('Capacity summary'!K147)="x",$BI28*K28,VALUE('Capacity summary'!K147)),0),K28*$BI28),K28*$BI28),0)</f>
        <v>0</v>
      </c>
      <c r="BO28" s="314">
        <f>IF($BI28&lt;&gt;"",IF('Capacity summary'!$D$14="Yes",IF(COUNTBLANK('Capacity summary'!$H147:$BG147)&lt;52,IF('Capacity summary'!L147&lt;&gt;"",IF(LOWER('Capacity summary'!L147)="x",$BI28*L28,VALUE('Capacity summary'!L147)),0),L28*$BI28),L28*$BI28),0)</f>
        <v>0</v>
      </c>
      <c r="BP28" s="314">
        <f>IF($BI28&lt;&gt;"",IF('Capacity summary'!$D$14="Yes",IF(COUNTBLANK('Capacity summary'!$H147:$BG147)&lt;52,IF('Capacity summary'!M147&lt;&gt;"",IF(LOWER('Capacity summary'!M147)="x",$BI28*M28,VALUE('Capacity summary'!M147)),0),M28*$BI28),M28*$BI28),0)</f>
        <v>0</v>
      </c>
      <c r="BQ28" s="314">
        <f>IF($BI28&lt;&gt;"",IF('Capacity summary'!$D$14="Yes",IF(COUNTBLANK('Capacity summary'!$H147:$BG147)&lt;52,IF('Capacity summary'!N147&lt;&gt;"",IF(LOWER('Capacity summary'!N147)="x",$BI28*N28,VALUE('Capacity summary'!N147)),0),N28*$BI28),N28*$BI28),0)</f>
        <v>0</v>
      </c>
      <c r="BR28" s="314">
        <f>IF($BI28&lt;&gt;"",IF('Capacity summary'!$D$14="Yes",IF(COUNTBLANK('Capacity summary'!$H147:$BG147)&lt;52,IF('Capacity summary'!O147&lt;&gt;"",IF(LOWER('Capacity summary'!O147)="x",$BI28*O28,VALUE('Capacity summary'!O147)),0),O28*$BI28),O28*$BI28),0)</f>
        <v>0</v>
      </c>
      <c r="BS28" s="314">
        <f>IF($BI28&lt;&gt;"",IF('Capacity summary'!$D$14="Yes",IF(COUNTBLANK('Capacity summary'!$H147:$BG147)&lt;52,IF('Capacity summary'!P147&lt;&gt;"",IF(LOWER('Capacity summary'!P147)="x",$BI28*P28,VALUE('Capacity summary'!P147)),0),P28*$BI28),P28*$BI28),0)</f>
        <v>0</v>
      </c>
      <c r="BT28" s="314">
        <f>IF($BI28&lt;&gt;"",IF('Capacity summary'!$D$14="Yes",IF(COUNTBLANK('Capacity summary'!$H147:$BG147)&lt;52,IF('Capacity summary'!Q147&lt;&gt;"",IF(LOWER('Capacity summary'!Q147)="x",$BI28*Q28,VALUE('Capacity summary'!Q147)),0),Q28*$BI28),Q28*$BI28),0)</f>
        <v>0</v>
      </c>
      <c r="BU28" s="314">
        <f>IF($BI28&lt;&gt;"",IF('Capacity summary'!$D$14="Yes",IF(COUNTBLANK('Capacity summary'!$H147:$BG147)&lt;52,IF('Capacity summary'!R147&lt;&gt;"",IF(LOWER('Capacity summary'!R147)="x",$BI28*R28,VALUE('Capacity summary'!R147)),0),R28*$BI28),R28*$BI28),0)</f>
        <v>0</v>
      </c>
      <c r="BV28" s="314">
        <f>IF($BI28&lt;&gt;"",IF('Capacity summary'!$D$14="Yes",IF(COUNTBLANK('Capacity summary'!$H147:$BG147)&lt;52,IF('Capacity summary'!S147&lt;&gt;"",IF(LOWER('Capacity summary'!S147)="x",$BI28*S28,VALUE('Capacity summary'!S147)),0),S28*$BI28),S28*$BI28),0)</f>
        <v>0</v>
      </c>
      <c r="BW28" s="314">
        <f>IF($BI28&lt;&gt;"",IF('Capacity summary'!$D$14="Yes",IF(COUNTBLANK('Capacity summary'!$H147:$BG147)&lt;52,IF('Capacity summary'!T147&lt;&gt;"",IF(LOWER('Capacity summary'!T147)="x",$BI28*T28,VALUE('Capacity summary'!T147)),0),T28*$BI28),T28*$BI28),0)</f>
        <v>0</v>
      </c>
      <c r="BX28" s="314">
        <f>IF($BI28&lt;&gt;"",IF('Capacity summary'!$D$14="Yes",IF(COUNTBLANK('Capacity summary'!$H147:$BG147)&lt;52,IF('Capacity summary'!U147&lt;&gt;"",IF(LOWER('Capacity summary'!U147)="x",$BI28*U28,VALUE('Capacity summary'!U147)),0),U28*$BI28),U28*$BI28),0)</f>
        <v>0</v>
      </c>
      <c r="BY28" s="314">
        <f>IF($BI28&lt;&gt;"",IF('Capacity summary'!$D$14="Yes",IF(COUNTBLANK('Capacity summary'!$H147:$BG147)&lt;52,IF('Capacity summary'!V147&lt;&gt;"",IF(LOWER('Capacity summary'!V147)="x",$BI28*V28,VALUE('Capacity summary'!V147)),0),V28*$BI28),V28*$BI28),0)</f>
        <v>0</v>
      </c>
      <c r="BZ28" s="314">
        <f>IF($BI28&lt;&gt;"",IF('Capacity summary'!$D$14="Yes",IF(COUNTBLANK('Capacity summary'!$H147:$BG147)&lt;52,IF('Capacity summary'!W147&lt;&gt;"",IF(LOWER('Capacity summary'!W147)="x",$BI28*W28,VALUE('Capacity summary'!W147)),0),W28*$BI28),W28*$BI28),0)</f>
        <v>0</v>
      </c>
      <c r="CA28" s="314">
        <f>IF($BI28&lt;&gt;"",IF('Capacity summary'!$D$14="Yes",IF(COUNTBLANK('Capacity summary'!$H147:$BG147)&lt;52,IF('Capacity summary'!X147&lt;&gt;"",IF(LOWER('Capacity summary'!X147)="x",$BI28*X28,VALUE('Capacity summary'!X147)),0),X28*$BI28),X28*$BI28),0)</f>
        <v>0</v>
      </c>
      <c r="CB28" s="314">
        <f>IF($BI28&lt;&gt;"",IF('Capacity summary'!$D$14="Yes",IF(COUNTBLANK('Capacity summary'!$H147:$BG147)&lt;52,IF('Capacity summary'!Y147&lt;&gt;"",IF(LOWER('Capacity summary'!Y147)="x",$BI28*Y28,VALUE('Capacity summary'!Y147)),0),Y28*$BI28),Y28*$BI28),0)</f>
        <v>0</v>
      </c>
      <c r="CC28" s="314">
        <f>IF($BI28&lt;&gt;"",IF('Capacity summary'!$D$14="Yes",IF(COUNTBLANK('Capacity summary'!$H147:$BG147)&lt;52,IF('Capacity summary'!Z147&lt;&gt;"",IF(LOWER('Capacity summary'!Z147)="x",$BI28*Z28,VALUE('Capacity summary'!Z147)),0),Z28*$BI28),Z28*$BI28),0)</f>
        <v>0</v>
      </c>
      <c r="CD28" s="314">
        <f>IF($BI28&lt;&gt;"",IF('Capacity summary'!$D$14="Yes",IF(COUNTBLANK('Capacity summary'!$H147:$BG147)&lt;52,IF('Capacity summary'!AA147&lt;&gt;"",IF(LOWER('Capacity summary'!AA147)="x",$BI28*AA28,VALUE('Capacity summary'!AA147)),0),AA28*$BI28),AA28*$BI28),0)</f>
        <v>0</v>
      </c>
      <c r="CE28" s="314">
        <f>IF($BI28&lt;&gt;"",IF('Capacity summary'!$D$14="Yes",IF(COUNTBLANK('Capacity summary'!$H147:$BG147)&lt;52,IF('Capacity summary'!AB147&lt;&gt;"",IF(LOWER('Capacity summary'!AB147)="x",$BI28*AB28,VALUE('Capacity summary'!AB147)),0),AB28*$BI28),AB28*$BI28),0)</f>
        <v>0</v>
      </c>
      <c r="CF28" s="314">
        <f>IF($BI28&lt;&gt;"",IF('Capacity summary'!$D$14="Yes",IF(COUNTBLANK('Capacity summary'!$H147:$BG147)&lt;52,IF('Capacity summary'!AC147&lt;&gt;"",IF(LOWER('Capacity summary'!AC147)="x",$BI28*AC28,VALUE('Capacity summary'!AC147)),0),AC28*$BI28),AC28*$BI28),0)</f>
        <v>0</v>
      </c>
      <c r="CG28" s="314">
        <f>IF($BI28&lt;&gt;"",IF('Capacity summary'!$D$14="Yes",IF(COUNTBLANK('Capacity summary'!$H147:$BG147)&lt;52,IF('Capacity summary'!AD147&lt;&gt;"",IF(LOWER('Capacity summary'!AD147)="x",$BI28*AD28,VALUE('Capacity summary'!AD147)),0),AD28*$BI28),AD28*$BI28),0)</f>
        <v>0</v>
      </c>
      <c r="CH28" s="314">
        <f>IF($BI28&lt;&gt;"",IF('Capacity summary'!$D$14="Yes",IF(COUNTBLANK('Capacity summary'!$H147:$BG147)&lt;52,IF('Capacity summary'!AE147&lt;&gt;"",IF(LOWER('Capacity summary'!AE147)="x",$BI28*AE28,VALUE('Capacity summary'!AE147)),0),AE28*$BI28),AE28*$BI28),0)</f>
        <v>0</v>
      </c>
      <c r="CI28" s="314">
        <f>IF($BI28&lt;&gt;"",IF('Capacity summary'!$D$14="Yes",IF(COUNTBLANK('Capacity summary'!$H147:$BG147)&lt;52,IF('Capacity summary'!AF147&lt;&gt;"",IF(LOWER('Capacity summary'!AF147)="x",$BI28*AF28,VALUE('Capacity summary'!AF147)),0),AF28*$BI28),AF28*$BI28),0)</f>
        <v>0</v>
      </c>
      <c r="CJ28" s="314">
        <f>IF($BI28&lt;&gt;"",IF('Capacity summary'!$D$14="Yes",IF(COUNTBLANK('Capacity summary'!$H147:$BG147)&lt;52,IF('Capacity summary'!AG147&lt;&gt;"",IF(LOWER('Capacity summary'!AG147)="x",$BI28*AG28,VALUE('Capacity summary'!AG147)),0),AG28*$BI28),AG28*$BI28),0)</f>
        <v>0</v>
      </c>
      <c r="CK28" s="314">
        <f>IF($BI28&lt;&gt;"",IF('Capacity summary'!$D$14="Yes",IF(COUNTBLANK('Capacity summary'!$H147:$BG147)&lt;52,IF('Capacity summary'!AH147&lt;&gt;"",IF(LOWER('Capacity summary'!AH147)="x",$BI28*AH28,VALUE('Capacity summary'!AH147)),0),AH28*$BI28),AH28*$BI28),0)</f>
        <v>0</v>
      </c>
      <c r="CL28" s="314">
        <f>IF($BI28&lt;&gt;"",IF('Capacity summary'!$D$14="Yes",IF(COUNTBLANK('Capacity summary'!$H147:$BG147)&lt;52,IF('Capacity summary'!AI147&lt;&gt;"",IF(LOWER('Capacity summary'!AI147)="x",$BI28*AI28,VALUE('Capacity summary'!AI147)),0),AI28*$BI28),AI28*$BI28),0)</f>
        <v>0</v>
      </c>
      <c r="CM28" s="314">
        <f>IF($BI28&lt;&gt;"",IF('Capacity summary'!$D$14="Yes",IF(COUNTBLANK('Capacity summary'!$H147:$BG147)&lt;52,IF('Capacity summary'!AJ147&lt;&gt;"",IF(LOWER('Capacity summary'!AJ147)="x",$BI28*AJ28,VALUE('Capacity summary'!AJ147)),0),AJ28*$BI28),AJ28*$BI28),0)</f>
        <v>0</v>
      </c>
      <c r="CN28" s="314">
        <f>IF($BI28&lt;&gt;"",IF('Capacity summary'!$D$14="Yes",IF(COUNTBLANK('Capacity summary'!$H147:$BG147)&lt;52,IF('Capacity summary'!AK147&lt;&gt;"",IF(LOWER('Capacity summary'!AK147)="x",$BI28*AK28,VALUE('Capacity summary'!AK147)),0),AK28*$BI28),AK28*$BI28),0)</f>
        <v>0</v>
      </c>
      <c r="CO28" s="314">
        <f>IF($BI28&lt;&gt;"",IF('Capacity summary'!$D$14="Yes",IF(COUNTBLANK('Capacity summary'!$H147:$BG147)&lt;52,IF('Capacity summary'!AL147&lt;&gt;"",IF(LOWER('Capacity summary'!AL147)="x",$BI28*AL28,VALUE('Capacity summary'!AL147)),0),AL28*$BI28),AL28*$BI28),0)</f>
        <v>0</v>
      </c>
      <c r="CP28" s="314">
        <f>IF($BI28&lt;&gt;"",IF('Capacity summary'!$D$14="Yes",IF(COUNTBLANK('Capacity summary'!$H147:$BG147)&lt;52,IF('Capacity summary'!AM147&lt;&gt;"",IF(LOWER('Capacity summary'!AM147)="x",$BI28*AM28,VALUE('Capacity summary'!AM147)),0),AM28*$BI28),AM28*$BI28),0)</f>
        <v>0</v>
      </c>
      <c r="CQ28" s="314">
        <f>IF($BI28&lt;&gt;"",IF('Capacity summary'!$D$14="Yes",IF(COUNTBLANK('Capacity summary'!$H147:$BG147)&lt;52,IF('Capacity summary'!AN147&lt;&gt;"",IF(LOWER('Capacity summary'!AN147)="x",$BI28*AN28,VALUE('Capacity summary'!AN147)),0),AN28*$BI28),AN28*$BI28),0)</f>
        <v>0</v>
      </c>
      <c r="CR28" s="314">
        <f>IF($BI28&lt;&gt;"",IF('Capacity summary'!$D$14="Yes",IF(COUNTBLANK('Capacity summary'!$H147:$BG147)&lt;52,IF('Capacity summary'!AO147&lt;&gt;"",IF(LOWER('Capacity summary'!AO147)="x",$BI28*AO28,VALUE('Capacity summary'!AO147)),0),AO28*$BI28),AO28*$BI28),0)</f>
        <v>0</v>
      </c>
      <c r="CS28" s="314">
        <f>IF($BI28&lt;&gt;"",IF('Capacity summary'!$D$14="Yes",IF(COUNTBLANK('Capacity summary'!$H147:$BG147)&lt;52,IF('Capacity summary'!AP147&lt;&gt;"",IF(LOWER('Capacity summary'!AP147)="x",$BI28*AP28,VALUE('Capacity summary'!AP147)),0),AP28*$BI28),AP28*$BI28),0)</f>
        <v>0</v>
      </c>
      <c r="CT28" s="314">
        <f>IF($BI28&lt;&gt;"",IF('Capacity summary'!$D$14="Yes",IF(COUNTBLANK('Capacity summary'!$H147:$BG147)&lt;52,IF('Capacity summary'!AQ147&lt;&gt;"",IF(LOWER('Capacity summary'!AQ147)="x",$BI28*AQ28,VALUE('Capacity summary'!AQ147)),0),AQ28*$BI28),AQ28*$BI28),0)</f>
        <v>0</v>
      </c>
      <c r="CU28" s="314">
        <f>IF($BI28&lt;&gt;"",IF('Capacity summary'!$D$14="Yes",IF(COUNTBLANK('Capacity summary'!$H147:$BG147)&lt;52,IF('Capacity summary'!AR147&lt;&gt;"",IF(LOWER('Capacity summary'!AR147)="x",$BI28*AR28,VALUE('Capacity summary'!AR147)),0),AR28*$BI28),AR28*$BI28),0)</f>
        <v>0</v>
      </c>
      <c r="CV28" s="314">
        <f>IF($BI28&lt;&gt;"",IF('Capacity summary'!$D$14="Yes",IF(COUNTBLANK('Capacity summary'!$H147:$BG147)&lt;52,IF('Capacity summary'!AS147&lt;&gt;"",IF(LOWER('Capacity summary'!AS147)="x",$BI28*AS28,VALUE('Capacity summary'!AS147)),0),AS28*$BI28),AS28*$BI28),0)</f>
        <v>0</v>
      </c>
      <c r="CW28" s="314">
        <f>IF($BI28&lt;&gt;"",IF('Capacity summary'!$D$14="Yes",IF(COUNTBLANK('Capacity summary'!$H147:$BG147)&lt;52,IF('Capacity summary'!AT147&lt;&gt;"",IF(LOWER('Capacity summary'!AT147)="x",$BI28*AT28,VALUE('Capacity summary'!AT147)),0),AT28*$BI28),AT28*$BI28),0)</f>
        <v>0</v>
      </c>
      <c r="CX28" s="314">
        <f>IF($BI28&lt;&gt;"",IF('Capacity summary'!$D$14="Yes",IF(COUNTBLANK('Capacity summary'!$H147:$BG147)&lt;52,IF('Capacity summary'!AU147&lt;&gt;"",IF(LOWER('Capacity summary'!AU147)="x",$BI28*AU28,VALUE('Capacity summary'!AU147)),0),AU28*$BI28),AU28*$BI28),0)</f>
        <v>0</v>
      </c>
      <c r="CY28" s="314">
        <f>IF($BI28&lt;&gt;"",IF('Capacity summary'!$D$14="Yes",IF(COUNTBLANK('Capacity summary'!$H147:$BG147)&lt;52,IF('Capacity summary'!AV147&lt;&gt;"",IF(LOWER('Capacity summary'!AV147)="x",$BI28*AV28,VALUE('Capacity summary'!AV147)),0),AV28*$BI28),AV28*$BI28),0)</f>
        <v>0</v>
      </c>
      <c r="CZ28" s="314">
        <f>IF($BI28&lt;&gt;"",IF('Capacity summary'!$D$14="Yes",IF(COUNTBLANK('Capacity summary'!$H147:$BG147)&lt;52,IF('Capacity summary'!AW147&lt;&gt;"",IF(LOWER('Capacity summary'!AW147)="x",$BI28*AW28,VALUE('Capacity summary'!AW147)),0),AW28*$BI28),AW28*$BI28),0)</f>
        <v>0</v>
      </c>
      <c r="DA28" s="314">
        <f>IF($BI28&lt;&gt;"",IF('Capacity summary'!$D$14="Yes",IF(COUNTBLANK('Capacity summary'!$H147:$BG147)&lt;52,IF('Capacity summary'!AX147&lt;&gt;"",IF(LOWER('Capacity summary'!AX147)="x",$BI28*AX28,VALUE('Capacity summary'!AX147)),0),AX28*$BI28),AX28*$BI28),0)</f>
        <v>0</v>
      </c>
      <c r="DB28" s="314">
        <f>IF($BI28&lt;&gt;"",IF('Capacity summary'!$D$14="Yes",IF(COUNTBLANK('Capacity summary'!$H147:$BG147)&lt;52,IF('Capacity summary'!AY147&lt;&gt;"",IF(LOWER('Capacity summary'!AY147)="x",$BI28*AY28,VALUE('Capacity summary'!AY147)),0),AY28*$BI28),AY28*$BI28),0)</f>
        <v>0</v>
      </c>
      <c r="DC28" s="314">
        <f>IF($BI28&lt;&gt;"",IF('Capacity summary'!$D$14="Yes",IF(COUNTBLANK('Capacity summary'!$H147:$BG147)&lt;52,IF('Capacity summary'!AZ147&lt;&gt;"",IF(LOWER('Capacity summary'!AZ147)="x",$BI28*AZ28,VALUE('Capacity summary'!AZ147)),0),AZ28*$BI28),AZ28*$BI28),0)</f>
        <v>0</v>
      </c>
      <c r="DD28" s="314">
        <f>IF($BI28&lt;&gt;"",IF('Capacity summary'!$D$14="Yes",IF(COUNTBLANK('Capacity summary'!$H147:$BG147)&lt;52,IF('Capacity summary'!BA147&lt;&gt;"",IF(LOWER('Capacity summary'!BA147)="x",$BI28*BA28,VALUE('Capacity summary'!BA147)),0),BA28*$BI28),BA28*$BI28),0)</f>
        <v>0</v>
      </c>
      <c r="DE28" s="314">
        <f>IF($BI28&lt;&gt;"",IF('Capacity summary'!$D$14="Yes",IF(COUNTBLANK('Capacity summary'!$H147:$BG147)&lt;52,IF('Capacity summary'!BB147&lt;&gt;"",IF(LOWER('Capacity summary'!BB147)="x",$BI28*BB28,VALUE('Capacity summary'!BB147)),0),BB28*$BI28),BB28*$BI28),0)</f>
        <v>0</v>
      </c>
      <c r="DF28" s="314">
        <f>IF($BI28&lt;&gt;"",IF('Capacity summary'!$D$14="Yes",IF(COUNTBLANK('Capacity summary'!$H147:$BG147)&lt;52,IF('Capacity summary'!BC147&lt;&gt;"",IF(LOWER('Capacity summary'!BC147)="x",$BI28*BC28,VALUE('Capacity summary'!BC147)),0),BC28*$BI28),BC28*$BI28),0)</f>
        <v>0</v>
      </c>
      <c r="DG28" s="314">
        <f>IF($BI28&lt;&gt;"",IF('Capacity summary'!$D$14="Yes",IF(COUNTBLANK('Capacity summary'!$H147:$BG147)&lt;52,IF('Capacity summary'!BD147&lt;&gt;"",IF(LOWER('Capacity summary'!BD147)="x",$BI28*BD28,VALUE('Capacity summary'!BD147)),0),BD28*$BI28),BD28*$BI28),0)</f>
        <v>0</v>
      </c>
      <c r="DH28" s="314">
        <f>IF($BI28&lt;&gt;"",IF('Capacity summary'!$D$14="Yes",IF(COUNTBLANK('Capacity summary'!$H147:$BG147)&lt;52,IF('Capacity summary'!BE147&lt;&gt;"",IF(LOWER('Capacity summary'!BE147)="x",$BI28*BE28,VALUE('Capacity summary'!BE147)),0),BE28*$BI28),BE28*$BI28),0)</f>
        <v>0</v>
      </c>
      <c r="DI28" s="314">
        <f>IF($BI28&lt;&gt;"",IF('Capacity summary'!$D$14="Yes",IF(COUNTBLANK('Capacity summary'!$H147:$BG147)&lt;52,IF('Capacity summary'!BF147&lt;&gt;"",IF(LOWER('Capacity summary'!BF147)="x",$BI28*BF28,VALUE('Capacity summary'!BF147)),0),BF28*$BI28),BF28*$BI28),0)</f>
        <v>0</v>
      </c>
      <c r="DJ28" s="314">
        <f>IF($BI28&lt;&gt;"",IF('Capacity summary'!$D$14="Yes",IF(COUNTBLANK('Capacity summary'!$H147:$BG147)&lt;52,IF('Capacity summary'!BG147&lt;&gt;"",IF(LOWER('Capacity summary'!BG147)="x",$BI28*BG28,VALUE('Capacity summary'!BG147)),0),BG28*$BI28),BG28*$BI28),0)</f>
        <v>0</v>
      </c>
      <c r="DK28" s="137">
        <f t="shared" si="2"/>
        <v>0</v>
      </c>
      <c r="DL28" s="314" t="str">
        <f>Capacity!H40</f>
        <v/>
      </c>
      <c r="DP28" s="5"/>
    </row>
    <row r="29" spans="2:120" x14ac:dyDescent="0.25">
      <c r="B29" s="67"/>
      <c r="C29" s="67" t="str">
        <f>ROW(A25)&amp;". "&amp;Capacity!B41</f>
        <v xml:space="preserve">25.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IF(ROW(C25)&lt;=Capacity!$A$16,IF('Capacity summary'!$D$14="No",SUM(H29:BG29),'Capacity summary'!$E148),0)</f>
        <v>0</v>
      </c>
      <c r="BI29" s="5" t="str">
        <f>IF(BH29&gt;0,IF(BH29&lt;Capacity!E41,Capacity!F41,Capacity!H41/'Capacity calculation (hide)'!BH29),"")</f>
        <v/>
      </c>
      <c r="BK29" s="314">
        <f>IF($BI29&lt;&gt;"",IF('Capacity summary'!$D$14="Yes",IF(COUNTBLANK('Capacity summary'!$H148:$BG148)&lt;52,IF('Capacity summary'!H148&lt;&gt;"",IF(LOWER('Capacity summary'!H148)="x",$BI29*H29,VALUE('Capacity summary'!H148)),0),H29*$BI29),H29*$BI29),0)</f>
        <v>0</v>
      </c>
      <c r="BL29" s="314">
        <f>IF($BI29&lt;&gt;"",IF('Capacity summary'!$D$14="Yes",IF(COUNTBLANK('Capacity summary'!$H148:$BG148)&lt;52,IF('Capacity summary'!I148&lt;&gt;"",IF(LOWER('Capacity summary'!I148)="x",$BI29*I29,VALUE('Capacity summary'!I148)),0),I29*$BI29),I29*$BI29),0)</f>
        <v>0</v>
      </c>
      <c r="BM29" s="314">
        <f>IF($BI29&lt;&gt;"",IF('Capacity summary'!$D$14="Yes",IF(COUNTBLANK('Capacity summary'!$H148:$BG148)&lt;52,IF('Capacity summary'!J148&lt;&gt;"",IF(LOWER('Capacity summary'!J148)="x",$BI29*J29,VALUE('Capacity summary'!J148)),0),J29*$BI29),J29*$BI29),0)</f>
        <v>0</v>
      </c>
      <c r="BN29" s="314">
        <f>IF($BI29&lt;&gt;"",IF('Capacity summary'!$D$14="Yes",IF(COUNTBLANK('Capacity summary'!$H148:$BG148)&lt;52,IF('Capacity summary'!K148&lt;&gt;"",IF(LOWER('Capacity summary'!K148)="x",$BI29*K29,VALUE('Capacity summary'!K148)),0),K29*$BI29),K29*$BI29),0)</f>
        <v>0</v>
      </c>
      <c r="BO29" s="314">
        <f>IF($BI29&lt;&gt;"",IF('Capacity summary'!$D$14="Yes",IF(COUNTBLANK('Capacity summary'!$H148:$BG148)&lt;52,IF('Capacity summary'!L148&lt;&gt;"",IF(LOWER('Capacity summary'!L148)="x",$BI29*L29,VALUE('Capacity summary'!L148)),0),L29*$BI29),L29*$BI29),0)</f>
        <v>0</v>
      </c>
      <c r="BP29" s="314">
        <f>IF($BI29&lt;&gt;"",IF('Capacity summary'!$D$14="Yes",IF(COUNTBLANK('Capacity summary'!$H148:$BG148)&lt;52,IF('Capacity summary'!M148&lt;&gt;"",IF(LOWER('Capacity summary'!M148)="x",$BI29*M29,VALUE('Capacity summary'!M148)),0),M29*$BI29),M29*$BI29),0)</f>
        <v>0</v>
      </c>
      <c r="BQ29" s="314">
        <f>IF($BI29&lt;&gt;"",IF('Capacity summary'!$D$14="Yes",IF(COUNTBLANK('Capacity summary'!$H148:$BG148)&lt;52,IF('Capacity summary'!N148&lt;&gt;"",IF(LOWER('Capacity summary'!N148)="x",$BI29*N29,VALUE('Capacity summary'!N148)),0),N29*$BI29),N29*$BI29),0)</f>
        <v>0</v>
      </c>
      <c r="BR29" s="314">
        <f>IF($BI29&lt;&gt;"",IF('Capacity summary'!$D$14="Yes",IF(COUNTBLANK('Capacity summary'!$H148:$BG148)&lt;52,IF('Capacity summary'!O148&lt;&gt;"",IF(LOWER('Capacity summary'!O148)="x",$BI29*O29,VALUE('Capacity summary'!O148)),0),O29*$BI29),O29*$BI29),0)</f>
        <v>0</v>
      </c>
      <c r="BS29" s="314">
        <f>IF($BI29&lt;&gt;"",IF('Capacity summary'!$D$14="Yes",IF(COUNTBLANK('Capacity summary'!$H148:$BG148)&lt;52,IF('Capacity summary'!P148&lt;&gt;"",IF(LOWER('Capacity summary'!P148)="x",$BI29*P29,VALUE('Capacity summary'!P148)),0),P29*$BI29),P29*$BI29),0)</f>
        <v>0</v>
      </c>
      <c r="BT29" s="314">
        <f>IF($BI29&lt;&gt;"",IF('Capacity summary'!$D$14="Yes",IF(COUNTBLANK('Capacity summary'!$H148:$BG148)&lt;52,IF('Capacity summary'!Q148&lt;&gt;"",IF(LOWER('Capacity summary'!Q148)="x",$BI29*Q29,VALUE('Capacity summary'!Q148)),0),Q29*$BI29),Q29*$BI29),0)</f>
        <v>0</v>
      </c>
      <c r="BU29" s="314">
        <f>IF($BI29&lt;&gt;"",IF('Capacity summary'!$D$14="Yes",IF(COUNTBLANK('Capacity summary'!$H148:$BG148)&lt;52,IF('Capacity summary'!R148&lt;&gt;"",IF(LOWER('Capacity summary'!R148)="x",$BI29*R29,VALUE('Capacity summary'!R148)),0),R29*$BI29),R29*$BI29),0)</f>
        <v>0</v>
      </c>
      <c r="BV29" s="314">
        <f>IF($BI29&lt;&gt;"",IF('Capacity summary'!$D$14="Yes",IF(COUNTBLANK('Capacity summary'!$H148:$BG148)&lt;52,IF('Capacity summary'!S148&lt;&gt;"",IF(LOWER('Capacity summary'!S148)="x",$BI29*S29,VALUE('Capacity summary'!S148)),0),S29*$BI29),S29*$BI29),0)</f>
        <v>0</v>
      </c>
      <c r="BW29" s="314">
        <f>IF($BI29&lt;&gt;"",IF('Capacity summary'!$D$14="Yes",IF(COUNTBLANK('Capacity summary'!$H148:$BG148)&lt;52,IF('Capacity summary'!T148&lt;&gt;"",IF(LOWER('Capacity summary'!T148)="x",$BI29*T29,VALUE('Capacity summary'!T148)),0),T29*$BI29),T29*$BI29),0)</f>
        <v>0</v>
      </c>
      <c r="BX29" s="314">
        <f>IF($BI29&lt;&gt;"",IF('Capacity summary'!$D$14="Yes",IF(COUNTBLANK('Capacity summary'!$H148:$BG148)&lt;52,IF('Capacity summary'!U148&lt;&gt;"",IF(LOWER('Capacity summary'!U148)="x",$BI29*U29,VALUE('Capacity summary'!U148)),0),U29*$BI29),U29*$BI29),0)</f>
        <v>0</v>
      </c>
      <c r="BY29" s="314">
        <f>IF($BI29&lt;&gt;"",IF('Capacity summary'!$D$14="Yes",IF(COUNTBLANK('Capacity summary'!$H148:$BG148)&lt;52,IF('Capacity summary'!V148&lt;&gt;"",IF(LOWER('Capacity summary'!V148)="x",$BI29*V29,VALUE('Capacity summary'!V148)),0),V29*$BI29),V29*$BI29),0)</f>
        <v>0</v>
      </c>
      <c r="BZ29" s="314">
        <f>IF($BI29&lt;&gt;"",IF('Capacity summary'!$D$14="Yes",IF(COUNTBLANK('Capacity summary'!$H148:$BG148)&lt;52,IF('Capacity summary'!W148&lt;&gt;"",IF(LOWER('Capacity summary'!W148)="x",$BI29*W29,VALUE('Capacity summary'!W148)),0),W29*$BI29),W29*$BI29),0)</f>
        <v>0</v>
      </c>
      <c r="CA29" s="314">
        <f>IF($BI29&lt;&gt;"",IF('Capacity summary'!$D$14="Yes",IF(COUNTBLANK('Capacity summary'!$H148:$BG148)&lt;52,IF('Capacity summary'!X148&lt;&gt;"",IF(LOWER('Capacity summary'!X148)="x",$BI29*X29,VALUE('Capacity summary'!X148)),0),X29*$BI29),X29*$BI29),0)</f>
        <v>0</v>
      </c>
      <c r="CB29" s="314">
        <f>IF($BI29&lt;&gt;"",IF('Capacity summary'!$D$14="Yes",IF(COUNTBLANK('Capacity summary'!$H148:$BG148)&lt;52,IF('Capacity summary'!Y148&lt;&gt;"",IF(LOWER('Capacity summary'!Y148)="x",$BI29*Y29,VALUE('Capacity summary'!Y148)),0),Y29*$BI29),Y29*$BI29),0)</f>
        <v>0</v>
      </c>
      <c r="CC29" s="314">
        <f>IF($BI29&lt;&gt;"",IF('Capacity summary'!$D$14="Yes",IF(COUNTBLANK('Capacity summary'!$H148:$BG148)&lt;52,IF('Capacity summary'!Z148&lt;&gt;"",IF(LOWER('Capacity summary'!Z148)="x",$BI29*Z29,VALUE('Capacity summary'!Z148)),0),Z29*$BI29),Z29*$BI29),0)</f>
        <v>0</v>
      </c>
      <c r="CD29" s="314">
        <f>IF($BI29&lt;&gt;"",IF('Capacity summary'!$D$14="Yes",IF(COUNTBLANK('Capacity summary'!$H148:$BG148)&lt;52,IF('Capacity summary'!AA148&lt;&gt;"",IF(LOWER('Capacity summary'!AA148)="x",$BI29*AA29,VALUE('Capacity summary'!AA148)),0),AA29*$BI29),AA29*$BI29),0)</f>
        <v>0</v>
      </c>
      <c r="CE29" s="314">
        <f>IF($BI29&lt;&gt;"",IF('Capacity summary'!$D$14="Yes",IF(COUNTBLANK('Capacity summary'!$H148:$BG148)&lt;52,IF('Capacity summary'!AB148&lt;&gt;"",IF(LOWER('Capacity summary'!AB148)="x",$BI29*AB29,VALUE('Capacity summary'!AB148)),0),AB29*$BI29),AB29*$BI29),0)</f>
        <v>0</v>
      </c>
      <c r="CF29" s="314">
        <f>IF($BI29&lt;&gt;"",IF('Capacity summary'!$D$14="Yes",IF(COUNTBLANK('Capacity summary'!$H148:$BG148)&lt;52,IF('Capacity summary'!AC148&lt;&gt;"",IF(LOWER('Capacity summary'!AC148)="x",$BI29*AC29,VALUE('Capacity summary'!AC148)),0),AC29*$BI29),AC29*$BI29),0)</f>
        <v>0</v>
      </c>
      <c r="CG29" s="314">
        <f>IF($BI29&lt;&gt;"",IF('Capacity summary'!$D$14="Yes",IF(COUNTBLANK('Capacity summary'!$H148:$BG148)&lt;52,IF('Capacity summary'!AD148&lt;&gt;"",IF(LOWER('Capacity summary'!AD148)="x",$BI29*AD29,VALUE('Capacity summary'!AD148)),0),AD29*$BI29),AD29*$BI29),0)</f>
        <v>0</v>
      </c>
      <c r="CH29" s="314">
        <f>IF($BI29&lt;&gt;"",IF('Capacity summary'!$D$14="Yes",IF(COUNTBLANK('Capacity summary'!$H148:$BG148)&lt;52,IF('Capacity summary'!AE148&lt;&gt;"",IF(LOWER('Capacity summary'!AE148)="x",$BI29*AE29,VALUE('Capacity summary'!AE148)),0),AE29*$BI29),AE29*$BI29),0)</f>
        <v>0</v>
      </c>
      <c r="CI29" s="314">
        <f>IF($BI29&lt;&gt;"",IF('Capacity summary'!$D$14="Yes",IF(COUNTBLANK('Capacity summary'!$H148:$BG148)&lt;52,IF('Capacity summary'!AF148&lt;&gt;"",IF(LOWER('Capacity summary'!AF148)="x",$BI29*AF29,VALUE('Capacity summary'!AF148)),0),AF29*$BI29),AF29*$BI29),0)</f>
        <v>0</v>
      </c>
      <c r="CJ29" s="314">
        <f>IF($BI29&lt;&gt;"",IF('Capacity summary'!$D$14="Yes",IF(COUNTBLANK('Capacity summary'!$H148:$BG148)&lt;52,IF('Capacity summary'!AG148&lt;&gt;"",IF(LOWER('Capacity summary'!AG148)="x",$BI29*AG29,VALUE('Capacity summary'!AG148)),0),AG29*$BI29),AG29*$BI29),0)</f>
        <v>0</v>
      </c>
      <c r="CK29" s="314">
        <f>IF($BI29&lt;&gt;"",IF('Capacity summary'!$D$14="Yes",IF(COUNTBLANK('Capacity summary'!$H148:$BG148)&lt;52,IF('Capacity summary'!AH148&lt;&gt;"",IF(LOWER('Capacity summary'!AH148)="x",$BI29*AH29,VALUE('Capacity summary'!AH148)),0),AH29*$BI29),AH29*$BI29),0)</f>
        <v>0</v>
      </c>
      <c r="CL29" s="314">
        <f>IF($BI29&lt;&gt;"",IF('Capacity summary'!$D$14="Yes",IF(COUNTBLANK('Capacity summary'!$H148:$BG148)&lt;52,IF('Capacity summary'!AI148&lt;&gt;"",IF(LOWER('Capacity summary'!AI148)="x",$BI29*AI29,VALUE('Capacity summary'!AI148)),0),AI29*$BI29),AI29*$BI29),0)</f>
        <v>0</v>
      </c>
      <c r="CM29" s="314">
        <f>IF($BI29&lt;&gt;"",IF('Capacity summary'!$D$14="Yes",IF(COUNTBLANK('Capacity summary'!$H148:$BG148)&lt;52,IF('Capacity summary'!AJ148&lt;&gt;"",IF(LOWER('Capacity summary'!AJ148)="x",$BI29*AJ29,VALUE('Capacity summary'!AJ148)),0),AJ29*$BI29),AJ29*$BI29),0)</f>
        <v>0</v>
      </c>
      <c r="CN29" s="314">
        <f>IF($BI29&lt;&gt;"",IF('Capacity summary'!$D$14="Yes",IF(COUNTBLANK('Capacity summary'!$H148:$BG148)&lt;52,IF('Capacity summary'!AK148&lt;&gt;"",IF(LOWER('Capacity summary'!AK148)="x",$BI29*AK29,VALUE('Capacity summary'!AK148)),0),AK29*$BI29),AK29*$BI29),0)</f>
        <v>0</v>
      </c>
      <c r="CO29" s="314">
        <f>IF($BI29&lt;&gt;"",IF('Capacity summary'!$D$14="Yes",IF(COUNTBLANK('Capacity summary'!$H148:$BG148)&lt;52,IF('Capacity summary'!AL148&lt;&gt;"",IF(LOWER('Capacity summary'!AL148)="x",$BI29*AL29,VALUE('Capacity summary'!AL148)),0),AL29*$BI29),AL29*$BI29),0)</f>
        <v>0</v>
      </c>
      <c r="CP29" s="314">
        <f>IF($BI29&lt;&gt;"",IF('Capacity summary'!$D$14="Yes",IF(COUNTBLANK('Capacity summary'!$H148:$BG148)&lt;52,IF('Capacity summary'!AM148&lt;&gt;"",IF(LOWER('Capacity summary'!AM148)="x",$BI29*AM29,VALUE('Capacity summary'!AM148)),0),AM29*$BI29),AM29*$BI29),0)</f>
        <v>0</v>
      </c>
      <c r="CQ29" s="314">
        <f>IF($BI29&lt;&gt;"",IF('Capacity summary'!$D$14="Yes",IF(COUNTBLANK('Capacity summary'!$H148:$BG148)&lt;52,IF('Capacity summary'!AN148&lt;&gt;"",IF(LOWER('Capacity summary'!AN148)="x",$BI29*AN29,VALUE('Capacity summary'!AN148)),0),AN29*$BI29),AN29*$BI29),0)</f>
        <v>0</v>
      </c>
      <c r="CR29" s="314">
        <f>IF($BI29&lt;&gt;"",IF('Capacity summary'!$D$14="Yes",IF(COUNTBLANK('Capacity summary'!$H148:$BG148)&lt;52,IF('Capacity summary'!AO148&lt;&gt;"",IF(LOWER('Capacity summary'!AO148)="x",$BI29*AO29,VALUE('Capacity summary'!AO148)),0),AO29*$BI29),AO29*$BI29),0)</f>
        <v>0</v>
      </c>
      <c r="CS29" s="314">
        <f>IF($BI29&lt;&gt;"",IF('Capacity summary'!$D$14="Yes",IF(COUNTBLANK('Capacity summary'!$H148:$BG148)&lt;52,IF('Capacity summary'!AP148&lt;&gt;"",IF(LOWER('Capacity summary'!AP148)="x",$BI29*AP29,VALUE('Capacity summary'!AP148)),0),AP29*$BI29),AP29*$BI29),0)</f>
        <v>0</v>
      </c>
      <c r="CT29" s="314">
        <f>IF($BI29&lt;&gt;"",IF('Capacity summary'!$D$14="Yes",IF(COUNTBLANK('Capacity summary'!$H148:$BG148)&lt;52,IF('Capacity summary'!AQ148&lt;&gt;"",IF(LOWER('Capacity summary'!AQ148)="x",$BI29*AQ29,VALUE('Capacity summary'!AQ148)),0),AQ29*$BI29),AQ29*$BI29),0)</f>
        <v>0</v>
      </c>
      <c r="CU29" s="314">
        <f>IF($BI29&lt;&gt;"",IF('Capacity summary'!$D$14="Yes",IF(COUNTBLANK('Capacity summary'!$H148:$BG148)&lt;52,IF('Capacity summary'!AR148&lt;&gt;"",IF(LOWER('Capacity summary'!AR148)="x",$BI29*AR29,VALUE('Capacity summary'!AR148)),0),AR29*$BI29),AR29*$BI29),0)</f>
        <v>0</v>
      </c>
      <c r="CV29" s="314">
        <f>IF($BI29&lt;&gt;"",IF('Capacity summary'!$D$14="Yes",IF(COUNTBLANK('Capacity summary'!$H148:$BG148)&lt;52,IF('Capacity summary'!AS148&lt;&gt;"",IF(LOWER('Capacity summary'!AS148)="x",$BI29*AS29,VALUE('Capacity summary'!AS148)),0),AS29*$BI29),AS29*$BI29),0)</f>
        <v>0</v>
      </c>
      <c r="CW29" s="314">
        <f>IF($BI29&lt;&gt;"",IF('Capacity summary'!$D$14="Yes",IF(COUNTBLANK('Capacity summary'!$H148:$BG148)&lt;52,IF('Capacity summary'!AT148&lt;&gt;"",IF(LOWER('Capacity summary'!AT148)="x",$BI29*AT29,VALUE('Capacity summary'!AT148)),0),AT29*$BI29),AT29*$BI29),0)</f>
        <v>0</v>
      </c>
      <c r="CX29" s="314">
        <f>IF($BI29&lt;&gt;"",IF('Capacity summary'!$D$14="Yes",IF(COUNTBLANK('Capacity summary'!$H148:$BG148)&lt;52,IF('Capacity summary'!AU148&lt;&gt;"",IF(LOWER('Capacity summary'!AU148)="x",$BI29*AU29,VALUE('Capacity summary'!AU148)),0),AU29*$BI29),AU29*$BI29),0)</f>
        <v>0</v>
      </c>
      <c r="CY29" s="314">
        <f>IF($BI29&lt;&gt;"",IF('Capacity summary'!$D$14="Yes",IF(COUNTBLANK('Capacity summary'!$H148:$BG148)&lt;52,IF('Capacity summary'!AV148&lt;&gt;"",IF(LOWER('Capacity summary'!AV148)="x",$BI29*AV29,VALUE('Capacity summary'!AV148)),0),AV29*$BI29),AV29*$BI29),0)</f>
        <v>0</v>
      </c>
      <c r="CZ29" s="314">
        <f>IF($BI29&lt;&gt;"",IF('Capacity summary'!$D$14="Yes",IF(COUNTBLANK('Capacity summary'!$H148:$BG148)&lt;52,IF('Capacity summary'!AW148&lt;&gt;"",IF(LOWER('Capacity summary'!AW148)="x",$BI29*AW29,VALUE('Capacity summary'!AW148)),0),AW29*$BI29),AW29*$BI29),0)</f>
        <v>0</v>
      </c>
      <c r="DA29" s="314">
        <f>IF($BI29&lt;&gt;"",IF('Capacity summary'!$D$14="Yes",IF(COUNTBLANK('Capacity summary'!$H148:$BG148)&lt;52,IF('Capacity summary'!AX148&lt;&gt;"",IF(LOWER('Capacity summary'!AX148)="x",$BI29*AX29,VALUE('Capacity summary'!AX148)),0),AX29*$BI29),AX29*$BI29),0)</f>
        <v>0</v>
      </c>
      <c r="DB29" s="314">
        <f>IF($BI29&lt;&gt;"",IF('Capacity summary'!$D$14="Yes",IF(COUNTBLANK('Capacity summary'!$H148:$BG148)&lt;52,IF('Capacity summary'!AY148&lt;&gt;"",IF(LOWER('Capacity summary'!AY148)="x",$BI29*AY29,VALUE('Capacity summary'!AY148)),0),AY29*$BI29),AY29*$BI29),0)</f>
        <v>0</v>
      </c>
      <c r="DC29" s="314">
        <f>IF($BI29&lt;&gt;"",IF('Capacity summary'!$D$14="Yes",IF(COUNTBLANK('Capacity summary'!$H148:$BG148)&lt;52,IF('Capacity summary'!AZ148&lt;&gt;"",IF(LOWER('Capacity summary'!AZ148)="x",$BI29*AZ29,VALUE('Capacity summary'!AZ148)),0),AZ29*$BI29),AZ29*$BI29),0)</f>
        <v>0</v>
      </c>
      <c r="DD29" s="314">
        <f>IF($BI29&lt;&gt;"",IF('Capacity summary'!$D$14="Yes",IF(COUNTBLANK('Capacity summary'!$H148:$BG148)&lt;52,IF('Capacity summary'!BA148&lt;&gt;"",IF(LOWER('Capacity summary'!BA148)="x",$BI29*BA29,VALUE('Capacity summary'!BA148)),0),BA29*$BI29),BA29*$BI29),0)</f>
        <v>0</v>
      </c>
      <c r="DE29" s="314">
        <f>IF($BI29&lt;&gt;"",IF('Capacity summary'!$D$14="Yes",IF(COUNTBLANK('Capacity summary'!$H148:$BG148)&lt;52,IF('Capacity summary'!BB148&lt;&gt;"",IF(LOWER('Capacity summary'!BB148)="x",$BI29*BB29,VALUE('Capacity summary'!BB148)),0),BB29*$BI29),BB29*$BI29),0)</f>
        <v>0</v>
      </c>
      <c r="DF29" s="314">
        <f>IF($BI29&lt;&gt;"",IF('Capacity summary'!$D$14="Yes",IF(COUNTBLANK('Capacity summary'!$H148:$BG148)&lt;52,IF('Capacity summary'!BC148&lt;&gt;"",IF(LOWER('Capacity summary'!BC148)="x",$BI29*BC29,VALUE('Capacity summary'!BC148)),0),BC29*$BI29),BC29*$BI29),0)</f>
        <v>0</v>
      </c>
      <c r="DG29" s="314">
        <f>IF($BI29&lt;&gt;"",IF('Capacity summary'!$D$14="Yes",IF(COUNTBLANK('Capacity summary'!$H148:$BG148)&lt;52,IF('Capacity summary'!BD148&lt;&gt;"",IF(LOWER('Capacity summary'!BD148)="x",$BI29*BD29,VALUE('Capacity summary'!BD148)),0),BD29*$BI29),BD29*$BI29),0)</f>
        <v>0</v>
      </c>
      <c r="DH29" s="314">
        <f>IF($BI29&lt;&gt;"",IF('Capacity summary'!$D$14="Yes",IF(COUNTBLANK('Capacity summary'!$H148:$BG148)&lt;52,IF('Capacity summary'!BE148&lt;&gt;"",IF(LOWER('Capacity summary'!BE148)="x",$BI29*BE29,VALUE('Capacity summary'!BE148)),0),BE29*$BI29),BE29*$BI29),0)</f>
        <v>0</v>
      </c>
      <c r="DI29" s="314">
        <f>IF($BI29&lt;&gt;"",IF('Capacity summary'!$D$14="Yes",IF(COUNTBLANK('Capacity summary'!$H148:$BG148)&lt;52,IF('Capacity summary'!BF148&lt;&gt;"",IF(LOWER('Capacity summary'!BF148)="x",$BI29*BF29,VALUE('Capacity summary'!BF148)),0),BF29*$BI29),BF29*$BI29),0)</f>
        <v>0</v>
      </c>
      <c r="DJ29" s="314">
        <f>IF($BI29&lt;&gt;"",IF('Capacity summary'!$D$14="Yes",IF(COUNTBLANK('Capacity summary'!$H148:$BG148)&lt;52,IF('Capacity summary'!BG148&lt;&gt;"",IF(LOWER('Capacity summary'!BG148)="x",$BI29*BG29,VALUE('Capacity summary'!BG148)),0),BG29*$BI29),BG29*$BI29),0)</f>
        <v>0</v>
      </c>
      <c r="DK29" s="137">
        <f t="shared" si="2"/>
        <v>0</v>
      </c>
      <c r="DL29" s="314" t="str">
        <f>Capacity!H41</f>
        <v/>
      </c>
      <c r="DP29" s="5"/>
    </row>
    <row r="30" spans="2:120" x14ac:dyDescent="0.25">
      <c r="B30" s="67"/>
      <c r="C30" s="67" t="str">
        <f>ROW(A26)&amp;". "&amp;Capacity!B42</f>
        <v xml:space="preserve">26. </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IF(ROW(C26)&lt;=Capacity!$A$16,IF('Capacity summary'!$D$14="No",SUM(H30:BG30),'Capacity summary'!$E149),0)</f>
        <v>0</v>
      </c>
      <c r="BI30" s="5" t="str">
        <f>IF(BH30&gt;0,IF(BH30&lt;Capacity!E42,Capacity!F42,Capacity!H42/'Capacity calculation (hide)'!BH30),"")</f>
        <v/>
      </c>
      <c r="BK30" s="314">
        <f>IF($BI30&lt;&gt;"",IF('Capacity summary'!$D$14="Yes",IF(COUNTBLANK('Capacity summary'!$H149:$BG149)&lt;52,IF('Capacity summary'!H149&lt;&gt;"",IF(LOWER('Capacity summary'!H149)="x",$BI30*H30,VALUE('Capacity summary'!H149)),0),H30*$BI30),H30*$BI30),0)</f>
        <v>0</v>
      </c>
      <c r="BL30" s="314">
        <f>IF($BI30&lt;&gt;"",IF('Capacity summary'!$D$14="Yes",IF(COUNTBLANK('Capacity summary'!$H149:$BG149)&lt;52,IF('Capacity summary'!I149&lt;&gt;"",IF(LOWER('Capacity summary'!I149)="x",$BI30*I30,VALUE('Capacity summary'!I149)),0),I30*$BI30),I30*$BI30),0)</f>
        <v>0</v>
      </c>
      <c r="BM30" s="314">
        <f>IF($BI30&lt;&gt;"",IF('Capacity summary'!$D$14="Yes",IF(COUNTBLANK('Capacity summary'!$H149:$BG149)&lt;52,IF('Capacity summary'!J149&lt;&gt;"",IF(LOWER('Capacity summary'!J149)="x",$BI30*J30,VALUE('Capacity summary'!J149)),0),J30*$BI30),J30*$BI30),0)</f>
        <v>0</v>
      </c>
      <c r="BN30" s="314">
        <f>IF($BI30&lt;&gt;"",IF('Capacity summary'!$D$14="Yes",IF(COUNTBLANK('Capacity summary'!$H149:$BG149)&lt;52,IF('Capacity summary'!K149&lt;&gt;"",IF(LOWER('Capacity summary'!K149)="x",$BI30*K30,VALUE('Capacity summary'!K149)),0),K30*$BI30),K30*$BI30),0)</f>
        <v>0</v>
      </c>
      <c r="BO30" s="314">
        <f>IF($BI30&lt;&gt;"",IF('Capacity summary'!$D$14="Yes",IF(COUNTBLANK('Capacity summary'!$H149:$BG149)&lt;52,IF('Capacity summary'!L149&lt;&gt;"",IF(LOWER('Capacity summary'!L149)="x",$BI30*L30,VALUE('Capacity summary'!L149)),0),L30*$BI30),L30*$BI30),0)</f>
        <v>0</v>
      </c>
      <c r="BP30" s="314">
        <f>IF($BI30&lt;&gt;"",IF('Capacity summary'!$D$14="Yes",IF(COUNTBLANK('Capacity summary'!$H149:$BG149)&lt;52,IF('Capacity summary'!M149&lt;&gt;"",IF(LOWER('Capacity summary'!M149)="x",$BI30*M30,VALUE('Capacity summary'!M149)),0),M30*$BI30),M30*$BI30),0)</f>
        <v>0</v>
      </c>
      <c r="BQ30" s="314">
        <f>IF($BI30&lt;&gt;"",IF('Capacity summary'!$D$14="Yes",IF(COUNTBLANK('Capacity summary'!$H149:$BG149)&lt;52,IF('Capacity summary'!N149&lt;&gt;"",IF(LOWER('Capacity summary'!N149)="x",$BI30*N30,VALUE('Capacity summary'!N149)),0),N30*$BI30),N30*$BI30),0)</f>
        <v>0</v>
      </c>
      <c r="BR30" s="314">
        <f>IF($BI30&lt;&gt;"",IF('Capacity summary'!$D$14="Yes",IF(COUNTBLANK('Capacity summary'!$H149:$BG149)&lt;52,IF('Capacity summary'!O149&lt;&gt;"",IF(LOWER('Capacity summary'!O149)="x",$BI30*O30,VALUE('Capacity summary'!O149)),0),O30*$BI30),O30*$BI30),0)</f>
        <v>0</v>
      </c>
      <c r="BS30" s="314">
        <f>IF($BI30&lt;&gt;"",IF('Capacity summary'!$D$14="Yes",IF(COUNTBLANK('Capacity summary'!$H149:$BG149)&lt;52,IF('Capacity summary'!P149&lt;&gt;"",IF(LOWER('Capacity summary'!P149)="x",$BI30*P30,VALUE('Capacity summary'!P149)),0),P30*$BI30),P30*$BI30),0)</f>
        <v>0</v>
      </c>
      <c r="BT30" s="314">
        <f>IF($BI30&lt;&gt;"",IF('Capacity summary'!$D$14="Yes",IF(COUNTBLANK('Capacity summary'!$H149:$BG149)&lt;52,IF('Capacity summary'!Q149&lt;&gt;"",IF(LOWER('Capacity summary'!Q149)="x",$BI30*Q30,VALUE('Capacity summary'!Q149)),0),Q30*$BI30),Q30*$BI30),0)</f>
        <v>0</v>
      </c>
      <c r="BU30" s="314">
        <f>IF($BI30&lt;&gt;"",IF('Capacity summary'!$D$14="Yes",IF(COUNTBLANK('Capacity summary'!$H149:$BG149)&lt;52,IF('Capacity summary'!R149&lt;&gt;"",IF(LOWER('Capacity summary'!R149)="x",$BI30*R30,VALUE('Capacity summary'!R149)),0),R30*$BI30),R30*$BI30),0)</f>
        <v>0</v>
      </c>
      <c r="BV30" s="314">
        <f>IF($BI30&lt;&gt;"",IF('Capacity summary'!$D$14="Yes",IF(COUNTBLANK('Capacity summary'!$H149:$BG149)&lt;52,IF('Capacity summary'!S149&lt;&gt;"",IF(LOWER('Capacity summary'!S149)="x",$BI30*S30,VALUE('Capacity summary'!S149)),0),S30*$BI30),S30*$BI30),0)</f>
        <v>0</v>
      </c>
      <c r="BW30" s="314">
        <f>IF($BI30&lt;&gt;"",IF('Capacity summary'!$D$14="Yes",IF(COUNTBLANK('Capacity summary'!$H149:$BG149)&lt;52,IF('Capacity summary'!T149&lt;&gt;"",IF(LOWER('Capacity summary'!T149)="x",$BI30*T30,VALUE('Capacity summary'!T149)),0),T30*$BI30),T30*$BI30),0)</f>
        <v>0</v>
      </c>
      <c r="BX30" s="314">
        <f>IF($BI30&lt;&gt;"",IF('Capacity summary'!$D$14="Yes",IF(COUNTBLANK('Capacity summary'!$H149:$BG149)&lt;52,IF('Capacity summary'!U149&lt;&gt;"",IF(LOWER('Capacity summary'!U149)="x",$BI30*U30,VALUE('Capacity summary'!U149)),0),U30*$BI30),U30*$BI30),0)</f>
        <v>0</v>
      </c>
      <c r="BY30" s="314">
        <f>IF($BI30&lt;&gt;"",IF('Capacity summary'!$D$14="Yes",IF(COUNTBLANK('Capacity summary'!$H149:$BG149)&lt;52,IF('Capacity summary'!V149&lt;&gt;"",IF(LOWER('Capacity summary'!V149)="x",$BI30*V30,VALUE('Capacity summary'!V149)),0),V30*$BI30),V30*$BI30),0)</f>
        <v>0</v>
      </c>
      <c r="BZ30" s="314">
        <f>IF($BI30&lt;&gt;"",IF('Capacity summary'!$D$14="Yes",IF(COUNTBLANK('Capacity summary'!$H149:$BG149)&lt;52,IF('Capacity summary'!W149&lt;&gt;"",IF(LOWER('Capacity summary'!W149)="x",$BI30*W30,VALUE('Capacity summary'!W149)),0),W30*$BI30),W30*$BI30),0)</f>
        <v>0</v>
      </c>
      <c r="CA30" s="314">
        <f>IF($BI30&lt;&gt;"",IF('Capacity summary'!$D$14="Yes",IF(COUNTBLANK('Capacity summary'!$H149:$BG149)&lt;52,IF('Capacity summary'!X149&lt;&gt;"",IF(LOWER('Capacity summary'!X149)="x",$BI30*X30,VALUE('Capacity summary'!X149)),0),X30*$BI30),X30*$BI30),0)</f>
        <v>0</v>
      </c>
      <c r="CB30" s="314">
        <f>IF($BI30&lt;&gt;"",IF('Capacity summary'!$D$14="Yes",IF(COUNTBLANK('Capacity summary'!$H149:$BG149)&lt;52,IF('Capacity summary'!Y149&lt;&gt;"",IF(LOWER('Capacity summary'!Y149)="x",$BI30*Y30,VALUE('Capacity summary'!Y149)),0),Y30*$BI30),Y30*$BI30),0)</f>
        <v>0</v>
      </c>
      <c r="CC30" s="314">
        <f>IF($BI30&lt;&gt;"",IF('Capacity summary'!$D$14="Yes",IF(COUNTBLANK('Capacity summary'!$H149:$BG149)&lt;52,IF('Capacity summary'!Z149&lt;&gt;"",IF(LOWER('Capacity summary'!Z149)="x",$BI30*Z30,VALUE('Capacity summary'!Z149)),0),Z30*$BI30),Z30*$BI30),0)</f>
        <v>0</v>
      </c>
      <c r="CD30" s="314">
        <f>IF($BI30&lt;&gt;"",IF('Capacity summary'!$D$14="Yes",IF(COUNTBLANK('Capacity summary'!$H149:$BG149)&lt;52,IF('Capacity summary'!AA149&lt;&gt;"",IF(LOWER('Capacity summary'!AA149)="x",$BI30*AA30,VALUE('Capacity summary'!AA149)),0),AA30*$BI30),AA30*$BI30),0)</f>
        <v>0</v>
      </c>
      <c r="CE30" s="314">
        <f>IF($BI30&lt;&gt;"",IF('Capacity summary'!$D$14="Yes",IF(COUNTBLANK('Capacity summary'!$H149:$BG149)&lt;52,IF('Capacity summary'!AB149&lt;&gt;"",IF(LOWER('Capacity summary'!AB149)="x",$BI30*AB30,VALUE('Capacity summary'!AB149)),0),AB30*$BI30),AB30*$BI30),0)</f>
        <v>0</v>
      </c>
      <c r="CF30" s="314">
        <f>IF($BI30&lt;&gt;"",IF('Capacity summary'!$D$14="Yes",IF(COUNTBLANK('Capacity summary'!$H149:$BG149)&lt;52,IF('Capacity summary'!AC149&lt;&gt;"",IF(LOWER('Capacity summary'!AC149)="x",$BI30*AC30,VALUE('Capacity summary'!AC149)),0),AC30*$BI30),AC30*$BI30),0)</f>
        <v>0</v>
      </c>
      <c r="CG30" s="314">
        <f>IF($BI30&lt;&gt;"",IF('Capacity summary'!$D$14="Yes",IF(COUNTBLANK('Capacity summary'!$H149:$BG149)&lt;52,IF('Capacity summary'!AD149&lt;&gt;"",IF(LOWER('Capacity summary'!AD149)="x",$BI30*AD30,VALUE('Capacity summary'!AD149)),0),AD30*$BI30),AD30*$BI30),0)</f>
        <v>0</v>
      </c>
      <c r="CH30" s="314">
        <f>IF($BI30&lt;&gt;"",IF('Capacity summary'!$D$14="Yes",IF(COUNTBLANK('Capacity summary'!$H149:$BG149)&lt;52,IF('Capacity summary'!AE149&lt;&gt;"",IF(LOWER('Capacity summary'!AE149)="x",$BI30*AE30,VALUE('Capacity summary'!AE149)),0),AE30*$BI30),AE30*$BI30),0)</f>
        <v>0</v>
      </c>
      <c r="CI30" s="314">
        <f>IF($BI30&lt;&gt;"",IF('Capacity summary'!$D$14="Yes",IF(COUNTBLANK('Capacity summary'!$H149:$BG149)&lt;52,IF('Capacity summary'!AF149&lt;&gt;"",IF(LOWER('Capacity summary'!AF149)="x",$BI30*AF30,VALUE('Capacity summary'!AF149)),0),AF30*$BI30),AF30*$BI30),0)</f>
        <v>0</v>
      </c>
      <c r="CJ30" s="314">
        <f>IF($BI30&lt;&gt;"",IF('Capacity summary'!$D$14="Yes",IF(COUNTBLANK('Capacity summary'!$H149:$BG149)&lt;52,IF('Capacity summary'!AG149&lt;&gt;"",IF(LOWER('Capacity summary'!AG149)="x",$BI30*AG30,VALUE('Capacity summary'!AG149)),0),AG30*$BI30),AG30*$BI30),0)</f>
        <v>0</v>
      </c>
      <c r="CK30" s="314">
        <f>IF($BI30&lt;&gt;"",IF('Capacity summary'!$D$14="Yes",IF(COUNTBLANK('Capacity summary'!$H149:$BG149)&lt;52,IF('Capacity summary'!AH149&lt;&gt;"",IF(LOWER('Capacity summary'!AH149)="x",$BI30*AH30,VALUE('Capacity summary'!AH149)),0),AH30*$BI30),AH30*$BI30),0)</f>
        <v>0</v>
      </c>
      <c r="CL30" s="314">
        <f>IF($BI30&lt;&gt;"",IF('Capacity summary'!$D$14="Yes",IF(COUNTBLANK('Capacity summary'!$H149:$BG149)&lt;52,IF('Capacity summary'!AI149&lt;&gt;"",IF(LOWER('Capacity summary'!AI149)="x",$BI30*AI30,VALUE('Capacity summary'!AI149)),0),AI30*$BI30),AI30*$BI30),0)</f>
        <v>0</v>
      </c>
      <c r="CM30" s="314">
        <f>IF($BI30&lt;&gt;"",IF('Capacity summary'!$D$14="Yes",IF(COUNTBLANK('Capacity summary'!$H149:$BG149)&lt;52,IF('Capacity summary'!AJ149&lt;&gt;"",IF(LOWER('Capacity summary'!AJ149)="x",$BI30*AJ30,VALUE('Capacity summary'!AJ149)),0),AJ30*$BI30),AJ30*$BI30),0)</f>
        <v>0</v>
      </c>
      <c r="CN30" s="314">
        <f>IF($BI30&lt;&gt;"",IF('Capacity summary'!$D$14="Yes",IF(COUNTBLANK('Capacity summary'!$H149:$BG149)&lt;52,IF('Capacity summary'!AK149&lt;&gt;"",IF(LOWER('Capacity summary'!AK149)="x",$BI30*AK30,VALUE('Capacity summary'!AK149)),0),AK30*$BI30),AK30*$BI30),0)</f>
        <v>0</v>
      </c>
      <c r="CO30" s="314">
        <f>IF($BI30&lt;&gt;"",IF('Capacity summary'!$D$14="Yes",IF(COUNTBLANK('Capacity summary'!$H149:$BG149)&lt;52,IF('Capacity summary'!AL149&lt;&gt;"",IF(LOWER('Capacity summary'!AL149)="x",$BI30*AL30,VALUE('Capacity summary'!AL149)),0),AL30*$BI30),AL30*$BI30),0)</f>
        <v>0</v>
      </c>
      <c r="CP30" s="314">
        <f>IF($BI30&lt;&gt;"",IF('Capacity summary'!$D$14="Yes",IF(COUNTBLANK('Capacity summary'!$H149:$BG149)&lt;52,IF('Capacity summary'!AM149&lt;&gt;"",IF(LOWER('Capacity summary'!AM149)="x",$BI30*AM30,VALUE('Capacity summary'!AM149)),0),AM30*$BI30),AM30*$BI30),0)</f>
        <v>0</v>
      </c>
      <c r="CQ30" s="314">
        <f>IF($BI30&lt;&gt;"",IF('Capacity summary'!$D$14="Yes",IF(COUNTBLANK('Capacity summary'!$H149:$BG149)&lt;52,IF('Capacity summary'!AN149&lt;&gt;"",IF(LOWER('Capacity summary'!AN149)="x",$BI30*AN30,VALUE('Capacity summary'!AN149)),0),AN30*$BI30),AN30*$BI30),0)</f>
        <v>0</v>
      </c>
      <c r="CR30" s="314">
        <f>IF($BI30&lt;&gt;"",IF('Capacity summary'!$D$14="Yes",IF(COUNTBLANK('Capacity summary'!$H149:$BG149)&lt;52,IF('Capacity summary'!AO149&lt;&gt;"",IF(LOWER('Capacity summary'!AO149)="x",$BI30*AO30,VALUE('Capacity summary'!AO149)),0),AO30*$BI30),AO30*$BI30),0)</f>
        <v>0</v>
      </c>
      <c r="CS30" s="314">
        <f>IF($BI30&lt;&gt;"",IF('Capacity summary'!$D$14="Yes",IF(COUNTBLANK('Capacity summary'!$H149:$BG149)&lt;52,IF('Capacity summary'!AP149&lt;&gt;"",IF(LOWER('Capacity summary'!AP149)="x",$BI30*AP30,VALUE('Capacity summary'!AP149)),0),AP30*$BI30),AP30*$BI30),0)</f>
        <v>0</v>
      </c>
      <c r="CT30" s="314">
        <f>IF($BI30&lt;&gt;"",IF('Capacity summary'!$D$14="Yes",IF(COUNTBLANK('Capacity summary'!$H149:$BG149)&lt;52,IF('Capacity summary'!AQ149&lt;&gt;"",IF(LOWER('Capacity summary'!AQ149)="x",$BI30*AQ30,VALUE('Capacity summary'!AQ149)),0),AQ30*$BI30),AQ30*$BI30),0)</f>
        <v>0</v>
      </c>
      <c r="CU30" s="314">
        <f>IF($BI30&lt;&gt;"",IF('Capacity summary'!$D$14="Yes",IF(COUNTBLANK('Capacity summary'!$H149:$BG149)&lt;52,IF('Capacity summary'!AR149&lt;&gt;"",IF(LOWER('Capacity summary'!AR149)="x",$BI30*AR30,VALUE('Capacity summary'!AR149)),0),AR30*$BI30),AR30*$BI30),0)</f>
        <v>0</v>
      </c>
      <c r="CV30" s="314">
        <f>IF($BI30&lt;&gt;"",IF('Capacity summary'!$D$14="Yes",IF(COUNTBLANK('Capacity summary'!$H149:$BG149)&lt;52,IF('Capacity summary'!AS149&lt;&gt;"",IF(LOWER('Capacity summary'!AS149)="x",$BI30*AS30,VALUE('Capacity summary'!AS149)),0),AS30*$BI30),AS30*$BI30),0)</f>
        <v>0</v>
      </c>
      <c r="CW30" s="314">
        <f>IF($BI30&lt;&gt;"",IF('Capacity summary'!$D$14="Yes",IF(COUNTBLANK('Capacity summary'!$H149:$BG149)&lt;52,IF('Capacity summary'!AT149&lt;&gt;"",IF(LOWER('Capacity summary'!AT149)="x",$BI30*AT30,VALUE('Capacity summary'!AT149)),0),AT30*$BI30),AT30*$BI30),0)</f>
        <v>0</v>
      </c>
      <c r="CX30" s="314">
        <f>IF($BI30&lt;&gt;"",IF('Capacity summary'!$D$14="Yes",IF(COUNTBLANK('Capacity summary'!$H149:$BG149)&lt;52,IF('Capacity summary'!AU149&lt;&gt;"",IF(LOWER('Capacity summary'!AU149)="x",$BI30*AU30,VALUE('Capacity summary'!AU149)),0),AU30*$BI30),AU30*$BI30),0)</f>
        <v>0</v>
      </c>
      <c r="CY30" s="314">
        <f>IF($BI30&lt;&gt;"",IF('Capacity summary'!$D$14="Yes",IF(COUNTBLANK('Capacity summary'!$H149:$BG149)&lt;52,IF('Capacity summary'!AV149&lt;&gt;"",IF(LOWER('Capacity summary'!AV149)="x",$BI30*AV30,VALUE('Capacity summary'!AV149)),0),AV30*$BI30),AV30*$BI30),0)</f>
        <v>0</v>
      </c>
      <c r="CZ30" s="314">
        <f>IF($BI30&lt;&gt;"",IF('Capacity summary'!$D$14="Yes",IF(COUNTBLANK('Capacity summary'!$H149:$BG149)&lt;52,IF('Capacity summary'!AW149&lt;&gt;"",IF(LOWER('Capacity summary'!AW149)="x",$BI30*AW30,VALUE('Capacity summary'!AW149)),0),AW30*$BI30),AW30*$BI30),0)</f>
        <v>0</v>
      </c>
      <c r="DA30" s="314">
        <f>IF($BI30&lt;&gt;"",IF('Capacity summary'!$D$14="Yes",IF(COUNTBLANK('Capacity summary'!$H149:$BG149)&lt;52,IF('Capacity summary'!AX149&lt;&gt;"",IF(LOWER('Capacity summary'!AX149)="x",$BI30*AX30,VALUE('Capacity summary'!AX149)),0),AX30*$BI30),AX30*$BI30),0)</f>
        <v>0</v>
      </c>
      <c r="DB30" s="314">
        <f>IF($BI30&lt;&gt;"",IF('Capacity summary'!$D$14="Yes",IF(COUNTBLANK('Capacity summary'!$H149:$BG149)&lt;52,IF('Capacity summary'!AY149&lt;&gt;"",IF(LOWER('Capacity summary'!AY149)="x",$BI30*AY30,VALUE('Capacity summary'!AY149)),0),AY30*$BI30),AY30*$BI30),0)</f>
        <v>0</v>
      </c>
      <c r="DC30" s="314">
        <f>IF($BI30&lt;&gt;"",IF('Capacity summary'!$D$14="Yes",IF(COUNTBLANK('Capacity summary'!$H149:$BG149)&lt;52,IF('Capacity summary'!AZ149&lt;&gt;"",IF(LOWER('Capacity summary'!AZ149)="x",$BI30*AZ30,VALUE('Capacity summary'!AZ149)),0),AZ30*$BI30),AZ30*$BI30),0)</f>
        <v>0</v>
      </c>
      <c r="DD30" s="314">
        <f>IF($BI30&lt;&gt;"",IF('Capacity summary'!$D$14="Yes",IF(COUNTBLANK('Capacity summary'!$H149:$BG149)&lt;52,IF('Capacity summary'!BA149&lt;&gt;"",IF(LOWER('Capacity summary'!BA149)="x",$BI30*BA30,VALUE('Capacity summary'!BA149)),0),BA30*$BI30),BA30*$BI30),0)</f>
        <v>0</v>
      </c>
      <c r="DE30" s="314">
        <f>IF($BI30&lt;&gt;"",IF('Capacity summary'!$D$14="Yes",IF(COUNTBLANK('Capacity summary'!$H149:$BG149)&lt;52,IF('Capacity summary'!BB149&lt;&gt;"",IF(LOWER('Capacity summary'!BB149)="x",$BI30*BB30,VALUE('Capacity summary'!BB149)),0),BB30*$BI30),BB30*$BI30),0)</f>
        <v>0</v>
      </c>
      <c r="DF30" s="314">
        <f>IF($BI30&lt;&gt;"",IF('Capacity summary'!$D$14="Yes",IF(COUNTBLANK('Capacity summary'!$H149:$BG149)&lt;52,IF('Capacity summary'!BC149&lt;&gt;"",IF(LOWER('Capacity summary'!BC149)="x",$BI30*BC30,VALUE('Capacity summary'!BC149)),0),BC30*$BI30),BC30*$BI30),0)</f>
        <v>0</v>
      </c>
      <c r="DG30" s="314">
        <f>IF($BI30&lt;&gt;"",IF('Capacity summary'!$D$14="Yes",IF(COUNTBLANK('Capacity summary'!$H149:$BG149)&lt;52,IF('Capacity summary'!BD149&lt;&gt;"",IF(LOWER('Capacity summary'!BD149)="x",$BI30*BD30,VALUE('Capacity summary'!BD149)),0),BD30*$BI30),BD30*$BI30),0)</f>
        <v>0</v>
      </c>
      <c r="DH30" s="314">
        <f>IF($BI30&lt;&gt;"",IF('Capacity summary'!$D$14="Yes",IF(COUNTBLANK('Capacity summary'!$H149:$BG149)&lt;52,IF('Capacity summary'!BE149&lt;&gt;"",IF(LOWER('Capacity summary'!BE149)="x",$BI30*BE30,VALUE('Capacity summary'!BE149)),0),BE30*$BI30),BE30*$BI30),0)</f>
        <v>0</v>
      </c>
      <c r="DI30" s="314">
        <f>IF($BI30&lt;&gt;"",IF('Capacity summary'!$D$14="Yes",IF(COUNTBLANK('Capacity summary'!$H149:$BG149)&lt;52,IF('Capacity summary'!BF149&lt;&gt;"",IF(LOWER('Capacity summary'!BF149)="x",$BI30*BF30,VALUE('Capacity summary'!BF149)),0),BF30*$BI30),BF30*$BI30),0)</f>
        <v>0</v>
      </c>
      <c r="DJ30" s="314">
        <f>IF($BI30&lt;&gt;"",IF('Capacity summary'!$D$14="Yes",IF(COUNTBLANK('Capacity summary'!$H149:$BG149)&lt;52,IF('Capacity summary'!BG149&lt;&gt;"",IF(LOWER('Capacity summary'!BG149)="x",$BI30*BG30,VALUE('Capacity summary'!BG149)),0),BG30*$BI30),BG30*$BI30),0)</f>
        <v>0</v>
      </c>
      <c r="DK30" s="137">
        <f t="shared" si="2"/>
        <v>0</v>
      </c>
      <c r="DL30" s="314" t="str">
        <f>Capacity!H42</f>
        <v/>
      </c>
      <c r="DP30" s="5"/>
    </row>
    <row r="31" spans="2:120" x14ac:dyDescent="0.25">
      <c r="B31" s="67"/>
      <c r="C31" s="67" t="str">
        <f>ROW(A27)&amp;". "&amp;Capacity!B43</f>
        <v xml:space="preserve">27. </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IF(ROW(C27)&lt;=Capacity!$A$16,IF('Capacity summary'!$D$14="No",SUM(H31:BG31),'Capacity summary'!$E150),0)</f>
        <v>0</v>
      </c>
      <c r="BI31" s="5" t="str">
        <f>IF(BH31&gt;0,IF(BH31&lt;Capacity!E43,Capacity!F43,Capacity!H43/'Capacity calculation (hide)'!BH31),"")</f>
        <v/>
      </c>
      <c r="BK31" s="314">
        <f>IF($BI31&lt;&gt;"",IF('Capacity summary'!$D$14="Yes",IF(COUNTBLANK('Capacity summary'!$H150:$BG150)&lt;52,IF('Capacity summary'!H150&lt;&gt;"",IF(LOWER('Capacity summary'!H150)="x",$BI31*H31,VALUE('Capacity summary'!H150)),0),H31*$BI31),H31*$BI31),0)</f>
        <v>0</v>
      </c>
      <c r="BL31" s="314">
        <f>IF($BI31&lt;&gt;"",IF('Capacity summary'!$D$14="Yes",IF(COUNTBLANK('Capacity summary'!$H150:$BG150)&lt;52,IF('Capacity summary'!I150&lt;&gt;"",IF(LOWER('Capacity summary'!I150)="x",$BI31*I31,VALUE('Capacity summary'!I150)),0),I31*$BI31),I31*$BI31),0)</f>
        <v>0</v>
      </c>
      <c r="BM31" s="314">
        <f>IF($BI31&lt;&gt;"",IF('Capacity summary'!$D$14="Yes",IF(COUNTBLANK('Capacity summary'!$H150:$BG150)&lt;52,IF('Capacity summary'!J150&lt;&gt;"",IF(LOWER('Capacity summary'!J150)="x",$BI31*J31,VALUE('Capacity summary'!J150)),0),J31*$BI31),J31*$BI31),0)</f>
        <v>0</v>
      </c>
      <c r="BN31" s="314">
        <f>IF($BI31&lt;&gt;"",IF('Capacity summary'!$D$14="Yes",IF(COUNTBLANK('Capacity summary'!$H150:$BG150)&lt;52,IF('Capacity summary'!K150&lt;&gt;"",IF(LOWER('Capacity summary'!K150)="x",$BI31*K31,VALUE('Capacity summary'!K150)),0),K31*$BI31),K31*$BI31),0)</f>
        <v>0</v>
      </c>
      <c r="BO31" s="314">
        <f>IF($BI31&lt;&gt;"",IF('Capacity summary'!$D$14="Yes",IF(COUNTBLANK('Capacity summary'!$H150:$BG150)&lt;52,IF('Capacity summary'!L150&lt;&gt;"",IF(LOWER('Capacity summary'!L150)="x",$BI31*L31,VALUE('Capacity summary'!L150)),0),L31*$BI31),L31*$BI31),0)</f>
        <v>0</v>
      </c>
      <c r="BP31" s="314">
        <f>IF($BI31&lt;&gt;"",IF('Capacity summary'!$D$14="Yes",IF(COUNTBLANK('Capacity summary'!$H150:$BG150)&lt;52,IF('Capacity summary'!M150&lt;&gt;"",IF(LOWER('Capacity summary'!M150)="x",$BI31*M31,VALUE('Capacity summary'!M150)),0),M31*$BI31),M31*$BI31),0)</f>
        <v>0</v>
      </c>
      <c r="BQ31" s="314">
        <f>IF($BI31&lt;&gt;"",IF('Capacity summary'!$D$14="Yes",IF(COUNTBLANK('Capacity summary'!$H150:$BG150)&lt;52,IF('Capacity summary'!N150&lt;&gt;"",IF(LOWER('Capacity summary'!N150)="x",$BI31*N31,VALUE('Capacity summary'!N150)),0),N31*$BI31),N31*$BI31),0)</f>
        <v>0</v>
      </c>
      <c r="BR31" s="314">
        <f>IF($BI31&lt;&gt;"",IF('Capacity summary'!$D$14="Yes",IF(COUNTBLANK('Capacity summary'!$H150:$BG150)&lt;52,IF('Capacity summary'!O150&lt;&gt;"",IF(LOWER('Capacity summary'!O150)="x",$BI31*O31,VALUE('Capacity summary'!O150)),0),O31*$BI31),O31*$BI31),0)</f>
        <v>0</v>
      </c>
      <c r="BS31" s="314">
        <f>IF($BI31&lt;&gt;"",IF('Capacity summary'!$D$14="Yes",IF(COUNTBLANK('Capacity summary'!$H150:$BG150)&lt;52,IF('Capacity summary'!P150&lt;&gt;"",IF(LOWER('Capacity summary'!P150)="x",$BI31*P31,VALUE('Capacity summary'!P150)),0),P31*$BI31),P31*$BI31),0)</f>
        <v>0</v>
      </c>
      <c r="BT31" s="314">
        <f>IF($BI31&lt;&gt;"",IF('Capacity summary'!$D$14="Yes",IF(COUNTBLANK('Capacity summary'!$H150:$BG150)&lt;52,IF('Capacity summary'!Q150&lt;&gt;"",IF(LOWER('Capacity summary'!Q150)="x",$BI31*Q31,VALUE('Capacity summary'!Q150)),0),Q31*$BI31),Q31*$BI31),0)</f>
        <v>0</v>
      </c>
      <c r="BU31" s="314">
        <f>IF($BI31&lt;&gt;"",IF('Capacity summary'!$D$14="Yes",IF(COUNTBLANK('Capacity summary'!$H150:$BG150)&lt;52,IF('Capacity summary'!R150&lt;&gt;"",IF(LOWER('Capacity summary'!R150)="x",$BI31*R31,VALUE('Capacity summary'!R150)),0),R31*$BI31),R31*$BI31),0)</f>
        <v>0</v>
      </c>
      <c r="BV31" s="314">
        <f>IF($BI31&lt;&gt;"",IF('Capacity summary'!$D$14="Yes",IF(COUNTBLANK('Capacity summary'!$H150:$BG150)&lt;52,IF('Capacity summary'!S150&lt;&gt;"",IF(LOWER('Capacity summary'!S150)="x",$BI31*S31,VALUE('Capacity summary'!S150)),0),S31*$BI31),S31*$BI31),0)</f>
        <v>0</v>
      </c>
      <c r="BW31" s="314">
        <f>IF($BI31&lt;&gt;"",IF('Capacity summary'!$D$14="Yes",IF(COUNTBLANK('Capacity summary'!$H150:$BG150)&lt;52,IF('Capacity summary'!T150&lt;&gt;"",IF(LOWER('Capacity summary'!T150)="x",$BI31*T31,VALUE('Capacity summary'!T150)),0),T31*$BI31),T31*$BI31),0)</f>
        <v>0</v>
      </c>
      <c r="BX31" s="314">
        <f>IF($BI31&lt;&gt;"",IF('Capacity summary'!$D$14="Yes",IF(COUNTBLANK('Capacity summary'!$H150:$BG150)&lt;52,IF('Capacity summary'!U150&lt;&gt;"",IF(LOWER('Capacity summary'!U150)="x",$BI31*U31,VALUE('Capacity summary'!U150)),0),U31*$BI31),U31*$BI31),0)</f>
        <v>0</v>
      </c>
      <c r="BY31" s="314">
        <f>IF($BI31&lt;&gt;"",IF('Capacity summary'!$D$14="Yes",IF(COUNTBLANK('Capacity summary'!$H150:$BG150)&lt;52,IF('Capacity summary'!V150&lt;&gt;"",IF(LOWER('Capacity summary'!V150)="x",$BI31*V31,VALUE('Capacity summary'!V150)),0),V31*$BI31),V31*$BI31),0)</f>
        <v>0</v>
      </c>
      <c r="BZ31" s="314">
        <f>IF($BI31&lt;&gt;"",IF('Capacity summary'!$D$14="Yes",IF(COUNTBLANK('Capacity summary'!$H150:$BG150)&lt;52,IF('Capacity summary'!W150&lt;&gt;"",IF(LOWER('Capacity summary'!W150)="x",$BI31*W31,VALUE('Capacity summary'!W150)),0),W31*$BI31),W31*$BI31),0)</f>
        <v>0</v>
      </c>
      <c r="CA31" s="314">
        <f>IF($BI31&lt;&gt;"",IF('Capacity summary'!$D$14="Yes",IF(COUNTBLANK('Capacity summary'!$H150:$BG150)&lt;52,IF('Capacity summary'!X150&lt;&gt;"",IF(LOWER('Capacity summary'!X150)="x",$BI31*X31,VALUE('Capacity summary'!X150)),0),X31*$BI31),X31*$BI31),0)</f>
        <v>0</v>
      </c>
      <c r="CB31" s="314">
        <f>IF($BI31&lt;&gt;"",IF('Capacity summary'!$D$14="Yes",IF(COUNTBLANK('Capacity summary'!$H150:$BG150)&lt;52,IF('Capacity summary'!Y150&lt;&gt;"",IF(LOWER('Capacity summary'!Y150)="x",$BI31*Y31,VALUE('Capacity summary'!Y150)),0),Y31*$BI31),Y31*$BI31),0)</f>
        <v>0</v>
      </c>
      <c r="CC31" s="314">
        <f>IF($BI31&lt;&gt;"",IF('Capacity summary'!$D$14="Yes",IF(COUNTBLANK('Capacity summary'!$H150:$BG150)&lt;52,IF('Capacity summary'!Z150&lt;&gt;"",IF(LOWER('Capacity summary'!Z150)="x",$BI31*Z31,VALUE('Capacity summary'!Z150)),0),Z31*$BI31),Z31*$BI31),0)</f>
        <v>0</v>
      </c>
      <c r="CD31" s="314">
        <f>IF($BI31&lt;&gt;"",IF('Capacity summary'!$D$14="Yes",IF(COUNTBLANK('Capacity summary'!$H150:$BG150)&lt;52,IF('Capacity summary'!AA150&lt;&gt;"",IF(LOWER('Capacity summary'!AA150)="x",$BI31*AA31,VALUE('Capacity summary'!AA150)),0),AA31*$BI31),AA31*$BI31),0)</f>
        <v>0</v>
      </c>
      <c r="CE31" s="314">
        <f>IF($BI31&lt;&gt;"",IF('Capacity summary'!$D$14="Yes",IF(COUNTBLANK('Capacity summary'!$H150:$BG150)&lt;52,IF('Capacity summary'!AB150&lt;&gt;"",IF(LOWER('Capacity summary'!AB150)="x",$BI31*AB31,VALUE('Capacity summary'!AB150)),0),AB31*$BI31),AB31*$BI31),0)</f>
        <v>0</v>
      </c>
      <c r="CF31" s="314">
        <f>IF($BI31&lt;&gt;"",IF('Capacity summary'!$D$14="Yes",IF(COUNTBLANK('Capacity summary'!$H150:$BG150)&lt;52,IF('Capacity summary'!AC150&lt;&gt;"",IF(LOWER('Capacity summary'!AC150)="x",$BI31*AC31,VALUE('Capacity summary'!AC150)),0),AC31*$BI31),AC31*$BI31),0)</f>
        <v>0</v>
      </c>
      <c r="CG31" s="314">
        <f>IF($BI31&lt;&gt;"",IF('Capacity summary'!$D$14="Yes",IF(COUNTBLANK('Capacity summary'!$H150:$BG150)&lt;52,IF('Capacity summary'!AD150&lt;&gt;"",IF(LOWER('Capacity summary'!AD150)="x",$BI31*AD31,VALUE('Capacity summary'!AD150)),0),AD31*$BI31),AD31*$BI31),0)</f>
        <v>0</v>
      </c>
      <c r="CH31" s="314">
        <f>IF($BI31&lt;&gt;"",IF('Capacity summary'!$D$14="Yes",IF(COUNTBLANK('Capacity summary'!$H150:$BG150)&lt;52,IF('Capacity summary'!AE150&lt;&gt;"",IF(LOWER('Capacity summary'!AE150)="x",$BI31*AE31,VALUE('Capacity summary'!AE150)),0),AE31*$BI31),AE31*$BI31),0)</f>
        <v>0</v>
      </c>
      <c r="CI31" s="314">
        <f>IF($BI31&lt;&gt;"",IF('Capacity summary'!$D$14="Yes",IF(COUNTBLANK('Capacity summary'!$H150:$BG150)&lt;52,IF('Capacity summary'!AF150&lt;&gt;"",IF(LOWER('Capacity summary'!AF150)="x",$BI31*AF31,VALUE('Capacity summary'!AF150)),0),AF31*$BI31),AF31*$BI31),0)</f>
        <v>0</v>
      </c>
      <c r="CJ31" s="314">
        <f>IF($BI31&lt;&gt;"",IF('Capacity summary'!$D$14="Yes",IF(COUNTBLANK('Capacity summary'!$H150:$BG150)&lt;52,IF('Capacity summary'!AG150&lt;&gt;"",IF(LOWER('Capacity summary'!AG150)="x",$BI31*AG31,VALUE('Capacity summary'!AG150)),0),AG31*$BI31),AG31*$BI31),0)</f>
        <v>0</v>
      </c>
      <c r="CK31" s="314">
        <f>IF($BI31&lt;&gt;"",IF('Capacity summary'!$D$14="Yes",IF(COUNTBLANK('Capacity summary'!$H150:$BG150)&lt;52,IF('Capacity summary'!AH150&lt;&gt;"",IF(LOWER('Capacity summary'!AH150)="x",$BI31*AH31,VALUE('Capacity summary'!AH150)),0),AH31*$BI31),AH31*$BI31),0)</f>
        <v>0</v>
      </c>
      <c r="CL31" s="314">
        <f>IF($BI31&lt;&gt;"",IF('Capacity summary'!$D$14="Yes",IF(COUNTBLANK('Capacity summary'!$H150:$BG150)&lt;52,IF('Capacity summary'!AI150&lt;&gt;"",IF(LOWER('Capacity summary'!AI150)="x",$BI31*AI31,VALUE('Capacity summary'!AI150)),0),AI31*$BI31),AI31*$BI31),0)</f>
        <v>0</v>
      </c>
      <c r="CM31" s="314">
        <f>IF($BI31&lt;&gt;"",IF('Capacity summary'!$D$14="Yes",IF(COUNTBLANK('Capacity summary'!$H150:$BG150)&lt;52,IF('Capacity summary'!AJ150&lt;&gt;"",IF(LOWER('Capacity summary'!AJ150)="x",$BI31*AJ31,VALUE('Capacity summary'!AJ150)),0),AJ31*$BI31),AJ31*$BI31),0)</f>
        <v>0</v>
      </c>
      <c r="CN31" s="314">
        <f>IF($BI31&lt;&gt;"",IF('Capacity summary'!$D$14="Yes",IF(COUNTBLANK('Capacity summary'!$H150:$BG150)&lt;52,IF('Capacity summary'!AK150&lt;&gt;"",IF(LOWER('Capacity summary'!AK150)="x",$BI31*AK31,VALUE('Capacity summary'!AK150)),0),AK31*$BI31),AK31*$BI31),0)</f>
        <v>0</v>
      </c>
      <c r="CO31" s="314">
        <f>IF($BI31&lt;&gt;"",IF('Capacity summary'!$D$14="Yes",IF(COUNTBLANK('Capacity summary'!$H150:$BG150)&lt;52,IF('Capacity summary'!AL150&lt;&gt;"",IF(LOWER('Capacity summary'!AL150)="x",$BI31*AL31,VALUE('Capacity summary'!AL150)),0),AL31*$BI31),AL31*$BI31),0)</f>
        <v>0</v>
      </c>
      <c r="CP31" s="314">
        <f>IF($BI31&lt;&gt;"",IF('Capacity summary'!$D$14="Yes",IF(COUNTBLANK('Capacity summary'!$H150:$BG150)&lt;52,IF('Capacity summary'!AM150&lt;&gt;"",IF(LOWER('Capacity summary'!AM150)="x",$BI31*AM31,VALUE('Capacity summary'!AM150)),0),AM31*$BI31),AM31*$BI31),0)</f>
        <v>0</v>
      </c>
      <c r="CQ31" s="314">
        <f>IF($BI31&lt;&gt;"",IF('Capacity summary'!$D$14="Yes",IF(COUNTBLANK('Capacity summary'!$H150:$BG150)&lt;52,IF('Capacity summary'!AN150&lt;&gt;"",IF(LOWER('Capacity summary'!AN150)="x",$BI31*AN31,VALUE('Capacity summary'!AN150)),0),AN31*$BI31),AN31*$BI31),0)</f>
        <v>0</v>
      </c>
      <c r="CR31" s="314">
        <f>IF($BI31&lt;&gt;"",IF('Capacity summary'!$D$14="Yes",IF(COUNTBLANK('Capacity summary'!$H150:$BG150)&lt;52,IF('Capacity summary'!AO150&lt;&gt;"",IF(LOWER('Capacity summary'!AO150)="x",$BI31*AO31,VALUE('Capacity summary'!AO150)),0),AO31*$BI31),AO31*$BI31),0)</f>
        <v>0</v>
      </c>
      <c r="CS31" s="314">
        <f>IF($BI31&lt;&gt;"",IF('Capacity summary'!$D$14="Yes",IF(COUNTBLANK('Capacity summary'!$H150:$BG150)&lt;52,IF('Capacity summary'!AP150&lt;&gt;"",IF(LOWER('Capacity summary'!AP150)="x",$BI31*AP31,VALUE('Capacity summary'!AP150)),0),AP31*$BI31),AP31*$BI31),0)</f>
        <v>0</v>
      </c>
      <c r="CT31" s="314">
        <f>IF($BI31&lt;&gt;"",IF('Capacity summary'!$D$14="Yes",IF(COUNTBLANK('Capacity summary'!$H150:$BG150)&lt;52,IF('Capacity summary'!AQ150&lt;&gt;"",IF(LOWER('Capacity summary'!AQ150)="x",$BI31*AQ31,VALUE('Capacity summary'!AQ150)),0),AQ31*$BI31),AQ31*$BI31),0)</f>
        <v>0</v>
      </c>
      <c r="CU31" s="314">
        <f>IF($BI31&lt;&gt;"",IF('Capacity summary'!$D$14="Yes",IF(COUNTBLANK('Capacity summary'!$H150:$BG150)&lt;52,IF('Capacity summary'!AR150&lt;&gt;"",IF(LOWER('Capacity summary'!AR150)="x",$BI31*AR31,VALUE('Capacity summary'!AR150)),0),AR31*$BI31),AR31*$BI31),0)</f>
        <v>0</v>
      </c>
      <c r="CV31" s="314">
        <f>IF($BI31&lt;&gt;"",IF('Capacity summary'!$D$14="Yes",IF(COUNTBLANK('Capacity summary'!$H150:$BG150)&lt;52,IF('Capacity summary'!AS150&lt;&gt;"",IF(LOWER('Capacity summary'!AS150)="x",$BI31*AS31,VALUE('Capacity summary'!AS150)),0),AS31*$BI31),AS31*$BI31),0)</f>
        <v>0</v>
      </c>
      <c r="CW31" s="314">
        <f>IF($BI31&lt;&gt;"",IF('Capacity summary'!$D$14="Yes",IF(COUNTBLANK('Capacity summary'!$H150:$BG150)&lt;52,IF('Capacity summary'!AT150&lt;&gt;"",IF(LOWER('Capacity summary'!AT150)="x",$BI31*AT31,VALUE('Capacity summary'!AT150)),0),AT31*$BI31),AT31*$BI31),0)</f>
        <v>0</v>
      </c>
      <c r="CX31" s="314">
        <f>IF($BI31&lt;&gt;"",IF('Capacity summary'!$D$14="Yes",IF(COUNTBLANK('Capacity summary'!$H150:$BG150)&lt;52,IF('Capacity summary'!AU150&lt;&gt;"",IF(LOWER('Capacity summary'!AU150)="x",$BI31*AU31,VALUE('Capacity summary'!AU150)),0),AU31*$BI31),AU31*$BI31),0)</f>
        <v>0</v>
      </c>
      <c r="CY31" s="314">
        <f>IF($BI31&lt;&gt;"",IF('Capacity summary'!$D$14="Yes",IF(COUNTBLANK('Capacity summary'!$H150:$BG150)&lt;52,IF('Capacity summary'!AV150&lt;&gt;"",IF(LOWER('Capacity summary'!AV150)="x",$BI31*AV31,VALUE('Capacity summary'!AV150)),0),AV31*$BI31),AV31*$BI31),0)</f>
        <v>0</v>
      </c>
      <c r="CZ31" s="314">
        <f>IF($BI31&lt;&gt;"",IF('Capacity summary'!$D$14="Yes",IF(COUNTBLANK('Capacity summary'!$H150:$BG150)&lt;52,IF('Capacity summary'!AW150&lt;&gt;"",IF(LOWER('Capacity summary'!AW150)="x",$BI31*AW31,VALUE('Capacity summary'!AW150)),0),AW31*$BI31),AW31*$BI31),0)</f>
        <v>0</v>
      </c>
      <c r="DA31" s="314">
        <f>IF($BI31&lt;&gt;"",IF('Capacity summary'!$D$14="Yes",IF(COUNTBLANK('Capacity summary'!$H150:$BG150)&lt;52,IF('Capacity summary'!AX150&lt;&gt;"",IF(LOWER('Capacity summary'!AX150)="x",$BI31*AX31,VALUE('Capacity summary'!AX150)),0),AX31*$BI31),AX31*$BI31),0)</f>
        <v>0</v>
      </c>
      <c r="DB31" s="314">
        <f>IF($BI31&lt;&gt;"",IF('Capacity summary'!$D$14="Yes",IF(COUNTBLANK('Capacity summary'!$H150:$BG150)&lt;52,IF('Capacity summary'!AY150&lt;&gt;"",IF(LOWER('Capacity summary'!AY150)="x",$BI31*AY31,VALUE('Capacity summary'!AY150)),0),AY31*$BI31),AY31*$BI31),0)</f>
        <v>0</v>
      </c>
      <c r="DC31" s="314">
        <f>IF($BI31&lt;&gt;"",IF('Capacity summary'!$D$14="Yes",IF(COUNTBLANK('Capacity summary'!$H150:$BG150)&lt;52,IF('Capacity summary'!AZ150&lt;&gt;"",IF(LOWER('Capacity summary'!AZ150)="x",$BI31*AZ31,VALUE('Capacity summary'!AZ150)),0),AZ31*$BI31),AZ31*$BI31),0)</f>
        <v>0</v>
      </c>
      <c r="DD31" s="314">
        <f>IF($BI31&lt;&gt;"",IF('Capacity summary'!$D$14="Yes",IF(COUNTBLANK('Capacity summary'!$H150:$BG150)&lt;52,IF('Capacity summary'!BA150&lt;&gt;"",IF(LOWER('Capacity summary'!BA150)="x",$BI31*BA31,VALUE('Capacity summary'!BA150)),0),BA31*$BI31),BA31*$BI31),0)</f>
        <v>0</v>
      </c>
      <c r="DE31" s="314">
        <f>IF($BI31&lt;&gt;"",IF('Capacity summary'!$D$14="Yes",IF(COUNTBLANK('Capacity summary'!$H150:$BG150)&lt;52,IF('Capacity summary'!BB150&lt;&gt;"",IF(LOWER('Capacity summary'!BB150)="x",$BI31*BB31,VALUE('Capacity summary'!BB150)),0),BB31*$BI31),BB31*$BI31),0)</f>
        <v>0</v>
      </c>
      <c r="DF31" s="314">
        <f>IF($BI31&lt;&gt;"",IF('Capacity summary'!$D$14="Yes",IF(COUNTBLANK('Capacity summary'!$H150:$BG150)&lt;52,IF('Capacity summary'!BC150&lt;&gt;"",IF(LOWER('Capacity summary'!BC150)="x",$BI31*BC31,VALUE('Capacity summary'!BC150)),0),BC31*$BI31),BC31*$BI31),0)</f>
        <v>0</v>
      </c>
      <c r="DG31" s="314">
        <f>IF($BI31&lt;&gt;"",IF('Capacity summary'!$D$14="Yes",IF(COUNTBLANK('Capacity summary'!$H150:$BG150)&lt;52,IF('Capacity summary'!BD150&lt;&gt;"",IF(LOWER('Capacity summary'!BD150)="x",$BI31*BD31,VALUE('Capacity summary'!BD150)),0),BD31*$BI31),BD31*$BI31),0)</f>
        <v>0</v>
      </c>
      <c r="DH31" s="314">
        <f>IF($BI31&lt;&gt;"",IF('Capacity summary'!$D$14="Yes",IF(COUNTBLANK('Capacity summary'!$H150:$BG150)&lt;52,IF('Capacity summary'!BE150&lt;&gt;"",IF(LOWER('Capacity summary'!BE150)="x",$BI31*BE31,VALUE('Capacity summary'!BE150)),0),BE31*$BI31),BE31*$BI31),0)</f>
        <v>0</v>
      </c>
      <c r="DI31" s="314">
        <f>IF($BI31&lt;&gt;"",IF('Capacity summary'!$D$14="Yes",IF(COUNTBLANK('Capacity summary'!$H150:$BG150)&lt;52,IF('Capacity summary'!BF150&lt;&gt;"",IF(LOWER('Capacity summary'!BF150)="x",$BI31*BF31,VALUE('Capacity summary'!BF150)),0),BF31*$BI31),BF31*$BI31),0)</f>
        <v>0</v>
      </c>
      <c r="DJ31" s="314">
        <f>IF($BI31&lt;&gt;"",IF('Capacity summary'!$D$14="Yes",IF(COUNTBLANK('Capacity summary'!$H150:$BG150)&lt;52,IF('Capacity summary'!BG150&lt;&gt;"",IF(LOWER('Capacity summary'!BG150)="x",$BI31*BG31,VALUE('Capacity summary'!BG150)),0),BG31*$BI31),BG31*$BI31),0)</f>
        <v>0</v>
      </c>
      <c r="DK31" s="137">
        <f t="shared" si="2"/>
        <v>0</v>
      </c>
      <c r="DL31" s="314" t="str">
        <f>Capacity!H43</f>
        <v/>
      </c>
      <c r="DP31" s="5"/>
    </row>
    <row r="32" spans="2:120" x14ac:dyDescent="0.25">
      <c r="B32" s="67"/>
      <c r="C32" s="67" t="str">
        <f>ROW(A28)&amp;". "&amp;Capacity!B44</f>
        <v xml:space="preserve">28. </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IF(ROW(C28)&lt;=Capacity!$A$16,IF('Capacity summary'!$D$14="No",SUM(H32:BG32),'Capacity summary'!$E151),0)</f>
        <v>0</v>
      </c>
      <c r="BI32" s="5" t="str">
        <f>IF(BH32&gt;0,IF(BH32&lt;Capacity!E44,Capacity!F44,Capacity!H44/'Capacity calculation (hide)'!BH32),"")</f>
        <v/>
      </c>
      <c r="BK32" s="314">
        <f>IF($BI32&lt;&gt;"",IF('Capacity summary'!$D$14="Yes",IF(COUNTBLANK('Capacity summary'!$H151:$BG151)&lt;52,IF('Capacity summary'!H151&lt;&gt;"",IF(LOWER('Capacity summary'!H151)="x",$BI32*H32,VALUE('Capacity summary'!H151)),0),H32*$BI32),H32*$BI32),0)</f>
        <v>0</v>
      </c>
      <c r="BL32" s="314">
        <f>IF($BI32&lt;&gt;"",IF('Capacity summary'!$D$14="Yes",IF(COUNTBLANK('Capacity summary'!$H151:$BG151)&lt;52,IF('Capacity summary'!I151&lt;&gt;"",IF(LOWER('Capacity summary'!I151)="x",$BI32*I32,VALUE('Capacity summary'!I151)),0),I32*$BI32),I32*$BI32),0)</f>
        <v>0</v>
      </c>
      <c r="BM32" s="314">
        <f>IF($BI32&lt;&gt;"",IF('Capacity summary'!$D$14="Yes",IF(COUNTBLANK('Capacity summary'!$H151:$BG151)&lt;52,IF('Capacity summary'!J151&lt;&gt;"",IF(LOWER('Capacity summary'!J151)="x",$BI32*J32,VALUE('Capacity summary'!J151)),0),J32*$BI32),J32*$BI32),0)</f>
        <v>0</v>
      </c>
      <c r="BN32" s="314">
        <f>IF($BI32&lt;&gt;"",IF('Capacity summary'!$D$14="Yes",IF(COUNTBLANK('Capacity summary'!$H151:$BG151)&lt;52,IF('Capacity summary'!K151&lt;&gt;"",IF(LOWER('Capacity summary'!K151)="x",$BI32*K32,VALUE('Capacity summary'!K151)),0),K32*$BI32),K32*$BI32),0)</f>
        <v>0</v>
      </c>
      <c r="BO32" s="314">
        <f>IF($BI32&lt;&gt;"",IF('Capacity summary'!$D$14="Yes",IF(COUNTBLANK('Capacity summary'!$H151:$BG151)&lt;52,IF('Capacity summary'!L151&lt;&gt;"",IF(LOWER('Capacity summary'!L151)="x",$BI32*L32,VALUE('Capacity summary'!L151)),0),L32*$BI32),L32*$BI32),0)</f>
        <v>0</v>
      </c>
      <c r="BP32" s="314">
        <f>IF($BI32&lt;&gt;"",IF('Capacity summary'!$D$14="Yes",IF(COUNTBLANK('Capacity summary'!$H151:$BG151)&lt;52,IF('Capacity summary'!M151&lt;&gt;"",IF(LOWER('Capacity summary'!M151)="x",$BI32*M32,VALUE('Capacity summary'!M151)),0),M32*$BI32),M32*$BI32),0)</f>
        <v>0</v>
      </c>
      <c r="BQ32" s="314">
        <f>IF($BI32&lt;&gt;"",IF('Capacity summary'!$D$14="Yes",IF(COUNTBLANK('Capacity summary'!$H151:$BG151)&lt;52,IF('Capacity summary'!N151&lt;&gt;"",IF(LOWER('Capacity summary'!N151)="x",$BI32*N32,VALUE('Capacity summary'!N151)),0),N32*$BI32),N32*$BI32),0)</f>
        <v>0</v>
      </c>
      <c r="BR32" s="314">
        <f>IF($BI32&lt;&gt;"",IF('Capacity summary'!$D$14="Yes",IF(COUNTBLANK('Capacity summary'!$H151:$BG151)&lt;52,IF('Capacity summary'!O151&lt;&gt;"",IF(LOWER('Capacity summary'!O151)="x",$BI32*O32,VALUE('Capacity summary'!O151)),0),O32*$BI32),O32*$BI32),0)</f>
        <v>0</v>
      </c>
      <c r="BS32" s="314">
        <f>IF($BI32&lt;&gt;"",IF('Capacity summary'!$D$14="Yes",IF(COUNTBLANK('Capacity summary'!$H151:$BG151)&lt;52,IF('Capacity summary'!P151&lt;&gt;"",IF(LOWER('Capacity summary'!P151)="x",$BI32*P32,VALUE('Capacity summary'!P151)),0),P32*$BI32),P32*$BI32),0)</f>
        <v>0</v>
      </c>
      <c r="BT32" s="314">
        <f>IF($BI32&lt;&gt;"",IF('Capacity summary'!$D$14="Yes",IF(COUNTBLANK('Capacity summary'!$H151:$BG151)&lt;52,IF('Capacity summary'!Q151&lt;&gt;"",IF(LOWER('Capacity summary'!Q151)="x",$BI32*Q32,VALUE('Capacity summary'!Q151)),0),Q32*$BI32),Q32*$BI32),0)</f>
        <v>0</v>
      </c>
      <c r="BU32" s="314">
        <f>IF($BI32&lt;&gt;"",IF('Capacity summary'!$D$14="Yes",IF(COUNTBLANK('Capacity summary'!$H151:$BG151)&lt;52,IF('Capacity summary'!R151&lt;&gt;"",IF(LOWER('Capacity summary'!R151)="x",$BI32*R32,VALUE('Capacity summary'!R151)),0),R32*$BI32),R32*$BI32),0)</f>
        <v>0</v>
      </c>
      <c r="BV32" s="314">
        <f>IF($BI32&lt;&gt;"",IF('Capacity summary'!$D$14="Yes",IF(COUNTBLANK('Capacity summary'!$H151:$BG151)&lt;52,IF('Capacity summary'!S151&lt;&gt;"",IF(LOWER('Capacity summary'!S151)="x",$BI32*S32,VALUE('Capacity summary'!S151)),0),S32*$BI32),S32*$BI32),0)</f>
        <v>0</v>
      </c>
      <c r="BW32" s="314">
        <f>IF($BI32&lt;&gt;"",IF('Capacity summary'!$D$14="Yes",IF(COUNTBLANK('Capacity summary'!$H151:$BG151)&lt;52,IF('Capacity summary'!T151&lt;&gt;"",IF(LOWER('Capacity summary'!T151)="x",$BI32*T32,VALUE('Capacity summary'!T151)),0),T32*$BI32),T32*$BI32),0)</f>
        <v>0</v>
      </c>
      <c r="BX32" s="314">
        <f>IF($BI32&lt;&gt;"",IF('Capacity summary'!$D$14="Yes",IF(COUNTBLANK('Capacity summary'!$H151:$BG151)&lt;52,IF('Capacity summary'!U151&lt;&gt;"",IF(LOWER('Capacity summary'!U151)="x",$BI32*U32,VALUE('Capacity summary'!U151)),0),U32*$BI32),U32*$BI32),0)</f>
        <v>0</v>
      </c>
      <c r="BY32" s="314">
        <f>IF($BI32&lt;&gt;"",IF('Capacity summary'!$D$14="Yes",IF(COUNTBLANK('Capacity summary'!$H151:$BG151)&lt;52,IF('Capacity summary'!V151&lt;&gt;"",IF(LOWER('Capacity summary'!V151)="x",$BI32*V32,VALUE('Capacity summary'!V151)),0),V32*$BI32),V32*$BI32),0)</f>
        <v>0</v>
      </c>
      <c r="BZ32" s="314">
        <f>IF($BI32&lt;&gt;"",IF('Capacity summary'!$D$14="Yes",IF(COUNTBLANK('Capacity summary'!$H151:$BG151)&lt;52,IF('Capacity summary'!W151&lt;&gt;"",IF(LOWER('Capacity summary'!W151)="x",$BI32*W32,VALUE('Capacity summary'!W151)),0),W32*$BI32),W32*$BI32),0)</f>
        <v>0</v>
      </c>
      <c r="CA32" s="314">
        <f>IF($BI32&lt;&gt;"",IF('Capacity summary'!$D$14="Yes",IF(COUNTBLANK('Capacity summary'!$H151:$BG151)&lt;52,IF('Capacity summary'!X151&lt;&gt;"",IF(LOWER('Capacity summary'!X151)="x",$BI32*X32,VALUE('Capacity summary'!X151)),0),X32*$BI32),X32*$BI32),0)</f>
        <v>0</v>
      </c>
      <c r="CB32" s="314">
        <f>IF($BI32&lt;&gt;"",IF('Capacity summary'!$D$14="Yes",IF(COUNTBLANK('Capacity summary'!$H151:$BG151)&lt;52,IF('Capacity summary'!Y151&lt;&gt;"",IF(LOWER('Capacity summary'!Y151)="x",$BI32*Y32,VALUE('Capacity summary'!Y151)),0),Y32*$BI32),Y32*$BI32),0)</f>
        <v>0</v>
      </c>
      <c r="CC32" s="314">
        <f>IF($BI32&lt;&gt;"",IF('Capacity summary'!$D$14="Yes",IF(COUNTBLANK('Capacity summary'!$H151:$BG151)&lt;52,IF('Capacity summary'!Z151&lt;&gt;"",IF(LOWER('Capacity summary'!Z151)="x",$BI32*Z32,VALUE('Capacity summary'!Z151)),0),Z32*$BI32),Z32*$BI32),0)</f>
        <v>0</v>
      </c>
      <c r="CD32" s="314">
        <f>IF($BI32&lt;&gt;"",IF('Capacity summary'!$D$14="Yes",IF(COUNTBLANK('Capacity summary'!$H151:$BG151)&lt;52,IF('Capacity summary'!AA151&lt;&gt;"",IF(LOWER('Capacity summary'!AA151)="x",$BI32*AA32,VALUE('Capacity summary'!AA151)),0),AA32*$BI32),AA32*$BI32),0)</f>
        <v>0</v>
      </c>
      <c r="CE32" s="314">
        <f>IF($BI32&lt;&gt;"",IF('Capacity summary'!$D$14="Yes",IF(COUNTBLANK('Capacity summary'!$H151:$BG151)&lt;52,IF('Capacity summary'!AB151&lt;&gt;"",IF(LOWER('Capacity summary'!AB151)="x",$BI32*AB32,VALUE('Capacity summary'!AB151)),0),AB32*$BI32),AB32*$BI32),0)</f>
        <v>0</v>
      </c>
      <c r="CF32" s="314">
        <f>IF($BI32&lt;&gt;"",IF('Capacity summary'!$D$14="Yes",IF(COUNTBLANK('Capacity summary'!$H151:$BG151)&lt;52,IF('Capacity summary'!AC151&lt;&gt;"",IF(LOWER('Capacity summary'!AC151)="x",$BI32*AC32,VALUE('Capacity summary'!AC151)),0),AC32*$BI32),AC32*$BI32),0)</f>
        <v>0</v>
      </c>
      <c r="CG32" s="314">
        <f>IF($BI32&lt;&gt;"",IF('Capacity summary'!$D$14="Yes",IF(COUNTBLANK('Capacity summary'!$H151:$BG151)&lt;52,IF('Capacity summary'!AD151&lt;&gt;"",IF(LOWER('Capacity summary'!AD151)="x",$BI32*AD32,VALUE('Capacity summary'!AD151)),0),AD32*$BI32),AD32*$BI32),0)</f>
        <v>0</v>
      </c>
      <c r="CH32" s="314">
        <f>IF($BI32&lt;&gt;"",IF('Capacity summary'!$D$14="Yes",IF(COUNTBLANK('Capacity summary'!$H151:$BG151)&lt;52,IF('Capacity summary'!AE151&lt;&gt;"",IF(LOWER('Capacity summary'!AE151)="x",$BI32*AE32,VALUE('Capacity summary'!AE151)),0),AE32*$BI32),AE32*$BI32),0)</f>
        <v>0</v>
      </c>
      <c r="CI32" s="314">
        <f>IF($BI32&lt;&gt;"",IF('Capacity summary'!$D$14="Yes",IF(COUNTBLANK('Capacity summary'!$H151:$BG151)&lt;52,IF('Capacity summary'!AF151&lt;&gt;"",IF(LOWER('Capacity summary'!AF151)="x",$BI32*AF32,VALUE('Capacity summary'!AF151)),0),AF32*$BI32),AF32*$BI32),0)</f>
        <v>0</v>
      </c>
      <c r="CJ32" s="314">
        <f>IF($BI32&lt;&gt;"",IF('Capacity summary'!$D$14="Yes",IF(COUNTBLANK('Capacity summary'!$H151:$BG151)&lt;52,IF('Capacity summary'!AG151&lt;&gt;"",IF(LOWER('Capacity summary'!AG151)="x",$BI32*AG32,VALUE('Capacity summary'!AG151)),0),AG32*$BI32),AG32*$BI32),0)</f>
        <v>0</v>
      </c>
      <c r="CK32" s="314">
        <f>IF($BI32&lt;&gt;"",IF('Capacity summary'!$D$14="Yes",IF(COUNTBLANK('Capacity summary'!$H151:$BG151)&lt;52,IF('Capacity summary'!AH151&lt;&gt;"",IF(LOWER('Capacity summary'!AH151)="x",$BI32*AH32,VALUE('Capacity summary'!AH151)),0),AH32*$BI32),AH32*$BI32),0)</f>
        <v>0</v>
      </c>
      <c r="CL32" s="314">
        <f>IF($BI32&lt;&gt;"",IF('Capacity summary'!$D$14="Yes",IF(COUNTBLANK('Capacity summary'!$H151:$BG151)&lt;52,IF('Capacity summary'!AI151&lt;&gt;"",IF(LOWER('Capacity summary'!AI151)="x",$BI32*AI32,VALUE('Capacity summary'!AI151)),0),AI32*$BI32),AI32*$BI32),0)</f>
        <v>0</v>
      </c>
      <c r="CM32" s="314">
        <f>IF($BI32&lt;&gt;"",IF('Capacity summary'!$D$14="Yes",IF(COUNTBLANK('Capacity summary'!$H151:$BG151)&lt;52,IF('Capacity summary'!AJ151&lt;&gt;"",IF(LOWER('Capacity summary'!AJ151)="x",$BI32*AJ32,VALUE('Capacity summary'!AJ151)),0),AJ32*$BI32),AJ32*$BI32),0)</f>
        <v>0</v>
      </c>
      <c r="CN32" s="314">
        <f>IF($BI32&lt;&gt;"",IF('Capacity summary'!$D$14="Yes",IF(COUNTBLANK('Capacity summary'!$H151:$BG151)&lt;52,IF('Capacity summary'!AK151&lt;&gt;"",IF(LOWER('Capacity summary'!AK151)="x",$BI32*AK32,VALUE('Capacity summary'!AK151)),0),AK32*$BI32),AK32*$BI32),0)</f>
        <v>0</v>
      </c>
      <c r="CO32" s="314">
        <f>IF($BI32&lt;&gt;"",IF('Capacity summary'!$D$14="Yes",IF(COUNTBLANK('Capacity summary'!$H151:$BG151)&lt;52,IF('Capacity summary'!AL151&lt;&gt;"",IF(LOWER('Capacity summary'!AL151)="x",$BI32*AL32,VALUE('Capacity summary'!AL151)),0),AL32*$BI32),AL32*$BI32),0)</f>
        <v>0</v>
      </c>
      <c r="CP32" s="314">
        <f>IF($BI32&lt;&gt;"",IF('Capacity summary'!$D$14="Yes",IF(COUNTBLANK('Capacity summary'!$H151:$BG151)&lt;52,IF('Capacity summary'!AM151&lt;&gt;"",IF(LOWER('Capacity summary'!AM151)="x",$BI32*AM32,VALUE('Capacity summary'!AM151)),0),AM32*$BI32),AM32*$BI32),0)</f>
        <v>0</v>
      </c>
      <c r="CQ32" s="314">
        <f>IF($BI32&lt;&gt;"",IF('Capacity summary'!$D$14="Yes",IF(COUNTBLANK('Capacity summary'!$H151:$BG151)&lt;52,IF('Capacity summary'!AN151&lt;&gt;"",IF(LOWER('Capacity summary'!AN151)="x",$BI32*AN32,VALUE('Capacity summary'!AN151)),0),AN32*$BI32),AN32*$BI32),0)</f>
        <v>0</v>
      </c>
      <c r="CR32" s="314">
        <f>IF($BI32&lt;&gt;"",IF('Capacity summary'!$D$14="Yes",IF(COUNTBLANK('Capacity summary'!$H151:$BG151)&lt;52,IF('Capacity summary'!AO151&lt;&gt;"",IF(LOWER('Capacity summary'!AO151)="x",$BI32*AO32,VALUE('Capacity summary'!AO151)),0),AO32*$BI32),AO32*$BI32),0)</f>
        <v>0</v>
      </c>
      <c r="CS32" s="314">
        <f>IF($BI32&lt;&gt;"",IF('Capacity summary'!$D$14="Yes",IF(COUNTBLANK('Capacity summary'!$H151:$BG151)&lt;52,IF('Capacity summary'!AP151&lt;&gt;"",IF(LOWER('Capacity summary'!AP151)="x",$BI32*AP32,VALUE('Capacity summary'!AP151)),0),AP32*$BI32),AP32*$BI32),0)</f>
        <v>0</v>
      </c>
      <c r="CT32" s="314">
        <f>IF($BI32&lt;&gt;"",IF('Capacity summary'!$D$14="Yes",IF(COUNTBLANK('Capacity summary'!$H151:$BG151)&lt;52,IF('Capacity summary'!AQ151&lt;&gt;"",IF(LOWER('Capacity summary'!AQ151)="x",$BI32*AQ32,VALUE('Capacity summary'!AQ151)),0),AQ32*$BI32),AQ32*$BI32),0)</f>
        <v>0</v>
      </c>
      <c r="CU32" s="314">
        <f>IF($BI32&lt;&gt;"",IF('Capacity summary'!$D$14="Yes",IF(COUNTBLANK('Capacity summary'!$H151:$BG151)&lt;52,IF('Capacity summary'!AR151&lt;&gt;"",IF(LOWER('Capacity summary'!AR151)="x",$BI32*AR32,VALUE('Capacity summary'!AR151)),0),AR32*$BI32),AR32*$BI32),0)</f>
        <v>0</v>
      </c>
      <c r="CV32" s="314">
        <f>IF($BI32&lt;&gt;"",IF('Capacity summary'!$D$14="Yes",IF(COUNTBLANK('Capacity summary'!$H151:$BG151)&lt;52,IF('Capacity summary'!AS151&lt;&gt;"",IF(LOWER('Capacity summary'!AS151)="x",$BI32*AS32,VALUE('Capacity summary'!AS151)),0),AS32*$BI32),AS32*$BI32),0)</f>
        <v>0</v>
      </c>
      <c r="CW32" s="314">
        <f>IF($BI32&lt;&gt;"",IF('Capacity summary'!$D$14="Yes",IF(COUNTBLANK('Capacity summary'!$H151:$BG151)&lt;52,IF('Capacity summary'!AT151&lt;&gt;"",IF(LOWER('Capacity summary'!AT151)="x",$BI32*AT32,VALUE('Capacity summary'!AT151)),0),AT32*$BI32),AT32*$BI32),0)</f>
        <v>0</v>
      </c>
      <c r="CX32" s="314">
        <f>IF($BI32&lt;&gt;"",IF('Capacity summary'!$D$14="Yes",IF(COUNTBLANK('Capacity summary'!$H151:$BG151)&lt;52,IF('Capacity summary'!AU151&lt;&gt;"",IF(LOWER('Capacity summary'!AU151)="x",$BI32*AU32,VALUE('Capacity summary'!AU151)),0),AU32*$BI32),AU32*$BI32),0)</f>
        <v>0</v>
      </c>
      <c r="CY32" s="314">
        <f>IF($BI32&lt;&gt;"",IF('Capacity summary'!$D$14="Yes",IF(COUNTBLANK('Capacity summary'!$H151:$BG151)&lt;52,IF('Capacity summary'!AV151&lt;&gt;"",IF(LOWER('Capacity summary'!AV151)="x",$BI32*AV32,VALUE('Capacity summary'!AV151)),0),AV32*$BI32),AV32*$BI32),0)</f>
        <v>0</v>
      </c>
      <c r="CZ32" s="314">
        <f>IF($BI32&lt;&gt;"",IF('Capacity summary'!$D$14="Yes",IF(COUNTBLANK('Capacity summary'!$H151:$BG151)&lt;52,IF('Capacity summary'!AW151&lt;&gt;"",IF(LOWER('Capacity summary'!AW151)="x",$BI32*AW32,VALUE('Capacity summary'!AW151)),0),AW32*$BI32),AW32*$BI32),0)</f>
        <v>0</v>
      </c>
      <c r="DA32" s="314">
        <f>IF($BI32&lt;&gt;"",IF('Capacity summary'!$D$14="Yes",IF(COUNTBLANK('Capacity summary'!$H151:$BG151)&lt;52,IF('Capacity summary'!AX151&lt;&gt;"",IF(LOWER('Capacity summary'!AX151)="x",$BI32*AX32,VALUE('Capacity summary'!AX151)),0),AX32*$BI32),AX32*$BI32),0)</f>
        <v>0</v>
      </c>
      <c r="DB32" s="314">
        <f>IF($BI32&lt;&gt;"",IF('Capacity summary'!$D$14="Yes",IF(COUNTBLANK('Capacity summary'!$H151:$BG151)&lt;52,IF('Capacity summary'!AY151&lt;&gt;"",IF(LOWER('Capacity summary'!AY151)="x",$BI32*AY32,VALUE('Capacity summary'!AY151)),0),AY32*$BI32),AY32*$BI32),0)</f>
        <v>0</v>
      </c>
      <c r="DC32" s="314">
        <f>IF($BI32&lt;&gt;"",IF('Capacity summary'!$D$14="Yes",IF(COUNTBLANK('Capacity summary'!$H151:$BG151)&lt;52,IF('Capacity summary'!AZ151&lt;&gt;"",IF(LOWER('Capacity summary'!AZ151)="x",$BI32*AZ32,VALUE('Capacity summary'!AZ151)),0),AZ32*$BI32),AZ32*$BI32),0)</f>
        <v>0</v>
      </c>
      <c r="DD32" s="314">
        <f>IF($BI32&lt;&gt;"",IF('Capacity summary'!$D$14="Yes",IF(COUNTBLANK('Capacity summary'!$H151:$BG151)&lt;52,IF('Capacity summary'!BA151&lt;&gt;"",IF(LOWER('Capacity summary'!BA151)="x",$BI32*BA32,VALUE('Capacity summary'!BA151)),0),BA32*$BI32),BA32*$BI32),0)</f>
        <v>0</v>
      </c>
      <c r="DE32" s="314">
        <f>IF($BI32&lt;&gt;"",IF('Capacity summary'!$D$14="Yes",IF(COUNTBLANK('Capacity summary'!$H151:$BG151)&lt;52,IF('Capacity summary'!BB151&lt;&gt;"",IF(LOWER('Capacity summary'!BB151)="x",$BI32*BB32,VALUE('Capacity summary'!BB151)),0),BB32*$BI32),BB32*$BI32),0)</f>
        <v>0</v>
      </c>
      <c r="DF32" s="314">
        <f>IF($BI32&lt;&gt;"",IF('Capacity summary'!$D$14="Yes",IF(COUNTBLANK('Capacity summary'!$H151:$BG151)&lt;52,IF('Capacity summary'!BC151&lt;&gt;"",IF(LOWER('Capacity summary'!BC151)="x",$BI32*BC32,VALUE('Capacity summary'!BC151)),0),BC32*$BI32),BC32*$BI32),0)</f>
        <v>0</v>
      </c>
      <c r="DG32" s="314">
        <f>IF($BI32&lt;&gt;"",IF('Capacity summary'!$D$14="Yes",IF(COUNTBLANK('Capacity summary'!$H151:$BG151)&lt;52,IF('Capacity summary'!BD151&lt;&gt;"",IF(LOWER('Capacity summary'!BD151)="x",$BI32*BD32,VALUE('Capacity summary'!BD151)),0),BD32*$BI32),BD32*$BI32),0)</f>
        <v>0</v>
      </c>
      <c r="DH32" s="314">
        <f>IF($BI32&lt;&gt;"",IF('Capacity summary'!$D$14="Yes",IF(COUNTBLANK('Capacity summary'!$H151:$BG151)&lt;52,IF('Capacity summary'!BE151&lt;&gt;"",IF(LOWER('Capacity summary'!BE151)="x",$BI32*BE32,VALUE('Capacity summary'!BE151)),0),BE32*$BI32),BE32*$BI32),0)</f>
        <v>0</v>
      </c>
      <c r="DI32" s="314">
        <f>IF($BI32&lt;&gt;"",IF('Capacity summary'!$D$14="Yes",IF(COUNTBLANK('Capacity summary'!$H151:$BG151)&lt;52,IF('Capacity summary'!BF151&lt;&gt;"",IF(LOWER('Capacity summary'!BF151)="x",$BI32*BF32,VALUE('Capacity summary'!BF151)),0),BF32*$BI32),BF32*$BI32),0)</f>
        <v>0</v>
      </c>
      <c r="DJ32" s="314">
        <f>IF($BI32&lt;&gt;"",IF('Capacity summary'!$D$14="Yes",IF(COUNTBLANK('Capacity summary'!$H151:$BG151)&lt;52,IF('Capacity summary'!BG151&lt;&gt;"",IF(LOWER('Capacity summary'!BG151)="x",$BI32*BG32,VALUE('Capacity summary'!BG151)),0),BG32*$BI32),BG32*$BI32),0)</f>
        <v>0</v>
      </c>
      <c r="DK32" s="137">
        <f t="shared" si="2"/>
        <v>0</v>
      </c>
      <c r="DL32" s="314" t="str">
        <f>Capacity!H44</f>
        <v/>
      </c>
      <c r="DP32" s="5"/>
    </row>
    <row r="33" spans="2:120" x14ac:dyDescent="0.25">
      <c r="B33" s="67"/>
      <c r="C33" s="67" t="str">
        <f>ROW(A29)&amp;". "&amp;Capacity!B45</f>
        <v xml:space="preserve">29. </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IF(ROW(C29)&lt;=Capacity!$A$16,IF('Capacity summary'!$D$14="No",SUM(H33:BG33),'Capacity summary'!$E152),0)</f>
        <v>0</v>
      </c>
      <c r="BI33" s="5" t="str">
        <f>IF(BH33&gt;0,IF(BH33&lt;Capacity!E45,Capacity!F45,Capacity!H45/'Capacity calculation (hide)'!BH33),"")</f>
        <v/>
      </c>
      <c r="BK33" s="314">
        <f>IF($BI33&lt;&gt;"",IF('Capacity summary'!$D$14="Yes",IF(COUNTBLANK('Capacity summary'!$H152:$BG152)&lt;52,IF('Capacity summary'!H152&lt;&gt;"",IF(LOWER('Capacity summary'!H152)="x",$BI33*H33,VALUE('Capacity summary'!H152)),0),H33*$BI33),H33*$BI33),0)</f>
        <v>0</v>
      </c>
      <c r="BL33" s="314">
        <f>IF($BI33&lt;&gt;"",IF('Capacity summary'!$D$14="Yes",IF(COUNTBLANK('Capacity summary'!$H152:$BG152)&lt;52,IF('Capacity summary'!I152&lt;&gt;"",IF(LOWER('Capacity summary'!I152)="x",$BI33*I33,VALUE('Capacity summary'!I152)),0),I33*$BI33),I33*$BI33),0)</f>
        <v>0</v>
      </c>
      <c r="BM33" s="314">
        <f>IF($BI33&lt;&gt;"",IF('Capacity summary'!$D$14="Yes",IF(COUNTBLANK('Capacity summary'!$H152:$BG152)&lt;52,IF('Capacity summary'!J152&lt;&gt;"",IF(LOWER('Capacity summary'!J152)="x",$BI33*J33,VALUE('Capacity summary'!J152)),0),J33*$BI33),J33*$BI33),0)</f>
        <v>0</v>
      </c>
      <c r="BN33" s="314">
        <f>IF($BI33&lt;&gt;"",IF('Capacity summary'!$D$14="Yes",IF(COUNTBLANK('Capacity summary'!$H152:$BG152)&lt;52,IF('Capacity summary'!K152&lt;&gt;"",IF(LOWER('Capacity summary'!K152)="x",$BI33*K33,VALUE('Capacity summary'!K152)),0),K33*$BI33),K33*$BI33),0)</f>
        <v>0</v>
      </c>
      <c r="BO33" s="314">
        <f>IF($BI33&lt;&gt;"",IF('Capacity summary'!$D$14="Yes",IF(COUNTBLANK('Capacity summary'!$H152:$BG152)&lt;52,IF('Capacity summary'!L152&lt;&gt;"",IF(LOWER('Capacity summary'!L152)="x",$BI33*L33,VALUE('Capacity summary'!L152)),0),L33*$BI33),L33*$BI33),0)</f>
        <v>0</v>
      </c>
      <c r="BP33" s="314">
        <f>IF($BI33&lt;&gt;"",IF('Capacity summary'!$D$14="Yes",IF(COUNTBLANK('Capacity summary'!$H152:$BG152)&lt;52,IF('Capacity summary'!M152&lt;&gt;"",IF(LOWER('Capacity summary'!M152)="x",$BI33*M33,VALUE('Capacity summary'!M152)),0),M33*$BI33),M33*$BI33),0)</f>
        <v>0</v>
      </c>
      <c r="BQ33" s="314">
        <f>IF($BI33&lt;&gt;"",IF('Capacity summary'!$D$14="Yes",IF(COUNTBLANK('Capacity summary'!$H152:$BG152)&lt;52,IF('Capacity summary'!N152&lt;&gt;"",IF(LOWER('Capacity summary'!N152)="x",$BI33*N33,VALUE('Capacity summary'!N152)),0),N33*$BI33),N33*$BI33),0)</f>
        <v>0</v>
      </c>
      <c r="BR33" s="314">
        <f>IF($BI33&lt;&gt;"",IF('Capacity summary'!$D$14="Yes",IF(COUNTBLANK('Capacity summary'!$H152:$BG152)&lt;52,IF('Capacity summary'!O152&lt;&gt;"",IF(LOWER('Capacity summary'!O152)="x",$BI33*O33,VALUE('Capacity summary'!O152)),0),O33*$BI33),O33*$BI33),0)</f>
        <v>0</v>
      </c>
      <c r="BS33" s="314">
        <f>IF($BI33&lt;&gt;"",IF('Capacity summary'!$D$14="Yes",IF(COUNTBLANK('Capacity summary'!$H152:$BG152)&lt;52,IF('Capacity summary'!P152&lt;&gt;"",IF(LOWER('Capacity summary'!P152)="x",$BI33*P33,VALUE('Capacity summary'!P152)),0),P33*$BI33),P33*$BI33),0)</f>
        <v>0</v>
      </c>
      <c r="BT33" s="314">
        <f>IF($BI33&lt;&gt;"",IF('Capacity summary'!$D$14="Yes",IF(COUNTBLANK('Capacity summary'!$H152:$BG152)&lt;52,IF('Capacity summary'!Q152&lt;&gt;"",IF(LOWER('Capacity summary'!Q152)="x",$BI33*Q33,VALUE('Capacity summary'!Q152)),0),Q33*$BI33),Q33*$BI33),0)</f>
        <v>0</v>
      </c>
      <c r="BU33" s="314">
        <f>IF($BI33&lt;&gt;"",IF('Capacity summary'!$D$14="Yes",IF(COUNTBLANK('Capacity summary'!$H152:$BG152)&lt;52,IF('Capacity summary'!R152&lt;&gt;"",IF(LOWER('Capacity summary'!R152)="x",$BI33*R33,VALUE('Capacity summary'!R152)),0),R33*$BI33),R33*$BI33),0)</f>
        <v>0</v>
      </c>
      <c r="BV33" s="314">
        <f>IF($BI33&lt;&gt;"",IF('Capacity summary'!$D$14="Yes",IF(COUNTBLANK('Capacity summary'!$H152:$BG152)&lt;52,IF('Capacity summary'!S152&lt;&gt;"",IF(LOWER('Capacity summary'!S152)="x",$BI33*S33,VALUE('Capacity summary'!S152)),0),S33*$BI33),S33*$BI33),0)</f>
        <v>0</v>
      </c>
      <c r="BW33" s="314">
        <f>IF($BI33&lt;&gt;"",IF('Capacity summary'!$D$14="Yes",IF(COUNTBLANK('Capacity summary'!$H152:$BG152)&lt;52,IF('Capacity summary'!T152&lt;&gt;"",IF(LOWER('Capacity summary'!T152)="x",$BI33*T33,VALUE('Capacity summary'!T152)),0),T33*$BI33),T33*$BI33),0)</f>
        <v>0</v>
      </c>
      <c r="BX33" s="314">
        <f>IF($BI33&lt;&gt;"",IF('Capacity summary'!$D$14="Yes",IF(COUNTBLANK('Capacity summary'!$H152:$BG152)&lt;52,IF('Capacity summary'!U152&lt;&gt;"",IF(LOWER('Capacity summary'!U152)="x",$BI33*U33,VALUE('Capacity summary'!U152)),0),U33*$BI33),U33*$BI33),0)</f>
        <v>0</v>
      </c>
      <c r="BY33" s="314">
        <f>IF($BI33&lt;&gt;"",IF('Capacity summary'!$D$14="Yes",IF(COUNTBLANK('Capacity summary'!$H152:$BG152)&lt;52,IF('Capacity summary'!V152&lt;&gt;"",IF(LOWER('Capacity summary'!V152)="x",$BI33*V33,VALUE('Capacity summary'!V152)),0),V33*$BI33),V33*$BI33),0)</f>
        <v>0</v>
      </c>
      <c r="BZ33" s="314">
        <f>IF($BI33&lt;&gt;"",IF('Capacity summary'!$D$14="Yes",IF(COUNTBLANK('Capacity summary'!$H152:$BG152)&lt;52,IF('Capacity summary'!W152&lt;&gt;"",IF(LOWER('Capacity summary'!W152)="x",$BI33*W33,VALUE('Capacity summary'!W152)),0),W33*$BI33),W33*$BI33),0)</f>
        <v>0</v>
      </c>
      <c r="CA33" s="314">
        <f>IF($BI33&lt;&gt;"",IF('Capacity summary'!$D$14="Yes",IF(COUNTBLANK('Capacity summary'!$H152:$BG152)&lt;52,IF('Capacity summary'!X152&lt;&gt;"",IF(LOWER('Capacity summary'!X152)="x",$BI33*X33,VALUE('Capacity summary'!X152)),0),X33*$BI33),X33*$BI33),0)</f>
        <v>0</v>
      </c>
      <c r="CB33" s="314">
        <f>IF($BI33&lt;&gt;"",IF('Capacity summary'!$D$14="Yes",IF(COUNTBLANK('Capacity summary'!$H152:$BG152)&lt;52,IF('Capacity summary'!Y152&lt;&gt;"",IF(LOWER('Capacity summary'!Y152)="x",$BI33*Y33,VALUE('Capacity summary'!Y152)),0),Y33*$BI33),Y33*$BI33),0)</f>
        <v>0</v>
      </c>
      <c r="CC33" s="314">
        <f>IF($BI33&lt;&gt;"",IF('Capacity summary'!$D$14="Yes",IF(COUNTBLANK('Capacity summary'!$H152:$BG152)&lt;52,IF('Capacity summary'!Z152&lt;&gt;"",IF(LOWER('Capacity summary'!Z152)="x",$BI33*Z33,VALUE('Capacity summary'!Z152)),0),Z33*$BI33),Z33*$BI33),0)</f>
        <v>0</v>
      </c>
      <c r="CD33" s="314">
        <f>IF($BI33&lt;&gt;"",IF('Capacity summary'!$D$14="Yes",IF(COUNTBLANK('Capacity summary'!$H152:$BG152)&lt;52,IF('Capacity summary'!AA152&lt;&gt;"",IF(LOWER('Capacity summary'!AA152)="x",$BI33*AA33,VALUE('Capacity summary'!AA152)),0),AA33*$BI33),AA33*$BI33),0)</f>
        <v>0</v>
      </c>
      <c r="CE33" s="314">
        <f>IF($BI33&lt;&gt;"",IF('Capacity summary'!$D$14="Yes",IF(COUNTBLANK('Capacity summary'!$H152:$BG152)&lt;52,IF('Capacity summary'!AB152&lt;&gt;"",IF(LOWER('Capacity summary'!AB152)="x",$BI33*AB33,VALUE('Capacity summary'!AB152)),0),AB33*$BI33),AB33*$BI33),0)</f>
        <v>0</v>
      </c>
      <c r="CF33" s="314">
        <f>IF($BI33&lt;&gt;"",IF('Capacity summary'!$D$14="Yes",IF(COUNTBLANK('Capacity summary'!$H152:$BG152)&lt;52,IF('Capacity summary'!AC152&lt;&gt;"",IF(LOWER('Capacity summary'!AC152)="x",$BI33*AC33,VALUE('Capacity summary'!AC152)),0),AC33*$BI33),AC33*$BI33),0)</f>
        <v>0</v>
      </c>
      <c r="CG33" s="314">
        <f>IF($BI33&lt;&gt;"",IF('Capacity summary'!$D$14="Yes",IF(COUNTBLANK('Capacity summary'!$H152:$BG152)&lt;52,IF('Capacity summary'!AD152&lt;&gt;"",IF(LOWER('Capacity summary'!AD152)="x",$BI33*AD33,VALUE('Capacity summary'!AD152)),0),AD33*$BI33),AD33*$BI33),0)</f>
        <v>0</v>
      </c>
      <c r="CH33" s="314">
        <f>IF($BI33&lt;&gt;"",IF('Capacity summary'!$D$14="Yes",IF(COUNTBLANK('Capacity summary'!$H152:$BG152)&lt;52,IF('Capacity summary'!AE152&lt;&gt;"",IF(LOWER('Capacity summary'!AE152)="x",$BI33*AE33,VALUE('Capacity summary'!AE152)),0),AE33*$BI33),AE33*$BI33),0)</f>
        <v>0</v>
      </c>
      <c r="CI33" s="314">
        <f>IF($BI33&lt;&gt;"",IF('Capacity summary'!$D$14="Yes",IF(COUNTBLANK('Capacity summary'!$H152:$BG152)&lt;52,IF('Capacity summary'!AF152&lt;&gt;"",IF(LOWER('Capacity summary'!AF152)="x",$BI33*AF33,VALUE('Capacity summary'!AF152)),0),AF33*$BI33),AF33*$BI33),0)</f>
        <v>0</v>
      </c>
      <c r="CJ33" s="314">
        <f>IF($BI33&lt;&gt;"",IF('Capacity summary'!$D$14="Yes",IF(COUNTBLANK('Capacity summary'!$H152:$BG152)&lt;52,IF('Capacity summary'!AG152&lt;&gt;"",IF(LOWER('Capacity summary'!AG152)="x",$BI33*AG33,VALUE('Capacity summary'!AG152)),0),AG33*$BI33),AG33*$BI33),0)</f>
        <v>0</v>
      </c>
      <c r="CK33" s="314">
        <f>IF($BI33&lt;&gt;"",IF('Capacity summary'!$D$14="Yes",IF(COUNTBLANK('Capacity summary'!$H152:$BG152)&lt;52,IF('Capacity summary'!AH152&lt;&gt;"",IF(LOWER('Capacity summary'!AH152)="x",$BI33*AH33,VALUE('Capacity summary'!AH152)),0),AH33*$BI33),AH33*$BI33),0)</f>
        <v>0</v>
      </c>
      <c r="CL33" s="314">
        <f>IF($BI33&lt;&gt;"",IF('Capacity summary'!$D$14="Yes",IF(COUNTBLANK('Capacity summary'!$H152:$BG152)&lt;52,IF('Capacity summary'!AI152&lt;&gt;"",IF(LOWER('Capacity summary'!AI152)="x",$BI33*AI33,VALUE('Capacity summary'!AI152)),0),AI33*$BI33),AI33*$BI33),0)</f>
        <v>0</v>
      </c>
      <c r="CM33" s="314">
        <f>IF($BI33&lt;&gt;"",IF('Capacity summary'!$D$14="Yes",IF(COUNTBLANK('Capacity summary'!$H152:$BG152)&lt;52,IF('Capacity summary'!AJ152&lt;&gt;"",IF(LOWER('Capacity summary'!AJ152)="x",$BI33*AJ33,VALUE('Capacity summary'!AJ152)),0),AJ33*$BI33),AJ33*$BI33),0)</f>
        <v>0</v>
      </c>
      <c r="CN33" s="314">
        <f>IF($BI33&lt;&gt;"",IF('Capacity summary'!$D$14="Yes",IF(COUNTBLANK('Capacity summary'!$H152:$BG152)&lt;52,IF('Capacity summary'!AK152&lt;&gt;"",IF(LOWER('Capacity summary'!AK152)="x",$BI33*AK33,VALUE('Capacity summary'!AK152)),0),AK33*$BI33),AK33*$BI33),0)</f>
        <v>0</v>
      </c>
      <c r="CO33" s="314">
        <f>IF($BI33&lt;&gt;"",IF('Capacity summary'!$D$14="Yes",IF(COUNTBLANK('Capacity summary'!$H152:$BG152)&lt;52,IF('Capacity summary'!AL152&lt;&gt;"",IF(LOWER('Capacity summary'!AL152)="x",$BI33*AL33,VALUE('Capacity summary'!AL152)),0),AL33*$BI33),AL33*$BI33),0)</f>
        <v>0</v>
      </c>
      <c r="CP33" s="314">
        <f>IF($BI33&lt;&gt;"",IF('Capacity summary'!$D$14="Yes",IF(COUNTBLANK('Capacity summary'!$H152:$BG152)&lt;52,IF('Capacity summary'!AM152&lt;&gt;"",IF(LOWER('Capacity summary'!AM152)="x",$BI33*AM33,VALUE('Capacity summary'!AM152)),0),AM33*$BI33),AM33*$BI33),0)</f>
        <v>0</v>
      </c>
      <c r="CQ33" s="314">
        <f>IF($BI33&lt;&gt;"",IF('Capacity summary'!$D$14="Yes",IF(COUNTBLANK('Capacity summary'!$H152:$BG152)&lt;52,IF('Capacity summary'!AN152&lt;&gt;"",IF(LOWER('Capacity summary'!AN152)="x",$BI33*AN33,VALUE('Capacity summary'!AN152)),0),AN33*$BI33),AN33*$BI33),0)</f>
        <v>0</v>
      </c>
      <c r="CR33" s="314">
        <f>IF($BI33&lt;&gt;"",IF('Capacity summary'!$D$14="Yes",IF(COUNTBLANK('Capacity summary'!$H152:$BG152)&lt;52,IF('Capacity summary'!AO152&lt;&gt;"",IF(LOWER('Capacity summary'!AO152)="x",$BI33*AO33,VALUE('Capacity summary'!AO152)),0),AO33*$BI33),AO33*$BI33),0)</f>
        <v>0</v>
      </c>
      <c r="CS33" s="314">
        <f>IF($BI33&lt;&gt;"",IF('Capacity summary'!$D$14="Yes",IF(COUNTBLANK('Capacity summary'!$H152:$BG152)&lt;52,IF('Capacity summary'!AP152&lt;&gt;"",IF(LOWER('Capacity summary'!AP152)="x",$BI33*AP33,VALUE('Capacity summary'!AP152)),0),AP33*$BI33),AP33*$BI33),0)</f>
        <v>0</v>
      </c>
      <c r="CT33" s="314">
        <f>IF($BI33&lt;&gt;"",IF('Capacity summary'!$D$14="Yes",IF(COUNTBLANK('Capacity summary'!$H152:$BG152)&lt;52,IF('Capacity summary'!AQ152&lt;&gt;"",IF(LOWER('Capacity summary'!AQ152)="x",$BI33*AQ33,VALUE('Capacity summary'!AQ152)),0),AQ33*$BI33),AQ33*$BI33),0)</f>
        <v>0</v>
      </c>
      <c r="CU33" s="314">
        <f>IF($BI33&lt;&gt;"",IF('Capacity summary'!$D$14="Yes",IF(COUNTBLANK('Capacity summary'!$H152:$BG152)&lt;52,IF('Capacity summary'!AR152&lt;&gt;"",IF(LOWER('Capacity summary'!AR152)="x",$BI33*AR33,VALUE('Capacity summary'!AR152)),0),AR33*$BI33),AR33*$BI33),0)</f>
        <v>0</v>
      </c>
      <c r="CV33" s="314">
        <f>IF($BI33&lt;&gt;"",IF('Capacity summary'!$D$14="Yes",IF(COUNTBLANK('Capacity summary'!$H152:$BG152)&lt;52,IF('Capacity summary'!AS152&lt;&gt;"",IF(LOWER('Capacity summary'!AS152)="x",$BI33*AS33,VALUE('Capacity summary'!AS152)),0),AS33*$BI33),AS33*$BI33),0)</f>
        <v>0</v>
      </c>
      <c r="CW33" s="314">
        <f>IF($BI33&lt;&gt;"",IF('Capacity summary'!$D$14="Yes",IF(COUNTBLANK('Capacity summary'!$H152:$BG152)&lt;52,IF('Capacity summary'!AT152&lt;&gt;"",IF(LOWER('Capacity summary'!AT152)="x",$BI33*AT33,VALUE('Capacity summary'!AT152)),0),AT33*$BI33),AT33*$BI33),0)</f>
        <v>0</v>
      </c>
      <c r="CX33" s="314">
        <f>IF($BI33&lt;&gt;"",IF('Capacity summary'!$D$14="Yes",IF(COUNTBLANK('Capacity summary'!$H152:$BG152)&lt;52,IF('Capacity summary'!AU152&lt;&gt;"",IF(LOWER('Capacity summary'!AU152)="x",$BI33*AU33,VALUE('Capacity summary'!AU152)),0),AU33*$BI33),AU33*$BI33),0)</f>
        <v>0</v>
      </c>
      <c r="CY33" s="314">
        <f>IF($BI33&lt;&gt;"",IF('Capacity summary'!$D$14="Yes",IF(COUNTBLANK('Capacity summary'!$H152:$BG152)&lt;52,IF('Capacity summary'!AV152&lt;&gt;"",IF(LOWER('Capacity summary'!AV152)="x",$BI33*AV33,VALUE('Capacity summary'!AV152)),0),AV33*$BI33),AV33*$BI33),0)</f>
        <v>0</v>
      </c>
      <c r="CZ33" s="314">
        <f>IF($BI33&lt;&gt;"",IF('Capacity summary'!$D$14="Yes",IF(COUNTBLANK('Capacity summary'!$H152:$BG152)&lt;52,IF('Capacity summary'!AW152&lt;&gt;"",IF(LOWER('Capacity summary'!AW152)="x",$BI33*AW33,VALUE('Capacity summary'!AW152)),0),AW33*$BI33),AW33*$BI33),0)</f>
        <v>0</v>
      </c>
      <c r="DA33" s="314">
        <f>IF($BI33&lt;&gt;"",IF('Capacity summary'!$D$14="Yes",IF(COUNTBLANK('Capacity summary'!$H152:$BG152)&lt;52,IF('Capacity summary'!AX152&lt;&gt;"",IF(LOWER('Capacity summary'!AX152)="x",$BI33*AX33,VALUE('Capacity summary'!AX152)),0),AX33*$BI33),AX33*$BI33),0)</f>
        <v>0</v>
      </c>
      <c r="DB33" s="314">
        <f>IF($BI33&lt;&gt;"",IF('Capacity summary'!$D$14="Yes",IF(COUNTBLANK('Capacity summary'!$H152:$BG152)&lt;52,IF('Capacity summary'!AY152&lt;&gt;"",IF(LOWER('Capacity summary'!AY152)="x",$BI33*AY33,VALUE('Capacity summary'!AY152)),0),AY33*$BI33),AY33*$BI33),0)</f>
        <v>0</v>
      </c>
      <c r="DC33" s="314">
        <f>IF($BI33&lt;&gt;"",IF('Capacity summary'!$D$14="Yes",IF(COUNTBLANK('Capacity summary'!$H152:$BG152)&lt;52,IF('Capacity summary'!AZ152&lt;&gt;"",IF(LOWER('Capacity summary'!AZ152)="x",$BI33*AZ33,VALUE('Capacity summary'!AZ152)),0),AZ33*$BI33),AZ33*$BI33),0)</f>
        <v>0</v>
      </c>
      <c r="DD33" s="314">
        <f>IF($BI33&lt;&gt;"",IF('Capacity summary'!$D$14="Yes",IF(COUNTBLANK('Capacity summary'!$H152:$BG152)&lt;52,IF('Capacity summary'!BA152&lt;&gt;"",IF(LOWER('Capacity summary'!BA152)="x",$BI33*BA33,VALUE('Capacity summary'!BA152)),0),BA33*$BI33),BA33*$BI33),0)</f>
        <v>0</v>
      </c>
      <c r="DE33" s="314">
        <f>IF($BI33&lt;&gt;"",IF('Capacity summary'!$D$14="Yes",IF(COUNTBLANK('Capacity summary'!$H152:$BG152)&lt;52,IF('Capacity summary'!BB152&lt;&gt;"",IF(LOWER('Capacity summary'!BB152)="x",$BI33*BB33,VALUE('Capacity summary'!BB152)),0),BB33*$BI33),BB33*$BI33),0)</f>
        <v>0</v>
      </c>
      <c r="DF33" s="314">
        <f>IF($BI33&lt;&gt;"",IF('Capacity summary'!$D$14="Yes",IF(COUNTBLANK('Capacity summary'!$H152:$BG152)&lt;52,IF('Capacity summary'!BC152&lt;&gt;"",IF(LOWER('Capacity summary'!BC152)="x",$BI33*BC33,VALUE('Capacity summary'!BC152)),0),BC33*$BI33),BC33*$BI33),0)</f>
        <v>0</v>
      </c>
      <c r="DG33" s="314">
        <f>IF($BI33&lt;&gt;"",IF('Capacity summary'!$D$14="Yes",IF(COUNTBLANK('Capacity summary'!$H152:$BG152)&lt;52,IF('Capacity summary'!BD152&lt;&gt;"",IF(LOWER('Capacity summary'!BD152)="x",$BI33*BD33,VALUE('Capacity summary'!BD152)),0),BD33*$BI33),BD33*$BI33),0)</f>
        <v>0</v>
      </c>
      <c r="DH33" s="314">
        <f>IF($BI33&lt;&gt;"",IF('Capacity summary'!$D$14="Yes",IF(COUNTBLANK('Capacity summary'!$H152:$BG152)&lt;52,IF('Capacity summary'!BE152&lt;&gt;"",IF(LOWER('Capacity summary'!BE152)="x",$BI33*BE33,VALUE('Capacity summary'!BE152)),0),BE33*$BI33),BE33*$BI33),0)</f>
        <v>0</v>
      </c>
      <c r="DI33" s="314">
        <f>IF($BI33&lt;&gt;"",IF('Capacity summary'!$D$14="Yes",IF(COUNTBLANK('Capacity summary'!$H152:$BG152)&lt;52,IF('Capacity summary'!BF152&lt;&gt;"",IF(LOWER('Capacity summary'!BF152)="x",$BI33*BF33,VALUE('Capacity summary'!BF152)),0),BF33*$BI33),BF33*$BI33),0)</f>
        <v>0</v>
      </c>
      <c r="DJ33" s="314">
        <f>IF($BI33&lt;&gt;"",IF('Capacity summary'!$D$14="Yes",IF(COUNTBLANK('Capacity summary'!$H152:$BG152)&lt;52,IF('Capacity summary'!BG152&lt;&gt;"",IF(LOWER('Capacity summary'!BG152)="x",$BI33*BG33,VALUE('Capacity summary'!BG152)),0),BG33*$BI33),BG33*$BI33),0)</f>
        <v>0</v>
      </c>
      <c r="DK33" s="137">
        <f t="shared" si="2"/>
        <v>0</v>
      </c>
      <c r="DL33" s="314" t="str">
        <f>Capacity!H45</f>
        <v/>
      </c>
      <c r="DP33" s="5"/>
    </row>
    <row r="34" spans="2:120" x14ac:dyDescent="0.25">
      <c r="B34" s="67"/>
      <c r="C34" s="67" t="str">
        <f>ROW(A30)&amp;". "&amp;Capacity!B46</f>
        <v xml:space="preserve">30. </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IF(ROW(C30)&lt;=Capacity!$A$16,IF('Capacity summary'!$D$14="No",SUM(H34:BG34),'Capacity summary'!$E153),0)</f>
        <v>0</v>
      </c>
      <c r="BI34" s="5" t="str">
        <f>IF(BH34&gt;0,IF(BH34&lt;Capacity!E46,Capacity!F46,Capacity!H46/'Capacity calculation (hide)'!BH34),"")</f>
        <v/>
      </c>
      <c r="BK34" s="314">
        <f>IF($BI34&lt;&gt;"",IF('Capacity summary'!$D$14="Yes",IF(COUNTBLANK('Capacity summary'!$H153:$BG153)&lt;52,IF('Capacity summary'!H153&lt;&gt;"",IF(LOWER('Capacity summary'!H153)="x",$BI34*H34,VALUE('Capacity summary'!H153)),0),H34*$BI34),H34*$BI34),0)</f>
        <v>0</v>
      </c>
      <c r="BL34" s="314">
        <f>IF($BI34&lt;&gt;"",IF('Capacity summary'!$D$14="Yes",IF(COUNTBLANK('Capacity summary'!$H153:$BG153)&lt;52,IF('Capacity summary'!I153&lt;&gt;"",IF(LOWER('Capacity summary'!I153)="x",$BI34*I34,VALUE('Capacity summary'!I153)),0),I34*$BI34),I34*$BI34),0)</f>
        <v>0</v>
      </c>
      <c r="BM34" s="314">
        <f>IF($BI34&lt;&gt;"",IF('Capacity summary'!$D$14="Yes",IF(COUNTBLANK('Capacity summary'!$H153:$BG153)&lt;52,IF('Capacity summary'!J153&lt;&gt;"",IF(LOWER('Capacity summary'!J153)="x",$BI34*J34,VALUE('Capacity summary'!J153)),0),J34*$BI34),J34*$BI34),0)</f>
        <v>0</v>
      </c>
      <c r="BN34" s="314">
        <f>IF($BI34&lt;&gt;"",IF('Capacity summary'!$D$14="Yes",IF(COUNTBLANK('Capacity summary'!$H153:$BG153)&lt;52,IF('Capacity summary'!K153&lt;&gt;"",IF(LOWER('Capacity summary'!K153)="x",$BI34*K34,VALUE('Capacity summary'!K153)),0),K34*$BI34),K34*$BI34),0)</f>
        <v>0</v>
      </c>
      <c r="BO34" s="314">
        <f>IF($BI34&lt;&gt;"",IF('Capacity summary'!$D$14="Yes",IF(COUNTBLANK('Capacity summary'!$H153:$BG153)&lt;52,IF('Capacity summary'!L153&lt;&gt;"",IF(LOWER('Capacity summary'!L153)="x",$BI34*L34,VALUE('Capacity summary'!L153)),0),L34*$BI34),L34*$BI34),0)</f>
        <v>0</v>
      </c>
      <c r="BP34" s="314">
        <f>IF($BI34&lt;&gt;"",IF('Capacity summary'!$D$14="Yes",IF(COUNTBLANK('Capacity summary'!$H153:$BG153)&lt;52,IF('Capacity summary'!M153&lt;&gt;"",IF(LOWER('Capacity summary'!M153)="x",$BI34*M34,VALUE('Capacity summary'!M153)),0),M34*$BI34),M34*$BI34),0)</f>
        <v>0</v>
      </c>
      <c r="BQ34" s="314">
        <f>IF($BI34&lt;&gt;"",IF('Capacity summary'!$D$14="Yes",IF(COUNTBLANK('Capacity summary'!$H153:$BG153)&lt;52,IF('Capacity summary'!N153&lt;&gt;"",IF(LOWER('Capacity summary'!N153)="x",$BI34*N34,VALUE('Capacity summary'!N153)),0),N34*$BI34),N34*$BI34),0)</f>
        <v>0</v>
      </c>
      <c r="BR34" s="314">
        <f>IF($BI34&lt;&gt;"",IF('Capacity summary'!$D$14="Yes",IF(COUNTBLANK('Capacity summary'!$H153:$BG153)&lt;52,IF('Capacity summary'!O153&lt;&gt;"",IF(LOWER('Capacity summary'!O153)="x",$BI34*O34,VALUE('Capacity summary'!O153)),0),O34*$BI34),O34*$BI34),0)</f>
        <v>0</v>
      </c>
      <c r="BS34" s="314">
        <f>IF($BI34&lt;&gt;"",IF('Capacity summary'!$D$14="Yes",IF(COUNTBLANK('Capacity summary'!$H153:$BG153)&lt;52,IF('Capacity summary'!P153&lt;&gt;"",IF(LOWER('Capacity summary'!P153)="x",$BI34*P34,VALUE('Capacity summary'!P153)),0),P34*$BI34),P34*$BI34),0)</f>
        <v>0</v>
      </c>
      <c r="BT34" s="314">
        <f>IF($BI34&lt;&gt;"",IF('Capacity summary'!$D$14="Yes",IF(COUNTBLANK('Capacity summary'!$H153:$BG153)&lt;52,IF('Capacity summary'!Q153&lt;&gt;"",IF(LOWER('Capacity summary'!Q153)="x",$BI34*Q34,VALUE('Capacity summary'!Q153)),0),Q34*$BI34),Q34*$BI34),0)</f>
        <v>0</v>
      </c>
      <c r="BU34" s="314">
        <f>IF($BI34&lt;&gt;"",IF('Capacity summary'!$D$14="Yes",IF(COUNTBLANK('Capacity summary'!$H153:$BG153)&lt;52,IF('Capacity summary'!R153&lt;&gt;"",IF(LOWER('Capacity summary'!R153)="x",$BI34*R34,VALUE('Capacity summary'!R153)),0),R34*$BI34),R34*$BI34),0)</f>
        <v>0</v>
      </c>
      <c r="BV34" s="314">
        <f>IF($BI34&lt;&gt;"",IF('Capacity summary'!$D$14="Yes",IF(COUNTBLANK('Capacity summary'!$H153:$BG153)&lt;52,IF('Capacity summary'!S153&lt;&gt;"",IF(LOWER('Capacity summary'!S153)="x",$BI34*S34,VALUE('Capacity summary'!S153)),0),S34*$BI34),S34*$BI34),0)</f>
        <v>0</v>
      </c>
      <c r="BW34" s="314">
        <f>IF($BI34&lt;&gt;"",IF('Capacity summary'!$D$14="Yes",IF(COUNTBLANK('Capacity summary'!$H153:$BG153)&lt;52,IF('Capacity summary'!T153&lt;&gt;"",IF(LOWER('Capacity summary'!T153)="x",$BI34*T34,VALUE('Capacity summary'!T153)),0),T34*$BI34),T34*$BI34),0)</f>
        <v>0</v>
      </c>
      <c r="BX34" s="314">
        <f>IF($BI34&lt;&gt;"",IF('Capacity summary'!$D$14="Yes",IF(COUNTBLANK('Capacity summary'!$H153:$BG153)&lt;52,IF('Capacity summary'!U153&lt;&gt;"",IF(LOWER('Capacity summary'!U153)="x",$BI34*U34,VALUE('Capacity summary'!U153)),0),U34*$BI34),U34*$BI34),0)</f>
        <v>0</v>
      </c>
      <c r="BY34" s="314">
        <f>IF($BI34&lt;&gt;"",IF('Capacity summary'!$D$14="Yes",IF(COUNTBLANK('Capacity summary'!$H153:$BG153)&lt;52,IF('Capacity summary'!V153&lt;&gt;"",IF(LOWER('Capacity summary'!V153)="x",$BI34*V34,VALUE('Capacity summary'!V153)),0),V34*$BI34),V34*$BI34),0)</f>
        <v>0</v>
      </c>
      <c r="BZ34" s="314">
        <f>IF($BI34&lt;&gt;"",IF('Capacity summary'!$D$14="Yes",IF(COUNTBLANK('Capacity summary'!$H153:$BG153)&lt;52,IF('Capacity summary'!W153&lt;&gt;"",IF(LOWER('Capacity summary'!W153)="x",$BI34*W34,VALUE('Capacity summary'!W153)),0),W34*$BI34),W34*$BI34),0)</f>
        <v>0</v>
      </c>
      <c r="CA34" s="314">
        <f>IF($BI34&lt;&gt;"",IF('Capacity summary'!$D$14="Yes",IF(COUNTBLANK('Capacity summary'!$H153:$BG153)&lt;52,IF('Capacity summary'!X153&lt;&gt;"",IF(LOWER('Capacity summary'!X153)="x",$BI34*X34,VALUE('Capacity summary'!X153)),0),X34*$BI34),X34*$BI34),0)</f>
        <v>0</v>
      </c>
      <c r="CB34" s="314">
        <f>IF($BI34&lt;&gt;"",IF('Capacity summary'!$D$14="Yes",IF(COUNTBLANK('Capacity summary'!$H153:$BG153)&lt;52,IF('Capacity summary'!Y153&lt;&gt;"",IF(LOWER('Capacity summary'!Y153)="x",$BI34*Y34,VALUE('Capacity summary'!Y153)),0),Y34*$BI34),Y34*$BI34),0)</f>
        <v>0</v>
      </c>
      <c r="CC34" s="314">
        <f>IF($BI34&lt;&gt;"",IF('Capacity summary'!$D$14="Yes",IF(COUNTBLANK('Capacity summary'!$H153:$BG153)&lt;52,IF('Capacity summary'!Z153&lt;&gt;"",IF(LOWER('Capacity summary'!Z153)="x",$BI34*Z34,VALUE('Capacity summary'!Z153)),0),Z34*$BI34),Z34*$BI34),0)</f>
        <v>0</v>
      </c>
      <c r="CD34" s="314">
        <f>IF($BI34&lt;&gt;"",IF('Capacity summary'!$D$14="Yes",IF(COUNTBLANK('Capacity summary'!$H153:$BG153)&lt;52,IF('Capacity summary'!AA153&lt;&gt;"",IF(LOWER('Capacity summary'!AA153)="x",$BI34*AA34,VALUE('Capacity summary'!AA153)),0),AA34*$BI34),AA34*$BI34),0)</f>
        <v>0</v>
      </c>
      <c r="CE34" s="314">
        <f>IF($BI34&lt;&gt;"",IF('Capacity summary'!$D$14="Yes",IF(COUNTBLANK('Capacity summary'!$H153:$BG153)&lt;52,IF('Capacity summary'!AB153&lt;&gt;"",IF(LOWER('Capacity summary'!AB153)="x",$BI34*AB34,VALUE('Capacity summary'!AB153)),0),AB34*$BI34),AB34*$BI34),0)</f>
        <v>0</v>
      </c>
      <c r="CF34" s="314">
        <f>IF($BI34&lt;&gt;"",IF('Capacity summary'!$D$14="Yes",IF(COUNTBLANK('Capacity summary'!$H153:$BG153)&lt;52,IF('Capacity summary'!AC153&lt;&gt;"",IF(LOWER('Capacity summary'!AC153)="x",$BI34*AC34,VALUE('Capacity summary'!AC153)),0),AC34*$BI34),AC34*$BI34),0)</f>
        <v>0</v>
      </c>
      <c r="CG34" s="314">
        <f>IF($BI34&lt;&gt;"",IF('Capacity summary'!$D$14="Yes",IF(COUNTBLANK('Capacity summary'!$H153:$BG153)&lt;52,IF('Capacity summary'!AD153&lt;&gt;"",IF(LOWER('Capacity summary'!AD153)="x",$BI34*AD34,VALUE('Capacity summary'!AD153)),0),AD34*$BI34),AD34*$BI34),0)</f>
        <v>0</v>
      </c>
      <c r="CH34" s="314">
        <f>IF($BI34&lt;&gt;"",IF('Capacity summary'!$D$14="Yes",IF(COUNTBLANK('Capacity summary'!$H153:$BG153)&lt;52,IF('Capacity summary'!AE153&lt;&gt;"",IF(LOWER('Capacity summary'!AE153)="x",$BI34*AE34,VALUE('Capacity summary'!AE153)),0),AE34*$BI34),AE34*$BI34),0)</f>
        <v>0</v>
      </c>
      <c r="CI34" s="314">
        <f>IF($BI34&lt;&gt;"",IF('Capacity summary'!$D$14="Yes",IF(COUNTBLANK('Capacity summary'!$H153:$BG153)&lt;52,IF('Capacity summary'!AF153&lt;&gt;"",IF(LOWER('Capacity summary'!AF153)="x",$BI34*AF34,VALUE('Capacity summary'!AF153)),0),AF34*$BI34),AF34*$BI34),0)</f>
        <v>0</v>
      </c>
      <c r="CJ34" s="314">
        <f>IF($BI34&lt;&gt;"",IF('Capacity summary'!$D$14="Yes",IF(COUNTBLANK('Capacity summary'!$H153:$BG153)&lt;52,IF('Capacity summary'!AG153&lt;&gt;"",IF(LOWER('Capacity summary'!AG153)="x",$BI34*AG34,VALUE('Capacity summary'!AG153)),0),AG34*$BI34),AG34*$BI34),0)</f>
        <v>0</v>
      </c>
      <c r="CK34" s="314">
        <f>IF($BI34&lt;&gt;"",IF('Capacity summary'!$D$14="Yes",IF(COUNTBLANK('Capacity summary'!$H153:$BG153)&lt;52,IF('Capacity summary'!AH153&lt;&gt;"",IF(LOWER('Capacity summary'!AH153)="x",$BI34*AH34,VALUE('Capacity summary'!AH153)),0),AH34*$BI34),AH34*$BI34),0)</f>
        <v>0</v>
      </c>
      <c r="CL34" s="314">
        <f>IF($BI34&lt;&gt;"",IF('Capacity summary'!$D$14="Yes",IF(COUNTBLANK('Capacity summary'!$H153:$BG153)&lt;52,IF('Capacity summary'!AI153&lt;&gt;"",IF(LOWER('Capacity summary'!AI153)="x",$BI34*AI34,VALUE('Capacity summary'!AI153)),0),AI34*$BI34),AI34*$BI34),0)</f>
        <v>0</v>
      </c>
      <c r="CM34" s="314">
        <f>IF($BI34&lt;&gt;"",IF('Capacity summary'!$D$14="Yes",IF(COUNTBLANK('Capacity summary'!$H153:$BG153)&lt;52,IF('Capacity summary'!AJ153&lt;&gt;"",IF(LOWER('Capacity summary'!AJ153)="x",$BI34*AJ34,VALUE('Capacity summary'!AJ153)),0),AJ34*$BI34),AJ34*$BI34),0)</f>
        <v>0</v>
      </c>
      <c r="CN34" s="314">
        <f>IF($BI34&lt;&gt;"",IF('Capacity summary'!$D$14="Yes",IF(COUNTBLANK('Capacity summary'!$H153:$BG153)&lt;52,IF('Capacity summary'!AK153&lt;&gt;"",IF(LOWER('Capacity summary'!AK153)="x",$BI34*AK34,VALUE('Capacity summary'!AK153)),0),AK34*$BI34),AK34*$BI34),0)</f>
        <v>0</v>
      </c>
      <c r="CO34" s="314">
        <f>IF($BI34&lt;&gt;"",IF('Capacity summary'!$D$14="Yes",IF(COUNTBLANK('Capacity summary'!$H153:$BG153)&lt;52,IF('Capacity summary'!AL153&lt;&gt;"",IF(LOWER('Capacity summary'!AL153)="x",$BI34*AL34,VALUE('Capacity summary'!AL153)),0),AL34*$BI34),AL34*$BI34),0)</f>
        <v>0</v>
      </c>
      <c r="CP34" s="314">
        <f>IF($BI34&lt;&gt;"",IF('Capacity summary'!$D$14="Yes",IF(COUNTBLANK('Capacity summary'!$H153:$BG153)&lt;52,IF('Capacity summary'!AM153&lt;&gt;"",IF(LOWER('Capacity summary'!AM153)="x",$BI34*AM34,VALUE('Capacity summary'!AM153)),0),AM34*$BI34),AM34*$BI34),0)</f>
        <v>0</v>
      </c>
      <c r="CQ34" s="314">
        <f>IF($BI34&lt;&gt;"",IF('Capacity summary'!$D$14="Yes",IF(COUNTBLANK('Capacity summary'!$H153:$BG153)&lt;52,IF('Capacity summary'!AN153&lt;&gt;"",IF(LOWER('Capacity summary'!AN153)="x",$BI34*AN34,VALUE('Capacity summary'!AN153)),0),AN34*$BI34),AN34*$BI34),0)</f>
        <v>0</v>
      </c>
      <c r="CR34" s="314">
        <f>IF($BI34&lt;&gt;"",IF('Capacity summary'!$D$14="Yes",IF(COUNTBLANK('Capacity summary'!$H153:$BG153)&lt;52,IF('Capacity summary'!AO153&lt;&gt;"",IF(LOWER('Capacity summary'!AO153)="x",$BI34*AO34,VALUE('Capacity summary'!AO153)),0),AO34*$BI34),AO34*$BI34),0)</f>
        <v>0</v>
      </c>
      <c r="CS34" s="314">
        <f>IF($BI34&lt;&gt;"",IF('Capacity summary'!$D$14="Yes",IF(COUNTBLANK('Capacity summary'!$H153:$BG153)&lt;52,IF('Capacity summary'!AP153&lt;&gt;"",IF(LOWER('Capacity summary'!AP153)="x",$BI34*AP34,VALUE('Capacity summary'!AP153)),0),AP34*$BI34),AP34*$BI34),0)</f>
        <v>0</v>
      </c>
      <c r="CT34" s="314">
        <f>IF($BI34&lt;&gt;"",IF('Capacity summary'!$D$14="Yes",IF(COUNTBLANK('Capacity summary'!$H153:$BG153)&lt;52,IF('Capacity summary'!AQ153&lt;&gt;"",IF(LOWER('Capacity summary'!AQ153)="x",$BI34*AQ34,VALUE('Capacity summary'!AQ153)),0),AQ34*$BI34),AQ34*$BI34),0)</f>
        <v>0</v>
      </c>
      <c r="CU34" s="314">
        <f>IF($BI34&lt;&gt;"",IF('Capacity summary'!$D$14="Yes",IF(COUNTBLANK('Capacity summary'!$H153:$BG153)&lt;52,IF('Capacity summary'!AR153&lt;&gt;"",IF(LOWER('Capacity summary'!AR153)="x",$BI34*AR34,VALUE('Capacity summary'!AR153)),0),AR34*$BI34),AR34*$BI34),0)</f>
        <v>0</v>
      </c>
      <c r="CV34" s="314">
        <f>IF($BI34&lt;&gt;"",IF('Capacity summary'!$D$14="Yes",IF(COUNTBLANK('Capacity summary'!$H153:$BG153)&lt;52,IF('Capacity summary'!AS153&lt;&gt;"",IF(LOWER('Capacity summary'!AS153)="x",$BI34*AS34,VALUE('Capacity summary'!AS153)),0),AS34*$BI34),AS34*$BI34),0)</f>
        <v>0</v>
      </c>
      <c r="CW34" s="314">
        <f>IF($BI34&lt;&gt;"",IF('Capacity summary'!$D$14="Yes",IF(COUNTBLANK('Capacity summary'!$H153:$BG153)&lt;52,IF('Capacity summary'!AT153&lt;&gt;"",IF(LOWER('Capacity summary'!AT153)="x",$BI34*AT34,VALUE('Capacity summary'!AT153)),0),AT34*$BI34),AT34*$BI34),0)</f>
        <v>0</v>
      </c>
      <c r="CX34" s="314">
        <f>IF($BI34&lt;&gt;"",IF('Capacity summary'!$D$14="Yes",IF(COUNTBLANK('Capacity summary'!$H153:$BG153)&lt;52,IF('Capacity summary'!AU153&lt;&gt;"",IF(LOWER('Capacity summary'!AU153)="x",$BI34*AU34,VALUE('Capacity summary'!AU153)),0),AU34*$BI34),AU34*$BI34),0)</f>
        <v>0</v>
      </c>
      <c r="CY34" s="314">
        <f>IF($BI34&lt;&gt;"",IF('Capacity summary'!$D$14="Yes",IF(COUNTBLANK('Capacity summary'!$H153:$BG153)&lt;52,IF('Capacity summary'!AV153&lt;&gt;"",IF(LOWER('Capacity summary'!AV153)="x",$BI34*AV34,VALUE('Capacity summary'!AV153)),0),AV34*$BI34),AV34*$BI34),0)</f>
        <v>0</v>
      </c>
      <c r="CZ34" s="314">
        <f>IF($BI34&lt;&gt;"",IF('Capacity summary'!$D$14="Yes",IF(COUNTBLANK('Capacity summary'!$H153:$BG153)&lt;52,IF('Capacity summary'!AW153&lt;&gt;"",IF(LOWER('Capacity summary'!AW153)="x",$BI34*AW34,VALUE('Capacity summary'!AW153)),0),AW34*$BI34),AW34*$BI34),0)</f>
        <v>0</v>
      </c>
      <c r="DA34" s="314">
        <f>IF($BI34&lt;&gt;"",IF('Capacity summary'!$D$14="Yes",IF(COUNTBLANK('Capacity summary'!$H153:$BG153)&lt;52,IF('Capacity summary'!AX153&lt;&gt;"",IF(LOWER('Capacity summary'!AX153)="x",$BI34*AX34,VALUE('Capacity summary'!AX153)),0),AX34*$BI34),AX34*$BI34),0)</f>
        <v>0</v>
      </c>
      <c r="DB34" s="314">
        <f>IF($BI34&lt;&gt;"",IF('Capacity summary'!$D$14="Yes",IF(COUNTBLANK('Capacity summary'!$H153:$BG153)&lt;52,IF('Capacity summary'!AY153&lt;&gt;"",IF(LOWER('Capacity summary'!AY153)="x",$BI34*AY34,VALUE('Capacity summary'!AY153)),0),AY34*$BI34),AY34*$BI34),0)</f>
        <v>0</v>
      </c>
      <c r="DC34" s="314">
        <f>IF($BI34&lt;&gt;"",IF('Capacity summary'!$D$14="Yes",IF(COUNTBLANK('Capacity summary'!$H153:$BG153)&lt;52,IF('Capacity summary'!AZ153&lt;&gt;"",IF(LOWER('Capacity summary'!AZ153)="x",$BI34*AZ34,VALUE('Capacity summary'!AZ153)),0),AZ34*$BI34),AZ34*$BI34),0)</f>
        <v>0</v>
      </c>
      <c r="DD34" s="314">
        <f>IF($BI34&lt;&gt;"",IF('Capacity summary'!$D$14="Yes",IF(COUNTBLANK('Capacity summary'!$H153:$BG153)&lt;52,IF('Capacity summary'!BA153&lt;&gt;"",IF(LOWER('Capacity summary'!BA153)="x",$BI34*BA34,VALUE('Capacity summary'!BA153)),0),BA34*$BI34),BA34*$BI34),0)</f>
        <v>0</v>
      </c>
      <c r="DE34" s="314">
        <f>IF($BI34&lt;&gt;"",IF('Capacity summary'!$D$14="Yes",IF(COUNTBLANK('Capacity summary'!$H153:$BG153)&lt;52,IF('Capacity summary'!BB153&lt;&gt;"",IF(LOWER('Capacity summary'!BB153)="x",$BI34*BB34,VALUE('Capacity summary'!BB153)),0),BB34*$BI34),BB34*$BI34),0)</f>
        <v>0</v>
      </c>
      <c r="DF34" s="314">
        <f>IF($BI34&lt;&gt;"",IF('Capacity summary'!$D$14="Yes",IF(COUNTBLANK('Capacity summary'!$H153:$BG153)&lt;52,IF('Capacity summary'!BC153&lt;&gt;"",IF(LOWER('Capacity summary'!BC153)="x",$BI34*BC34,VALUE('Capacity summary'!BC153)),0),BC34*$BI34),BC34*$BI34),0)</f>
        <v>0</v>
      </c>
      <c r="DG34" s="314">
        <f>IF($BI34&lt;&gt;"",IF('Capacity summary'!$D$14="Yes",IF(COUNTBLANK('Capacity summary'!$H153:$BG153)&lt;52,IF('Capacity summary'!BD153&lt;&gt;"",IF(LOWER('Capacity summary'!BD153)="x",$BI34*BD34,VALUE('Capacity summary'!BD153)),0),BD34*$BI34),BD34*$BI34),0)</f>
        <v>0</v>
      </c>
      <c r="DH34" s="314">
        <f>IF($BI34&lt;&gt;"",IF('Capacity summary'!$D$14="Yes",IF(COUNTBLANK('Capacity summary'!$H153:$BG153)&lt;52,IF('Capacity summary'!BE153&lt;&gt;"",IF(LOWER('Capacity summary'!BE153)="x",$BI34*BE34,VALUE('Capacity summary'!BE153)),0),BE34*$BI34),BE34*$BI34),0)</f>
        <v>0</v>
      </c>
      <c r="DI34" s="314">
        <f>IF($BI34&lt;&gt;"",IF('Capacity summary'!$D$14="Yes",IF(COUNTBLANK('Capacity summary'!$H153:$BG153)&lt;52,IF('Capacity summary'!BF153&lt;&gt;"",IF(LOWER('Capacity summary'!BF153)="x",$BI34*BF34,VALUE('Capacity summary'!BF153)),0),BF34*$BI34),BF34*$BI34),0)</f>
        <v>0</v>
      </c>
      <c r="DJ34" s="314">
        <f>IF($BI34&lt;&gt;"",IF('Capacity summary'!$D$14="Yes",IF(COUNTBLANK('Capacity summary'!$H153:$BG153)&lt;52,IF('Capacity summary'!BG153&lt;&gt;"",IF(LOWER('Capacity summary'!BG153)="x",$BI34*BG34,VALUE('Capacity summary'!BG153)),0),BG34*$BI34),BG34*$BI34),0)</f>
        <v>0</v>
      </c>
      <c r="DK34" s="137">
        <f t="shared" si="2"/>
        <v>0</v>
      </c>
      <c r="DL34" s="314" t="str">
        <f>Capacity!H46</f>
        <v/>
      </c>
      <c r="DP34" s="5"/>
    </row>
    <row r="35" spans="2:120" x14ac:dyDescent="0.25">
      <c r="B35" s="67"/>
      <c r="C35" s="67" t="str">
        <f>ROW(A31)&amp;". "&amp;Capacity!B47</f>
        <v xml:space="preserve">31. </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IF(ROW(C31)&lt;=Capacity!$A$16,IF('Capacity summary'!$D$14="No",SUM(H35:BG35),'Capacity summary'!$E154),0)</f>
        <v>0</v>
      </c>
      <c r="BI35" s="5" t="str">
        <f>IF(BH35&gt;0,IF(BH35&lt;Capacity!E47,Capacity!F47,Capacity!H47/'Capacity calculation (hide)'!BH35),"")</f>
        <v/>
      </c>
      <c r="BK35" s="314">
        <f>IF($BI35&lt;&gt;"",IF('Capacity summary'!$D$14="Yes",IF(COUNTBLANK('Capacity summary'!$H154:$BG154)&lt;52,IF('Capacity summary'!H154&lt;&gt;"",IF(LOWER('Capacity summary'!H154)="x",$BI35*H35,VALUE('Capacity summary'!H154)),0),H35*$BI35),H35*$BI35),0)</f>
        <v>0</v>
      </c>
      <c r="BL35" s="314">
        <f>IF($BI35&lt;&gt;"",IF('Capacity summary'!$D$14="Yes",IF(COUNTBLANK('Capacity summary'!$H154:$BG154)&lt;52,IF('Capacity summary'!I154&lt;&gt;"",IF(LOWER('Capacity summary'!I154)="x",$BI35*I35,VALUE('Capacity summary'!I154)),0),I35*$BI35),I35*$BI35),0)</f>
        <v>0</v>
      </c>
      <c r="BM35" s="314">
        <f>IF($BI35&lt;&gt;"",IF('Capacity summary'!$D$14="Yes",IF(COUNTBLANK('Capacity summary'!$H154:$BG154)&lt;52,IF('Capacity summary'!J154&lt;&gt;"",IF(LOWER('Capacity summary'!J154)="x",$BI35*J35,VALUE('Capacity summary'!J154)),0),J35*$BI35),J35*$BI35),0)</f>
        <v>0</v>
      </c>
      <c r="BN35" s="314">
        <f>IF($BI35&lt;&gt;"",IF('Capacity summary'!$D$14="Yes",IF(COUNTBLANK('Capacity summary'!$H154:$BG154)&lt;52,IF('Capacity summary'!K154&lt;&gt;"",IF(LOWER('Capacity summary'!K154)="x",$BI35*K35,VALUE('Capacity summary'!K154)),0),K35*$BI35),K35*$BI35),0)</f>
        <v>0</v>
      </c>
      <c r="BO35" s="314">
        <f>IF($BI35&lt;&gt;"",IF('Capacity summary'!$D$14="Yes",IF(COUNTBLANK('Capacity summary'!$H154:$BG154)&lt;52,IF('Capacity summary'!L154&lt;&gt;"",IF(LOWER('Capacity summary'!L154)="x",$BI35*L35,VALUE('Capacity summary'!L154)),0),L35*$BI35),L35*$BI35),0)</f>
        <v>0</v>
      </c>
      <c r="BP35" s="314">
        <f>IF($BI35&lt;&gt;"",IF('Capacity summary'!$D$14="Yes",IF(COUNTBLANK('Capacity summary'!$H154:$BG154)&lt;52,IF('Capacity summary'!M154&lt;&gt;"",IF(LOWER('Capacity summary'!M154)="x",$BI35*M35,VALUE('Capacity summary'!M154)),0),M35*$BI35),M35*$BI35),0)</f>
        <v>0</v>
      </c>
      <c r="BQ35" s="314">
        <f>IF($BI35&lt;&gt;"",IF('Capacity summary'!$D$14="Yes",IF(COUNTBLANK('Capacity summary'!$H154:$BG154)&lt;52,IF('Capacity summary'!N154&lt;&gt;"",IF(LOWER('Capacity summary'!N154)="x",$BI35*N35,VALUE('Capacity summary'!N154)),0),N35*$BI35),N35*$BI35),0)</f>
        <v>0</v>
      </c>
      <c r="BR35" s="314">
        <f>IF($BI35&lt;&gt;"",IF('Capacity summary'!$D$14="Yes",IF(COUNTBLANK('Capacity summary'!$H154:$BG154)&lt;52,IF('Capacity summary'!O154&lt;&gt;"",IF(LOWER('Capacity summary'!O154)="x",$BI35*O35,VALUE('Capacity summary'!O154)),0),O35*$BI35),O35*$BI35),0)</f>
        <v>0</v>
      </c>
      <c r="BS35" s="314">
        <f>IF($BI35&lt;&gt;"",IF('Capacity summary'!$D$14="Yes",IF(COUNTBLANK('Capacity summary'!$H154:$BG154)&lt;52,IF('Capacity summary'!P154&lt;&gt;"",IF(LOWER('Capacity summary'!P154)="x",$BI35*P35,VALUE('Capacity summary'!P154)),0),P35*$BI35),P35*$BI35),0)</f>
        <v>0</v>
      </c>
      <c r="BT35" s="314">
        <f>IF($BI35&lt;&gt;"",IF('Capacity summary'!$D$14="Yes",IF(COUNTBLANK('Capacity summary'!$H154:$BG154)&lt;52,IF('Capacity summary'!Q154&lt;&gt;"",IF(LOWER('Capacity summary'!Q154)="x",$BI35*Q35,VALUE('Capacity summary'!Q154)),0),Q35*$BI35),Q35*$BI35),0)</f>
        <v>0</v>
      </c>
      <c r="BU35" s="314">
        <f>IF($BI35&lt;&gt;"",IF('Capacity summary'!$D$14="Yes",IF(COUNTBLANK('Capacity summary'!$H154:$BG154)&lt;52,IF('Capacity summary'!R154&lt;&gt;"",IF(LOWER('Capacity summary'!R154)="x",$BI35*R35,VALUE('Capacity summary'!R154)),0),R35*$BI35),R35*$BI35),0)</f>
        <v>0</v>
      </c>
      <c r="BV35" s="314">
        <f>IF($BI35&lt;&gt;"",IF('Capacity summary'!$D$14="Yes",IF(COUNTBLANK('Capacity summary'!$H154:$BG154)&lt;52,IF('Capacity summary'!S154&lt;&gt;"",IF(LOWER('Capacity summary'!S154)="x",$BI35*S35,VALUE('Capacity summary'!S154)),0),S35*$BI35),S35*$BI35),0)</f>
        <v>0</v>
      </c>
      <c r="BW35" s="314">
        <f>IF($BI35&lt;&gt;"",IF('Capacity summary'!$D$14="Yes",IF(COUNTBLANK('Capacity summary'!$H154:$BG154)&lt;52,IF('Capacity summary'!T154&lt;&gt;"",IF(LOWER('Capacity summary'!T154)="x",$BI35*T35,VALUE('Capacity summary'!T154)),0),T35*$BI35),T35*$BI35),0)</f>
        <v>0</v>
      </c>
      <c r="BX35" s="314">
        <f>IF($BI35&lt;&gt;"",IF('Capacity summary'!$D$14="Yes",IF(COUNTBLANK('Capacity summary'!$H154:$BG154)&lt;52,IF('Capacity summary'!U154&lt;&gt;"",IF(LOWER('Capacity summary'!U154)="x",$BI35*U35,VALUE('Capacity summary'!U154)),0),U35*$BI35),U35*$BI35),0)</f>
        <v>0</v>
      </c>
      <c r="BY35" s="314">
        <f>IF($BI35&lt;&gt;"",IF('Capacity summary'!$D$14="Yes",IF(COUNTBLANK('Capacity summary'!$H154:$BG154)&lt;52,IF('Capacity summary'!V154&lt;&gt;"",IF(LOWER('Capacity summary'!V154)="x",$BI35*V35,VALUE('Capacity summary'!V154)),0),V35*$BI35),V35*$BI35),0)</f>
        <v>0</v>
      </c>
      <c r="BZ35" s="314">
        <f>IF($BI35&lt;&gt;"",IF('Capacity summary'!$D$14="Yes",IF(COUNTBLANK('Capacity summary'!$H154:$BG154)&lt;52,IF('Capacity summary'!W154&lt;&gt;"",IF(LOWER('Capacity summary'!W154)="x",$BI35*W35,VALUE('Capacity summary'!W154)),0),W35*$BI35),W35*$BI35),0)</f>
        <v>0</v>
      </c>
      <c r="CA35" s="314">
        <f>IF($BI35&lt;&gt;"",IF('Capacity summary'!$D$14="Yes",IF(COUNTBLANK('Capacity summary'!$H154:$BG154)&lt;52,IF('Capacity summary'!X154&lt;&gt;"",IF(LOWER('Capacity summary'!X154)="x",$BI35*X35,VALUE('Capacity summary'!X154)),0),X35*$BI35),X35*$BI35),0)</f>
        <v>0</v>
      </c>
      <c r="CB35" s="314">
        <f>IF($BI35&lt;&gt;"",IF('Capacity summary'!$D$14="Yes",IF(COUNTBLANK('Capacity summary'!$H154:$BG154)&lt;52,IF('Capacity summary'!Y154&lt;&gt;"",IF(LOWER('Capacity summary'!Y154)="x",$BI35*Y35,VALUE('Capacity summary'!Y154)),0),Y35*$BI35),Y35*$BI35),0)</f>
        <v>0</v>
      </c>
      <c r="CC35" s="314">
        <f>IF($BI35&lt;&gt;"",IF('Capacity summary'!$D$14="Yes",IF(COUNTBLANK('Capacity summary'!$H154:$BG154)&lt;52,IF('Capacity summary'!Z154&lt;&gt;"",IF(LOWER('Capacity summary'!Z154)="x",$BI35*Z35,VALUE('Capacity summary'!Z154)),0),Z35*$BI35),Z35*$BI35),0)</f>
        <v>0</v>
      </c>
      <c r="CD35" s="314">
        <f>IF($BI35&lt;&gt;"",IF('Capacity summary'!$D$14="Yes",IF(COUNTBLANK('Capacity summary'!$H154:$BG154)&lt;52,IF('Capacity summary'!AA154&lt;&gt;"",IF(LOWER('Capacity summary'!AA154)="x",$BI35*AA35,VALUE('Capacity summary'!AA154)),0),AA35*$BI35),AA35*$BI35),0)</f>
        <v>0</v>
      </c>
      <c r="CE35" s="314">
        <f>IF($BI35&lt;&gt;"",IF('Capacity summary'!$D$14="Yes",IF(COUNTBLANK('Capacity summary'!$H154:$BG154)&lt;52,IF('Capacity summary'!AB154&lt;&gt;"",IF(LOWER('Capacity summary'!AB154)="x",$BI35*AB35,VALUE('Capacity summary'!AB154)),0),AB35*$BI35),AB35*$BI35),0)</f>
        <v>0</v>
      </c>
      <c r="CF35" s="314">
        <f>IF($BI35&lt;&gt;"",IF('Capacity summary'!$D$14="Yes",IF(COUNTBLANK('Capacity summary'!$H154:$BG154)&lt;52,IF('Capacity summary'!AC154&lt;&gt;"",IF(LOWER('Capacity summary'!AC154)="x",$BI35*AC35,VALUE('Capacity summary'!AC154)),0),AC35*$BI35),AC35*$BI35),0)</f>
        <v>0</v>
      </c>
      <c r="CG35" s="314">
        <f>IF($BI35&lt;&gt;"",IF('Capacity summary'!$D$14="Yes",IF(COUNTBLANK('Capacity summary'!$H154:$BG154)&lt;52,IF('Capacity summary'!AD154&lt;&gt;"",IF(LOWER('Capacity summary'!AD154)="x",$BI35*AD35,VALUE('Capacity summary'!AD154)),0),AD35*$BI35),AD35*$BI35),0)</f>
        <v>0</v>
      </c>
      <c r="CH35" s="314">
        <f>IF($BI35&lt;&gt;"",IF('Capacity summary'!$D$14="Yes",IF(COUNTBLANK('Capacity summary'!$H154:$BG154)&lt;52,IF('Capacity summary'!AE154&lt;&gt;"",IF(LOWER('Capacity summary'!AE154)="x",$BI35*AE35,VALUE('Capacity summary'!AE154)),0),AE35*$BI35),AE35*$BI35),0)</f>
        <v>0</v>
      </c>
      <c r="CI35" s="314">
        <f>IF($BI35&lt;&gt;"",IF('Capacity summary'!$D$14="Yes",IF(COUNTBLANK('Capacity summary'!$H154:$BG154)&lt;52,IF('Capacity summary'!AF154&lt;&gt;"",IF(LOWER('Capacity summary'!AF154)="x",$BI35*AF35,VALUE('Capacity summary'!AF154)),0),AF35*$BI35),AF35*$BI35),0)</f>
        <v>0</v>
      </c>
      <c r="CJ35" s="314">
        <f>IF($BI35&lt;&gt;"",IF('Capacity summary'!$D$14="Yes",IF(COUNTBLANK('Capacity summary'!$H154:$BG154)&lt;52,IF('Capacity summary'!AG154&lt;&gt;"",IF(LOWER('Capacity summary'!AG154)="x",$BI35*AG35,VALUE('Capacity summary'!AG154)),0),AG35*$BI35),AG35*$BI35),0)</f>
        <v>0</v>
      </c>
      <c r="CK35" s="314">
        <f>IF($BI35&lt;&gt;"",IF('Capacity summary'!$D$14="Yes",IF(COUNTBLANK('Capacity summary'!$H154:$BG154)&lt;52,IF('Capacity summary'!AH154&lt;&gt;"",IF(LOWER('Capacity summary'!AH154)="x",$BI35*AH35,VALUE('Capacity summary'!AH154)),0),AH35*$BI35),AH35*$BI35),0)</f>
        <v>0</v>
      </c>
      <c r="CL35" s="314">
        <f>IF($BI35&lt;&gt;"",IF('Capacity summary'!$D$14="Yes",IF(COUNTBLANK('Capacity summary'!$H154:$BG154)&lt;52,IF('Capacity summary'!AI154&lt;&gt;"",IF(LOWER('Capacity summary'!AI154)="x",$BI35*AI35,VALUE('Capacity summary'!AI154)),0),AI35*$BI35),AI35*$BI35),0)</f>
        <v>0</v>
      </c>
      <c r="CM35" s="314">
        <f>IF($BI35&lt;&gt;"",IF('Capacity summary'!$D$14="Yes",IF(COUNTBLANK('Capacity summary'!$H154:$BG154)&lt;52,IF('Capacity summary'!AJ154&lt;&gt;"",IF(LOWER('Capacity summary'!AJ154)="x",$BI35*AJ35,VALUE('Capacity summary'!AJ154)),0),AJ35*$BI35),AJ35*$BI35),0)</f>
        <v>0</v>
      </c>
      <c r="CN35" s="314">
        <f>IF($BI35&lt;&gt;"",IF('Capacity summary'!$D$14="Yes",IF(COUNTBLANK('Capacity summary'!$H154:$BG154)&lt;52,IF('Capacity summary'!AK154&lt;&gt;"",IF(LOWER('Capacity summary'!AK154)="x",$BI35*AK35,VALUE('Capacity summary'!AK154)),0),AK35*$BI35),AK35*$BI35),0)</f>
        <v>0</v>
      </c>
      <c r="CO35" s="314">
        <f>IF($BI35&lt;&gt;"",IF('Capacity summary'!$D$14="Yes",IF(COUNTBLANK('Capacity summary'!$H154:$BG154)&lt;52,IF('Capacity summary'!AL154&lt;&gt;"",IF(LOWER('Capacity summary'!AL154)="x",$BI35*AL35,VALUE('Capacity summary'!AL154)),0),AL35*$BI35),AL35*$BI35),0)</f>
        <v>0</v>
      </c>
      <c r="CP35" s="314">
        <f>IF($BI35&lt;&gt;"",IF('Capacity summary'!$D$14="Yes",IF(COUNTBLANK('Capacity summary'!$H154:$BG154)&lt;52,IF('Capacity summary'!AM154&lt;&gt;"",IF(LOWER('Capacity summary'!AM154)="x",$BI35*AM35,VALUE('Capacity summary'!AM154)),0),AM35*$BI35),AM35*$BI35),0)</f>
        <v>0</v>
      </c>
      <c r="CQ35" s="314">
        <f>IF($BI35&lt;&gt;"",IF('Capacity summary'!$D$14="Yes",IF(COUNTBLANK('Capacity summary'!$H154:$BG154)&lt;52,IF('Capacity summary'!AN154&lt;&gt;"",IF(LOWER('Capacity summary'!AN154)="x",$BI35*AN35,VALUE('Capacity summary'!AN154)),0),AN35*$BI35),AN35*$BI35),0)</f>
        <v>0</v>
      </c>
      <c r="CR35" s="314">
        <f>IF($BI35&lt;&gt;"",IF('Capacity summary'!$D$14="Yes",IF(COUNTBLANK('Capacity summary'!$H154:$BG154)&lt;52,IF('Capacity summary'!AO154&lt;&gt;"",IF(LOWER('Capacity summary'!AO154)="x",$BI35*AO35,VALUE('Capacity summary'!AO154)),0),AO35*$BI35),AO35*$BI35),0)</f>
        <v>0</v>
      </c>
      <c r="CS35" s="314">
        <f>IF($BI35&lt;&gt;"",IF('Capacity summary'!$D$14="Yes",IF(COUNTBLANK('Capacity summary'!$H154:$BG154)&lt;52,IF('Capacity summary'!AP154&lt;&gt;"",IF(LOWER('Capacity summary'!AP154)="x",$BI35*AP35,VALUE('Capacity summary'!AP154)),0),AP35*$BI35),AP35*$BI35),0)</f>
        <v>0</v>
      </c>
      <c r="CT35" s="314">
        <f>IF($BI35&lt;&gt;"",IF('Capacity summary'!$D$14="Yes",IF(COUNTBLANK('Capacity summary'!$H154:$BG154)&lt;52,IF('Capacity summary'!AQ154&lt;&gt;"",IF(LOWER('Capacity summary'!AQ154)="x",$BI35*AQ35,VALUE('Capacity summary'!AQ154)),0),AQ35*$BI35),AQ35*$BI35),0)</f>
        <v>0</v>
      </c>
      <c r="CU35" s="314">
        <f>IF($BI35&lt;&gt;"",IF('Capacity summary'!$D$14="Yes",IF(COUNTBLANK('Capacity summary'!$H154:$BG154)&lt;52,IF('Capacity summary'!AR154&lt;&gt;"",IF(LOWER('Capacity summary'!AR154)="x",$BI35*AR35,VALUE('Capacity summary'!AR154)),0),AR35*$BI35),AR35*$BI35),0)</f>
        <v>0</v>
      </c>
      <c r="CV35" s="314">
        <f>IF($BI35&lt;&gt;"",IF('Capacity summary'!$D$14="Yes",IF(COUNTBLANK('Capacity summary'!$H154:$BG154)&lt;52,IF('Capacity summary'!AS154&lt;&gt;"",IF(LOWER('Capacity summary'!AS154)="x",$BI35*AS35,VALUE('Capacity summary'!AS154)),0),AS35*$BI35),AS35*$BI35),0)</f>
        <v>0</v>
      </c>
      <c r="CW35" s="314">
        <f>IF($BI35&lt;&gt;"",IF('Capacity summary'!$D$14="Yes",IF(COUNTBLANK('Capacity summary'!$H154:$BG154)&lt;52,IF('Capacity summary'!AT154&lt;&gt;"",IF(LOWER('Capacity summary'!AT154)="x",$BI35*AT35,VALUE('Capacity summary'!AT154)),0),AT35*$BI35),AT35*$BI35),0)</f>
        <v>0</v>
      </c>
      <c r="CX35" s="314">
        <f>IF($BI35&lt;&gt;"",IF('Capacity summary'!$D$14="Yes",IF(COUNTBLANK('Capacity summary'!$H154:$BG154)&lt;52,IF('Capacity summary'!AU154&lt;&gt;"",IF(LOWER('Capacity summary'!AU154)="x",$BI35*AU35,VALUE('Capacity summary'!AU154)),0),AU35*$BI35),AU35*$BI35),0)</f>
        <v>0</v>
      </c>
      <c r="CY35" s="314">
        <f>IF($BI35&lt;&gt;"",IF('Capacity summary'!$D$14="Yes",IF(COUNTBLANK('Capacity summary'!$H154:$BG154)&lt;52,IF('Capacity summary'!AV154&lt;&gt;"",IF(LOWER('Capacity summary'!AV154)="x",$BI35*AV35,VALUE('Capacity summary'!AV154)),0),AV35*$BI35),AV35*$BI35),0)</f>
        <v>0</v>
      </c>
      <c r="CZ35" s="314">
        <f>IF($BI35&lt;&gt;"",IF('Capacity summary'!$D$14="Yes",IF(COUNTBLANK('Capacity summary'!$H154:$BG154)&lt;52,IF('Capacity summary'!AW154&lt;&gt;"",IF(LOWER('Capacity summary'!AW154)="x",$BI35*AW35,VALUE('Capacity summary'!AW154)),0),AW35*$BI35),AW35*$BI35),0)</f>
        <v>0</v>
      </c>
      <c r="DA35" s="314">
        <f>IF($BI35&lt;&gt;"",IF('Capacity summary'!$D$14="Yes",IF(COUNTBLANK('Capacity summary'!$H154:$BG154)&lt;52,IF('Capacity summary'!AX154&lt;&gt;"",IF(LOWER('Capacity summary'!AX154)="x",$BI35*AX35,VALUE('Capacity summary'!AX154)),0),AX35*$BI35),AX35*$BI35),0)</f>
        <v>0</v>
      </c>
      <c r="DB35" s="314">
        <f>IF($BI35&lt;&gt;"",IF('Capacity summary'!$D$14="Yes",IF(COUNTBLANK('Capacity summary'!$H154:$BG154)&lt;52,IF('Capacity summary'!AY154&lt;&gt;"",IF(LOWER('Capacity summary'!AY154)="x",$BI35*AY35,VALUE('Capacity summary'!AY154)),0),AY35*$BI35),AY35*$BI35),0)</f>
        <v>0</v>
      </c>
      <c r="DC35" s="314">
        <f>IF($BI35&lt;&gt;"",IF('Capacity summary'!$D$14="Yes",IF(COUNTBLANK('Capacity summary'!$H154:$BG154)&lt;52,IF('Capacity summary'!AZ154&lt;&gt;"",IF(LOWER('Capacity summary'!AZ154)="x",$BI35*AZ35,VALUE('Capacity summary'!AZ154)),0),AZ35*$BI35),AZ35*$BI35),0)</f>
        <v>0</v>
      </c>
      <c r="DD35" s="314">
        <f>IF($BI35&lt;&gt;"",IF('Capacity summary'!$D$14="Yes",IF(COUNTBLANK('Capacity summary'!$H154:$BG154)&lt;52,IF('Capacity summary'!BA154&lt;&gt;"",IF(LOWER('Capacity summary'!BA154)="x",$BI35*BA35,VALUE('Capacity summary'!BA154)),0),BA35*$BI35),BA35*$BI35),0)</f>
        <v>0</v>
      </c>
      <c r="DE35" s="314">
        <f>IF($BI35&lt;&gt;"",IF('Capacity summary'!$D$14="Yes",IF(COUNTBLANK('Capacity summary'!$H154:$BG154)&lt;52,IF('Capacity summary'!BB154&lt;&gt;"",IF(LOWER('Capacity summary'!BB154)="x",$BI35*BB35,VALUE('Capacity summary'!BB154)),0),BB35*$BI35),BB35*$BI35),0)</f>
        <v>0</v>
      </c>
      <c r="DF35" s="314">
        <f>IF($BI35&lt;&gt;"",IF('Capacity summary'!$D$14="Yes",IF(COUNTBLANK('Capacity summary'!$H154:$BG154)&lt;52,IF('Capacity summary'!BC154&lt;&gt;"",IF(LOWER('Capacity summary'!BC154)="x",$BI35*BC35,VALUE('Capacity summary'!BC154)),0),BC35*$BI35),BC35*$BI35),0)</f>
        <v>0</v>
      </c>
      <c r="DG35" s="314">
        <f>IF($BI35&lt;&gt;"",IF('Capacity summary'!$D$14="Yes",IF(COUNTBLANK('Capacity summary'!$H154:$BG154)&lt;52,IF('Capacity summary'!BD154&lt;&gt;"",IF(LOWER('Capacity summary'!BD154)="x",$BI35*BD35,VALUE('Capacity summary'!BD154)),0),BD35*$BI35),BD35*$BI35),0)</f>
        <v>0</v>
      </c>
      <c r="DH35" s="314">
        <f>IF($BI35&lt;&gt;"",IF('Capacity summary'!$D$14="Yes",IF(COUNTBLANK('Capacity summary'!$H154:$BG154)&lt;52,IF('Capacity summary'!BE154&lt;&gt;"",IF(LOWER('Capacity summary'!BE154)="x",$BI35*BE35,VALUE('Capacity summary'!BE154)),0),BE35*$BI35),BE35*$BI35),0)</f>
        <v>0</v>
      </c>
      <c r="DI35" s="314">
        <f>IF($BI35&lt;&gt;"",IF('Capacity summary'!$D$14="Yes",IF(COUNTBLANK('Capacity summary'!$H154:$BG154)&lt;52,IF('Capacity summary'!BF154&lt;&gt;"",IF(LOWER('Capacity summary'!BF154)="x",$BI35*BF35,VALUE('Capacity summary'!BF154)),0),BF35*$BI35),BF35*$BI35),0)</f>
        <v>0</v>
      </c>
      <c r="DJ35" s="314">
        <f>IF($BI35&lt;&gt;"",IF('Capacity summary'!$D$14="Yes",IF(COUNTBLANK('Capacity summary'!$H154:$BG154)&lt;52,IF('Capacity summary'!BG154&lt;&gt;"",IF(LOWER('Capacity summary'!BG154)="x",$BI35*BG35,VALUE('Capacity summary'!BG154)),0),BG35*$BI35),BG35*$BI35),0)</f>
        <v>0</v>
      </c>
      <c r="DK35" s="137">
        <f t="shared" si="2"/>
        <v>0</v>
      </c>
      <c r="DL35" s="314" t="str">
        <f>Capacity!H47</f>
        <v/>
      </c>
      <c r="DP35" s="5"/>
    </row>
    <row r="36" spans="2:120" x14ac:dyDescent="0.25">
      <c r="B36" s="67"/>
      <c r="C36" s="67" t="str">
        <f>ROW(A32)&amp;". "&amp;Capacity!B48</f>
        <v xml:space="preserve">32. </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IF(ROW(C32)&lt;=Capacity!$A$16,IF('Capacity summary'!$D$14="No",SUM(H36:BG36),'Capacity summary'!$E155),0)</f>
        <v>0</v>
      </c>
      <c r="BI36" s="5" t="str">
        <f>IF(BH36&gt;0,IF(BH36&lt;Capacity!E48,Capacity!F48,Capacity!H48/'Capacity calculation (hide)'!BH36),"")</f>
        <v/>
      </c>
      <c r="BK36" s="314">
        <f>IF($BI36&lt;&gt;"",IF('Capacity summary'!$D$14="Yes",IF(COUNTBLANK('Capacity summary'!$H155:$BG155)&lt;52,IF('Capacity summary'!H155&lt;&gt;"",IF(LOWER('Capacity summary'!H155)="x",$BI36*H36,VALUE('Capacity summary'!H155)),0),H36*$BI36),H36*$BI36),0)</f>
        <v>0</v>
      </c>
      <c r="BL36" s="314">
        <f>IF($BI36&lt;&gt;"",IF('Capacity summary'!$D$14="Yes",IF(COUNTBLANK('Capacity summary'!$H155:$BG155)&lt;52,IF('Capacity summary'!I155&lt;&gt;"",IF(LOWER('Capacity summary'!I155)="x",$BI36*I36,VALUE('Capacity summary'!I155)),0),I36*$BI36),I36*$BI36),0)</f>
        <v>0</v>
      </c>
      <c r="BM36" s="314">
        <f>IF($BI36&lt;&gt;"",IF('Capacity summary'!$D$14="Yes",IF(COUNTBLANK('Capacity summary'!$H155:$BG155)&lt;52,IF('Capacity summary'!J155&lt;&gt;"",IF(LOWER('Capacity summary'!J155)="x",$BI36*J36,VALUE('Capacity summary'!J155)),0),J36*$BI36),J36*$BI36),0)</f>
        <v>0</v>
      </c>
      <c r="BN36" s="314">
        <f>IF($BI36&lt;&gt;"",IF('Capacity summary'!$D$14="Yes",IF(COUNTBLANK('Capacity summary'!$H155:$BG155)&lt;52,IF('Capacity summary'!K155&lt;&gt;"",IF(LOWER('Capacity summary'!K155)="x",$BI36*K36,VALUE('Capacity summary'!K155)),0),K36*$BI36),K36*$BI36),0)</f>
        <v>0</v>
      </c>
      <c r="BO36" s="314">
        <f>IF($BI36&lt;&gt;"",IF('Capacity summary'!$D$14="Yes",IF(COUNTBLANK('Capacity summary'!$H155:$BG155)&lt;52,IF('Capacity summary'!L155&lt;&gt;"",IF(LOWER('Capacity summary'!L155)="x",$BI36*L36,VALUE('Capacity summary'!L155)),0),L36*$BI36),L36*$BI36),0)</f>
        <v>0</v>
      </c>
      <c r="BP36" s="314">
        <f>IF($BI36&lt;&gt;"",IF('Capacity summary'!$D$14="Yes",IF(COUNTBLANK('Capacity summary'!$H155:$BG155)&lt;52,IF('Capacity summary'!M155&lt;&gt;"",IF(LOWER('Capacity summary'!M155)="x",$BI36*M36,VALUE('Capacity summary'!M155)),0),M36*$BI36),M36*$BI36),0)</f>
        <v>0</v>
      </c>
      <c r="BQ36" s="314">
        <f>IF($BI36&lt;&gt;"",IF('Capacity summary'!$D$14="Yes",IF(COUNTBLANK('Capacity summary'!$H155:$BG155)&lt;52,IF('Capacity summary'!N155&lt;&gt;"",IF(LOWER('Capacity summary'!N155)="x",$BI36*N36,VALUE('Capacity summary'!N155)),0),N36*$BI36),N36*$BI36),0)</f>
        <v>0</v>
      </c>
      <c r="BR36" s="314">
        <f>IF($BI36&lt;&gt;"",IF('Capacity summary'!$D$14="Yes",IF(COUNTBLANK('Capacity summary'!$H155:$BG155)&lt;52,IF('Capacity summary'!O155&lt;&gt;"",IF(LOWER('Capacity summary'!O155)="x",$BI36*O36,VALUE('Capacity summary'!O155)),0),O36*$BI36),O36*$BI36),0)</f>
        <v>0</v>
      </c>
      <c r="BS36" s="314">
        <f>IF($BI36&lt;&gt;"",IF('Capacity summary'!$D$14="Yes",IF(COUNTBLANK('Capacity summary'!$H155:$BG155)&lt;52,IF('Capacity summary'!P155&lt;&gt;"",IF(LOWER('Capacity summary'!P155)="x",$BI36*P36,VALUE('Capacity summary'!P155)),0),P36*$BI36),P36*$BI36),0)</f>
        <v>0</v>
      </c>
      <c r="BT36" s="314">
        <f>IF($BI36&lt;&gt;"",IF('Capacity summary'!$D$14="Yes",IF(COUNTBLANK('Capacity summary'!$H155:$BG155)&lt;52,IF('Capacity summary'!Q155&lt;&gt;"",IF(LOWER('Capacity summary'!Q155)="x",$BI36*Q36,VALUE('Capacity summary'!Q155)),0),Q36*$BI36),Q36*$BI36),0)</f>
        <v>0</v>
      </c>
      <c r="BU36" s="314">
        <f>IF($BI36&lt;&gt;"",IF('Capacity summary'!$D$14="Yes",IF(COUNTBLANK('Capacity summary'!$H155:$BG155)&lt;52,IF('Capacity summary'!R155&lt;&gt;"",IF(LOWER('Capacity summary'!R155)="x",$BI36*R36,VALUE('Capacity summary'!R155)),0),R36*$BI36),R36*$BI36),0)</f>
        <v>0</v>
      </c>
      <c r="BV36" s="314">
        <f>IF($BI36&lt;&gt;"",IF('Capacity summary'!$D$14="Yes",IF(COUNTBLANK('Capacity summary'!$H155:$BG155)&lt;52,IF('Capacity summary'!S155&lt;&gt;"",IF(LOWER('Capacity summary'!S155)="x",$BI36*S36,VALUE('Capacity summary'!S155)),0),S36*$BI36),S36*$BI36),0)</f>
        <v>0</v>
      </c>
      <c r="BW36" s="314">
        <f>IF($BI36&lt;&gt;"",IF('Capacity summary'!$D$14="Yes",IF(COUNTBLANK('Capacity summary'!$H155:$BG155)&lt;52,IF('Capacity summary'!T155&lt;&gt;"",IF(LOWER('Capacity summary'!T155)="x",$BI36*T36,VALUE('Capacity summary'!T155)),0),T36*$BI36),T36*$BI36),0)</f>
        <v>0</v>
      </c>
      <c r="BX36" s="314">
        <f>IF($BI36&lt;&gt;"",IF('Capacity summary'!$D$14="Yes",IF(COUNTBLANK('Capacity summary'!$H155:$BG155)&lt;52,IF('Capacity summary'!U155&lt;&gt;"",IF(LOWER('Capacity summary'!U155)="x",$BI36*U36,VALUE('Capacity summary'!U155)),0),U36*$BI36),U36*$BI36),0)</f>
        <v>0</v>
      </c>
      <c r="BY36" s="314">
        <f>IF($BI36&lt;&gt;"",IF('Capacity summary'!$D$14="Yes",IF(COUNTBLANK('Capacity summary'!$H155:$BG155)&lt;52,IF('Capacity summary'!V155&lt;&gt;"",IF(LOWER('Capacity summary'!V155)="x",$BI36*V36,VALUE('Capacity summary'!V155)),0),V36*$BI36),V36*$BI36),0)</f>
        <v>0</v>
      </c>
      <c r="BZ36" s="314">
        <f>IF($BI36&lt;&gt;"",IF('Capacity summary'!$D$14="Yes",IF(COUNTBLANK('Capacity summary'!$H155:$BG155)&lt;52,IF('Capacity summary'!W155&lt;&gt;"",IF(LOWER('Capacity summary'!W155)="x",$BI36*W36,VALUE('Capacity summary'!W155)),0),W36*$BI36),W36*$BI36),0)</f>
        <v>0</v>
      </c>
      <c r="CA36" s="314">
        <f>IF($BI36&lt;&gt;"",IF('Capacity summary'!$D$14="Yes",IF(COUNTBLANK('Capacity summary'!$H155:$BG155)&lt;52,IF('Capacity summary'!X155&lt;&gt;"",IF(LOWER('Capacity summary'!X155)="x",$BI36*X36,VALUE('Capacity summary'!X155)),0),X36*$BI36),X36*$BI36),0)</f>
        <v>0</v>
      </c>
      <c r="CB36" s="314">
        <f>IF($BI36&lt;&gt;"",IF('Capacity summary'!$D$14="Yes",IF(COUNTBLANK('Capacity summary'!$H155:$BG155)&lt;52,IF('Capacity summary'!Y155&lt;&gt;"",IF(LOWER('Capacity summary'!Y155)="x",$BI36*Y36,VALUE('Capacity summary'!Y155)),0),Y36*$BI36),Y36*$BI36),0)</f>
        <v>0</v>
      </c>
      <c r="CC36" s="314">
        <f>IF($BI36&lt;&gt;"",IF('Capacity summary'!$D$14="Yes",IF(COUNTBLANK('Capacity summary'!$H155:$BG155)&lt;52,IF('Capacity summary'!Z155&lt;&gt;"",IF(LOWER('Capacity summary'!Z155)="x",$BI36*Z36,VALUE('Capacity summary'!Z155)),0),Z36*$BI36),Z36*$BI36),0)</f>
        <v>0</v>
      </c>
      <c r="CD36" s="314">
        <f>IF($BI36&lt;&gt;"",IF('Capacity summary'!$D$14="Yes",IF(COUNTBLANK('Capacity summary'!$H155:$BG155)&lt;52,IF('Capacity summary'!AA155&lt;&gt;"",IF(LOWER('Capacity summary'!AA155)="x",$BI36*AA36,VALUE('Capacity summary'!AA155)),0),AA36*$BI36),AA36*$BI36),0)</f>
        <v>0</v>
      </c>
      <c r="CE36" s="314">
        <f>IF($BI36&lt;&gt;"",IF('Capacity summary'!$D$14="Yes",IF(COUNTBLANK('Capacity summary'!$H155:$BG155)&lt;52,IF('Capacity summary'!AB155&lt;&gt;"",IF(LOWER('Capacity summary'!AB155)="x",$BI36*AB36,VALUE('Capacity summary'!AB155)),0),AB36*$BI36),AB36*$BI36),0)</f>
        <v>0</v>
      </c>
      <c r="CF36" s="314">
        <f>IF($BI36&lt;&gt;"",IF('Capacity summary'!$D$14="Yes",IF(COUNTBLANK('Capacity summary'!$H155:$BG155)&lt;52,IF('Capacity summary'!AC155&lt;&gt;"",IF(LOWER('Capacity summary'!AC155)="x",$BI36*AC36,VALUE('Capacity summary'!AC155)),0),AC36*$BI36),AC36*$BI36),0)</f>
        <v>0</v>
      </c>
      <c r="CG36" s="314">
        <f>IF($BI36&lt;&gt;"",IF('Capacity summary'!$D$14="Yes",IF(COUNTBLANK('Capacity summary'!$H155:$BG155)&lt;52,IF('Capacity summary'!AD155&lt;&gt;"",IF(LOWER('Capacity summary'!AD155)="x",$BI36*AD36,VALUE('Capacity summary'!AD155)),0),AD36*$BI36),AD36*$BI36),0)</f>
        <v>0</v>
      </c>
      <c r="CH36" s="314">
        <f>IF($BI36&lt;&gt;"",IF('Capacity summary'!$D$14="Yes",IF(COUNTBLANK('Capacity summary'!$H155:$BG155)&lt;52,IF('Capacity summary'!AE155&lt;&gt;"",IF(LOWER('Capacity summary'!AE155)="x",$BI36*AE36,VALUE('Capacity summary'!AE155)),0),AE36*$BI36),AE36*$BI36),0)</f>
        <v>0</v>
      </c>
      <c r="CI36" s="314">
        <f>IF($BI36&lt;&gt;"",IF('Capacity summary'!$D$14="Yes",IF(COUNTBLANK('Capacity summary'!$H155:$BG155)&lt;52,IF('Capacity summary'!AF155&lt;&gt;"",IF(LOWER('Capacity summary'!AF155)="x",$BI36*AF36,VALUE('Capacity summary'!AF155)),0),AF36*$BI36),AF36*$BI36),0)</f>
        <v>0</v>
      </c>
      <c r="CJ36" s="314">
        <f>IF($BI36&lt;&gt;"",IF('Capacity summary'!$D$14="Yes",IF(COUNTBLANK('Capacity summary'!$H155:$BG155)&lt;52,IF('Capacity summary'!AG155&lt;&gt;"",IF(LOWER('Capacity summary'!AG155)="x",$BI36*AG36,VALUE('Capacity summary'!AG155)),0),AG36*$BI36),AG36*$BI36),0)</f>
        <v>0</v>
      </c>
      <c r="CK36" s="314">
        <f>IF($BI36&lt;&gt;"",IF('Capacity summary'!$D$14="Yes",IF(COUNTBLANK('Capacity summary'!$H155:$BG155)&lt;52,IF('Capacity summary'!AH155&lt;&gt;"",IF(LOWER('Capacity summary'!AH155)="x",$BI36*AH36,VALUE('Capacity summary'!AH155)),0),AH36*$BI36),AH36*$BI36),0)</f>
        <v>0</v>
      </c>
      <c r="CL36" s="314">
        <f>IF($BI36&lt;&gt;"",IF('Capacity summary'!$D$14="Yes",IF(COUNTBLANK('Capacity summary'!$H155:$BG155)&lt;52,IF('Capacity summary'!AI155&lt;&gt;"",IF(LOWER('Capacity summary'!AI155)="x",$BI36*AI36,VALUE('Capacity summary'!AI155)),0),AI36*$BI36),AI36*$BI36),0)</f>
        <v>0</v>
      </c>
      <c r="CM36" s="314">
        <f>IF($BI36&lt;&gt;"",IF('Capacity summary'!$D$14="Yes",IF(COUNTBLANK('Capacity summary'!$H155:$BG155)&lt;52,IF('Capacity summary'!AJ155&lt;&gt;"",IF(LOWER('Capacity summary'!AJ155)="x",$BI36*AJ36,VALUE('Capacity summary'!AJ155)),0),AJ36*$BI36),AJ36*$BI36),0)</f>
        <v>0</v>
      </c>
      <c r="CN36" s="314">
        <f>IF($BI36&lt;&gt;"",IF('Capacity summary'!$D$14="Yes",IF(COUNTBLANK('Capacity summary'!$H155:$BG155)&lt;52,IF('Capacity summary'!AK155&lt;&gt;"",IF(LOWER('Capacity summary'!AK155)="x",$BI36*AK36,VALUE('Capacity summary'!AK155)),0),AK36*$BI36),AK36*$BI36),0)</f>
        <v>0</v>
      </c>
      <c r="CO36" s="314">
        <f>IF($BI36&lt;&gt;"",IF('Capacity summary'!$D$14="Yes",IF(COUNTBLANK('Capacity summary'!$H155:$BG155)&lt;52,IF('Capacity summary'!AL155&lt;&gt;"",IF(LOWER('Capacity summary'!AL155)="x",$BI36*AL36,VALUE('Capacity summary'!AL155)),0),AL36*$BI36),AL36*$BI36),0)</f>
        <v>0</v>
      </c>
      <c r="CP36" s="314">
        <f>IF($BI36&lt;&gt;"",IF('Capacity summary'!$D$14="Yes",IF(COUNTBLANK('Capacity summary'!$H155:$BG155)&lt;52,IF('Capacity summary'!AM155&lt;&gt;"",IF(LOWER('Capacity summary'!AM155)="x",$BI36*AM36,VALUE('Capacity summary'!AM155)),0),AM36*$BI36),AM36*$BI36),0)</f>
        <v>0</v>
      </c>
      <c r="CQ36" s="314">
        <f>IF($BI36&lt;&gt;"",IF('Capacity summary'!$D$14="Yes",IF(COUNTBLANK('Capacity summary'!$H155:$BG155)&lt;52,IF('Capacity summary'!AN155&lt;&gt;"",IF(LOWER('Capacity summary'!AN155)="x",$BI36*AN36,VALUE('Capacity summary'!AN155)),0),AN36*$BI36),AN36*$BI36),0)</f>
        <v>0</v>
      </c>
      <c r="CR36" s="314">
        <f>IF($BI36&lt;&gt;"",IF('Capacity summary'!$D$14="Yes",IF(COUNTBLANK('Capacity summary'!$H155:$BG155)&lt;52,IF('Capacity summary'!AO155&lt;&gt;"",IF(LOWER('Capacity summary'!AO155)="x",$BI36*AO36,VALUE('Capacity summary'!AO155)),0),AO36*$BI36),AO36*$BI36),0)</f>
        <v>0</v>
      </c>
      <c r="CS36" s="314">
        <f>IF($BI36&lt;&gt;"",IF('Capacity summary'!$D$14="Yes",IF(COUNTBLANK('Capacity summary'!$H155:$BG155)&lt;52,IF('Capacity summary'!AP155&lt;&gt;"",IF(LOWER('Capacity summary'!AP155)="x",$BI36*AP36,VALUE('Capacity summary'!AP155)),0),AP36*$BI36),AP36*$BI36),0)</f>
        <v>0</v>
      </c>
      <c r="CT36" s="314">
        <f>IF($BI36&lt;&gt;"",IF('Capacity summary'!$D$14="Yes",IF(COUNTBLANK('Capacity summary'!$H155:$BG155)&lt;52,IF('Capacity summary'!AQ155&lt;&gt;"",IF(LOWER('Capacity summary'!AQ155)="x",$BI36*AQ36,VALUE('Capacity summary'!AQ155)),0),AQ36*$BI36),AQ36*$BI36),0)</f>
        <v>0</v>
      </c>
      <c r="CU36" s="314">
        <f>IF($BI36&lt;&gt;"",IF('Capacity summary'!$D$14="Yes",IF(COUNTBLANK('Capacity summary'!$H155:$BG155)&lt;52,IF('Capacity summary'!AR155&lt;&gt;"",IF(LOWER('Capacity summary'!AR155)="x",$BI36*AR36,VALUE('Capacity summary'!AR155)),0),AR36*$BI36),AR36*$BI36),0)</f>
        <v>0</v>
      </c>
      <c r="CV36" s="314">
        <f>IF($BI36&lt;&gt;"",IF('Capacity summary'!$D$14="Yes",IF(COUNTBLANK('Capacity summary'!$H155:$BG155)&lt;52,IF('Capacity summary'!AS155&lt;&gt;"",IF(LOWER('Capacity summary'!AS155)="x",$BI36*AS36,VALUE('Capacity summary'!AS155)),0),AS36*$BI36),AS36*$BI36),0)</f>
        <v>0</v>
      </c>
      <c r="CW36" s="314">
        <f>IF($BI36&lt;&gt;"",IF('Capacity summary'!$D$14="Yes",IF(COUNTBLANK('Capacity summary'!$H155:$BG155)&lt;52,IF('Capacity summary'!AT155&lt;&gt;"",IF(LOWER('Capacity summary'!AT155)="x",$BI36*AT36,VALUE('Capacity summary'!AT155)),0),AT36*$BI36),AT36*$BI36),0)</f>
        <v>0</v>
      </c>
      <c r="CX36" s="314">
        <f>IF($BI36&lt;&gt;"",IF('Capacity summary'!$D$14="Yes",IF(COUNTBLANK('Capacity summary'!$H155:$BG155)&lt;52,IF('Capacity summary'!AU155&lt;&gt;"",IF(LOWER('Capacity summary'!AU155)="x",$BI36*AU36,VALUE('Capacity summary'!AU155)),0),AU36*$BI36),AU36*$BI36),0)</f>
        <v>0</v>
      </c>
      <c r="CY36" s="314">
        <f>IF($BI36&lt;&gt;"",IF('Capacity summary'!$D$14="Yes",IF(COUNTBLANK('Capacity summary'!$H155:$BG155)&lt;52,IF('Capacity summary'!AV155&lt;&gt;"",IF(LOWER('Capacity summary'!AV155)="x",$BI36*AV36,VALUE('Capacity summary'!AV155)),0),AV36*$BI36),AV36*$BI36),0)</f>
        <v>0</v>
      </c>
      <c r="CZ36" s="314">
        <f>IF($BI36&lt;&gt;"",IF('Capacity summary'!$D$14="Yes",IF(COUNTBLANK('Capacity summary'!$H155:$BG155)&lt;52,IF('Capacity summary'!AW155&lt;&gt;"",IF(LOWER('Capacity summary'!AW155)="x",$BI36*AW36,VALUE('Capacity summary'!AW155)),0),AW36*$BI36),AW36*$BI36),0)</f>
        <v>0</v>
      </c>
      <c r="DA36" s="314">
        <f>IF($BI36&lt;&gt;"",IF('Capacity summary'!$D$14="Yes",IF(COUNTBLANK('Capacity summary'!$H155:$BG155)&lt;52,IF('Capacity summary'!AX155&lt;&gt;"",IF(LOWER('Capacity summary'!AX155)="x",$BI36*AX36,VALUE('Capacity summary'!AX155)),0),AX36*$BI36),AX36*$BI36),0)</f>
        <v>0</v>
      </c>
      <c r="DB36" s="314">
        <f>IF($BI36&lt;&gt;"",IF('Capacity summary'!$D$14="Yes",IF(COUNTBLANK('Capacity summary'!$H155:$BG155)&lt;52,IF('Capacity summary'!AY155&lt;&gt;"",IF(LOWER('Capacity summary'!AY155)="x",$BI36*AY36,VALUE('Capacity summary'!AY155)),0),AY36*$BI36),AY36*$BI36),0)</f>
        <v>0</v>
      </c>
      <c r="DC36" s="314">
        <f>IF($BI36&lt;&gt;"",IF('Capacity summary'!$D$14="Yes",IF(COUNTBLANK('Capacity summary'!$H155:$BG155)&lt;52,IF('Capacity summary'!AZ155&lt;&gt;"",IF(LOWER('Capacity summary'!AZ155)="x",$BI36*AZ36,VALUE('Capacity summary'!AZ155)),0),AZ36*$BI36),AZ36*$BI36),0)</f>
        <v>0</v>
      </c>
      <c r="DD36" s="314">
        <f>IF($BI36&lt;&gt;"",IF('Capacity summary'!$D$14="Yes",IF(COUNTBLANK('Capacity summary'!$H155:$BG155)&lt;52,IF('Capacity summary'!BA155&lt;&gt;"",IF(LOWER('Capacity summary'!BA155)="x",$BI36*BA36,VALUE('Capacity summary'!BA155)),0),BA36*$BI36),BA36*$BI36),0)</f>
        <v>0</v>
      </c>
      <c r="DE36" s="314">
        <f>IF($BI36&lt;&gt;"",IF('Capacity summary'!$D$14="Yes",IF(COUNTBLANK('Capacity summary'!$H155:$BG155)&lt;52,IF('Capacity summary'!BB155&lt;&gt;"",IF(LOWER('Capacity summary'!BB155)="x",$BI36*BB36,VALUE('Capacity summary'!BB155)),0),BB36*$BI36),BB36*$BI36),0)</f>
        <v>0</v>
      </c>
      <c r="DF36" s="314">
        <f>IF($BI36&lt;&gt;"",IF('Capacity summary'!$D$14="Yes",IF(COUNTBLANK('Capacity summary'!$H155:$BG155)&lt;52,IF('Capacity summary'!BC155&lt;&gt;"",IF(LOWER('Capacity summary'!BC155)="x",$BI36*BC36,VALUE('Capacity summary'!BC155)),0),BC36*$BI36),BC36*$BI36),0)</f>
        <v>0</v>
      </c>
      <c r="DG36" s="314">
        <f>IF($BI36&lt;&gt;"",IF('Capacity summary'!$D$14="Yes",IF(COUNTBLANK('Capacity summary'!$H155:$BG155)&lt;52,IF('Capacity summary'!BD155&lt;&gt;"",IF(LOWER('Capacity summary'!BD155)="x",$BI36*BD36,VALUE('Capacity summary'!BD155)),0),BD36*$BI36),BD36*$BI36),0)</f>
        <v>0</v>
      </c>
      <c r="DH36" s="314">
        <f>IF($BI36&lt;&gt;"",IF('Capacity summary'!$D$14="Yes",IF(COUNTBLANK('Capacity summary'!$H155:$BG155)&lt;52,IF('Capacity summary'!BE155&lt;&gt;"",IF(LOWER('Capacity summary'!BE155)="x",$BI36*BE36,VALUE('Capacity summary'!BE155)),0),BE36*$BI36),BE36*$BI36),0)</f>
        <v>0</v>
      </c>
      <c r="DI36" s="314">
        <f>IF($BI36&lt;&gt;"",IF('Capacity summary'!$D$14="Yes",IF(COUNTBLANK('Capacity summary'!$H155:$BG155)&lt;52,IF('Capacity summary'!BF155&lt;&gt;"",IF(LOWER('Capacity summary'!BF155)="x",$BI36*BF36,VALUE('Capacity summary'!BF155)),0),BF36*$BI36),BF36*$BI36),0)</f>
        <v>0</v>
      </c>
      <c r="DJ36" s="314">
        <f>IF($BI36&lt;&gt;"",IF('Capacity summary'!$D$14="Yes",IF(COUNTBLANK('Capacity summary'!$H155:$BG155)&lt;52,IF('Capacity summary'!BG155&lt;&gt;"",IF(LOWER('Capacity summary'!BG155)="x",$BI36*BG36,VALUE('Capacity summary'!BG155)),0),BG36*$BI36),BG36*$BI36),0)</f>
        <v>0</v>
      </c>
      <c r="DK36" s="137">
        <f t="shared" si="2"/>
        <v>0</v>
      </c>
      <c r="DL36" s="314" t="str">
        <f>Capacity!H48</f>
        <v/>
      </c>
      <c r="DP36" s="5"/>
    </row>
    <row r="37" spans="2:120" x14ac:dyDescent="0.25">
      <c r="B37" s="67"/>
      <c r="C37" s="67" t="str">
        <f>ROW(A33)&amp;". "&amp;Capacity!B49</f>
        <v xml:space="preserve">33. </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IF(ROW(C33)&lt;=Capacity!$A$16,IF('Capacity summary'!$D$14="No",SUM(H37:BG37),'Capacity summary'!$E156),0)</f>
        <v>0</v>
      </c>
      <c r="BI37" s="5" t="str">
        <f>IF(BH37&gt;0,IF(BH37&lt;Capacity!E49,Capacity!F49,Capacity!H49/'Capacity calculation (hide)'!BH37),"")</f>
        <v/>
      </c>
      <c r="BK37" s="314">
        <f>IF($BI37&lt;&gt;"",IF('Capacity summary'!$D$14="Yes",IF(COUNTBLANK('Capacity summary'!$H156:$BG156)&lt;52,IF('Capacity summary'!H156&lt;&gt;"",IF(LOWER('Capacity summary'!H156)="x",$BI37*H37,VALUE('Capacity summary'!H156)),0),H37*$BI37),H37*$BI37),0)</f>
        <v>0</v>
      </c>
      <c r="BL37" s="314">
        <f>IF($BI37&lt;&gt;"",IF('Capacity summary'!$D$14="Yes",IF(COUNTBLANK('Capacity summary'!$H156:$BG156)&lt;52,IF('Capacity summary'!I156&lt;&gt;"",IF(LOWER('Capacity summary'!I156)="x",$BI37*I37,VALUE('Capacity summary'!I156)),0),I37*$BI37),I37*$BI37),0)</f>
        <v>0</v>
      </c>
      <c r="BM37" s="314">
        <f>IF($BI37&lt;&gt;"",IF('Capacity summary'!$D$14="Yes",IF(COUNTBLANK('Capacity summary'!$H156:$BG156)&lt;52,IF('Capacity summary'!J156&lt;&gt;"",IF(LOWER('Capacity summary'!J156)="x",$BI37*J37,VALUE('Capacity summary'!J156)),0),J37*$BI37),J37*$BI37),0)</f>
        <v>0</v>
      </c>
      <c r="BN37" s="314">
        <f>IF($BI37&lt;&gt;"",IF('Capacity summary'!$D$14="Yes",IF(COUNTBLANK('Capacity summary'!$H156:$BG156)&lt;52,IF('Capacity summary'!K156&lt;&gt;"",IF(LOWER('Capacity summary'!K156)="x",$BI37*K37,VALUE('Capacity summary'!K156)),0),K37*$BI37),K37*$BI37),0)</f>
        <v>0</v>
      </c>
      <c r="BO37" s="314">
        <f>IF($BI37&lt;&gt;"",IF('Capacity summary'!$D$14="Yes",IF(COUNTBLANK('Capacity summary'!$H156:$BG156)&lt;52,IF('Capacity summary'!L156&lt;&gt;"",IF(LOWER('Capacity summary'!L156)="x",$BI37*L37,VALUE('Capacity summary'!L156)),0),L37*$BI37),L37*$BI37),0)</f>
        <v>0</v>
      </c>
      <c r="BP37" s="314">
        <f>IF($BI37&lt;&gt;"",IF('Capacity summary'!$D$14="Yes",IF(COUNTBLANK('Capacity summary'!$H156:$BG156)&lt;52,IF('Capacity summary'!M156&lt;&gt;"",IF(LOWER('Capacity summary'!M156)="x",$BI37*M37,VALUE('Capacity summary'!M156)),0),M37*$BI37),M37*$BI37),0)</f>
        <v>0</v>
      </c>
      <c r="BQ37" s="314">
        <f>IF($BI37&lt;&gt;"",IF('Capacity summary'!$D$14="Yes",IF(COUNTBLANK('Capacity summary'!$H156:$BG156)&lt;52,IF('Capacity summary'!N156&lt;&gt;"",IF(LOWER('Capacity summary'!N156)="x",$BI37*N37,VALUE('Capacity summary'!N156)),0),N37*$BI37),N37*$BI37),0)</f>
        <v>0</v>
      </c>
      <c r="BR37" s="314">
        <f>IF($BI37&lt;&gt;"",IF('Capacity summary'!$D$14="Yes",IF(COUNTBLANK('Capacity summary'!$H156:$BG156)&lt;52,IF('Capacity summary'!O156&lt;&gt;"",IF(LOWER('Capacity summary'!O156)="x",$BI37*O37,VALUE('Capacity summary'!O156)),0),O37*$BI37),O37*$BI37),0)</f>
        <v>0</v>
      </c>
      <c r="BS37" s="314">
        <f>IF($BI37&lt;&gt;"",IF('Capacity summary'!$D$14="Yes",IF(COUNTBLANK('Capacity summary'!$H156:$BG156)&lt;52,IF('Capacity summary'!P156&lt;&gt;"",IF(LOWER('Capacity summary'!P156)="x",$BI37*P37,VALUE('Capacity summary'!P156)),0),P37*$BI37),P37*$BI37),0)</f>
        <v>0</v>
      </c>
      <c r="BT37" s="314">
        <f>IF($BI37&lt;&gt;"",IF('Capacity summary'!$D$14="Yes",IF(COUNTBLANK('Capacity summary'!$H156:$BG156)&lt;52,IF('Capacity summary'!Q156&lt;&gt;"",IF(LOWER('Capacity summary'!Q156)="x",$BI37*Q37,VALUE('Capacity summary'!Q156)),0),Q37*$BI37),Q37*$BI37),0)</f>
        <v>0</v>
      </c>
      <c r="BU37" s="314">
        <f>IF($BI37&lt;&gt;"",IF('Capacity summary'!$D$14="Yes",IF(COUNTBLANK('Capacity summary'!$H156:$BG156)&lt;52,IF('Capacity summary'!R156&lt;&gt;"",IF(LOWER('Capacity summary'!R156)="x",$BI37*R37,VALUE('Capacity summary'!R156)),0),R37*$BI37),R37*$BI37),0)</f>
        <v>0</v>
      </c>
      <c r="BV37" s="314">
        <f>IF($BI37&lt;&gt;"",IF('Capacity summary'!$D$14="Yes",IF(COUNTBLANK('Capacity summary'!$H156:$BG156)&lt;52,IF('Capacity summary'!S156&lt;&gt;"",IF(LOWER('Capacity summary'!S156)="x",$BI37*S37,VALUE('Capacity summary'!S156)),0),S37*$BI37),S37*$BI37),0)</f>
        <v>0</v>
      </c>
      <c r="BW37" s="314">
        <f>IF($BI37&lt;&gt;"",IF('Capacity summary'!$D$14="Yes",IF(COUNTBLANK('Capacity summary'!$H156:$BG156)&lt;52,IF('Capacity summary'!T156&lt;&gt;"",IF(LOWER('Capacity summary'!T156)="x",$BI37*T37,VALUE('Capacity summary'!T156)),0),T37*$BI37),T37*$BI37),0)</f>
        <v>0</v>
      </c>
      <c r="BX37" s="314">
        <f>IF($BI37&lt;&gt;"",IF('Capacity summary'!$D$14="Yes",IF(COUNTBLANK('Capacity summary'!$H156:$BG156)&lt;52,IF('Capacity summary'!U156&lt;&gt;"",IF(LOWER('Capacity summary'!U156)="x",$BI37*U37,VALUE('Capacity summary'!U156)),0),U37*$BI37),U37*$BI37),0)</f>
        <v>0</v>
      </c>
      <c r="BY37" s="314">
        <f>IF($BI37&lt;&gt;"",IF('Capacity summary'!$D$14="Yes",IF(COUNTBLANK('Capacity summary'!$H156:$BG156)&lt;52,IF('Capacity summary'!V156&lt;&gt;"",IF(LOWER('Capacity summary'!V156)="x",$BI37*V37,VALUE('Capacity summary'!V156)),0),V37*$BI37),V37*$BI37),0)</f>
        <v>0</v>
      </c>
      <c r="BZ37" s="314">
        <f>IF($BI37&lt;&gt;"",IF('Capacity summary'!$D$14="Yes",IF(COUNTBLANK('Capacity summary'!$H156:$BG156)&lt;52,IF('Capacity summary'!W156&lt;&gt;"",IF(LOWER('Capacity summary'!W156)="x",$BI37*W37,VALUE('Capacity summary'!W156)),0),W37*$BI37),W37*$BI37),0)</f>
        <v>0</v>
      </c>
      <c r="CA37" s="314">
        <f>IF($BI37&lt;&gt;"",IF('Capacity summary'!$D$14="Yes",IF(COUNTBLANK('Capacity summary'!$H156:$BG156)&lt;52,IF('Capacity summary'!X156&lt;&gt;"",IF(LOWER('Capacity summary'!X156)="x",$BI37*X37,VALUE('Capacity summary'!X156)),0),X37*$BI37),X37*$BI37),0)</f>
        <v>0</v>
      </c>
      <c r="CB37" s="314">
        <f>IF($BI37&lt;&gt;"",IF('Capacity summary'!$D$14="Yes",IF(COUNTBLANK('Capacity summary'!$H156:$BG156)&lt;52,IF('Capacity summary'!Y156&lt;&gt;"",IF(LOWER('Capacity summary'!Y156)="x",$BI37*Y37,VALUE('Capacity summary'!Y156)),0),Y37*$BI37),Y37*$BI37),0)</f>
        <v>0</v>
      </c>
      <c r="CC37" s="314">
        <f>IF($BI37&lt;&gt;"",IF('Capacity summary'!$D$14="Yes",IF(COUNTBLANK('Capacity summary'!$H156:$BG156)&lt;52,IF('Capacity summary'!Z156&lt;&gt;"",IF(LOWER('Capacity summary'!Z156)="x",$BI37*Z37,VALUE('Capacity summary'!Z156)),0),Z37*$BI37),Z37*$BI37),0)</f>
        <v>0</v>
      </c>
      <c r="CD37" s="314">
        <f>IF($BI37&lt;&gt;"",IF('Capacity summary'!$D$14="Yes",IF(COUNTBLANK('Capacity summary'!$H156:$BG156)&lt;52,IF('Capacity summary'!AA156&lt;&gt;"",IF(LOWER('Capacity summary'!AA156)="x",$BI37*AA37,VALUE('Capacity summary'!AA156)),0),AA37*$BI37),AA37*$BI37),0)</f>
        <v>0</v>
      </c>
      <c r="CE37" s="314">
        <f>IF($BI37&lt;&gt;"",IF('Capacity summary'!$D$14="Yes",IF(COUNTBLANK('Capacity summary'!$H156:$BG156)&lt;52,IF('Capacity summary'!AB156&lt;&gt;"",IF(LOWER('Capacity summary'!AB156)="x",$BI37*AB37,VALUE('Capacity summary'!AB156)),0),AB37*$BI37),AB37*$BI37),0)</f>
        <v>0</v>
      </c>
      <c r="CF37" s="314">
        <f>IF($BI37&lt;&gt;"",IF('Capacity summary'!$D$14="Yes",IF(COUNTBLANK('Capacity summary'!$H156:$BG156)&lt;52,IF('Capacity summary'!AC156&lt;&gt;"",IF(LOWER('Capacity summary'!AC156)="x",$BI37*AC37,VALUE('Capacity summary'!AC156)),0),AC37*$BI37),AC37*$BI37),0)</f>
        <v>0</v>
      </c>
      <c r="CG37" s="314">
        <f>IF($BI37&lt;&gt;"",IF('Capacity summary'!$D$14="Yes",IF(COUNTBLANK('Capacity summary'!$H156:$BG156)&lt;52,IF('Capacity summary'!AD156&lt;&gt;"",IF(LOWER('Capacity summary'!AD156)="x",$BI37*AD37,VALUE('Capacity summary'!AD156)),0),AD37*$BI37),AD37*$BI37),0)</f>
        <v>0</v>
      </c>
      <c r="CH37" s="314">
        <f>IF($BI37&lt;&gt;"",IF('Capacity summary'!$D$14="Yes",IF(COUNTBLANK('Capacity summary'!$H156:$BG156)&lt;52,IF('Capacity summary'!AE156&lt;&gt;"",IF(LOWER('Capacity summary'!AE156)="x",$BI37*AE37,VALUE('Capacity summary'!AE156)),0),AE37*$BI37),AE37*$BI37),0)</f>
        <v>0</v>
      </c>
      <c r="CI37" s="314">
        <f>IF($BI37&lt;&gt;"",IF('Capacity summary'!$D$14="Yes",IF(COUNTBLANK('Capacity summary'!$H156:$BG156)&lt;52,IF('Capacity summary'!AF156&lt;&gt;"",IF(LOWER('Capacity summary'!AF156)="x",$BI37*AF37,VALUE('Capacity summary'!AF156)),0),AF37*$BI37),AF37*$BI37),0)</f>
        <v>0</v>
      </c>
      <c r="CJ37" s="314">
        <f>IF($BI37&lt;&gt;"",IF('Capacity summary'!$D$14="Yes",IF(COUNTBLANK('Capacity summary'!$H156:$BG156)&lt;52,IF('Capacity summary'!AG156&lt;&gt;"",IF(LOWER('Capacity summary'!AG156)="x",$BI37*AG37,VALUE('Capacity summary'!AG156)),0),AG37*$BI37),AG37*$BI37),0)</f>
        <v>0</v>
      </c>
      <c r="CK37" s="314">
        <f>IF($BI37&lt;&gt;"",IF('Capacity summary'!$D$14="Yes",IF(COUNTBLANK('Capacity summary'!$H156:$BG156)&lt;52,IF('Capacity summary'!AH156&lt;&gt;"",IF(LOWER('Capacity summary'!AH156)="x",$BI37*AH37,VALUE('Capacity summary'!AH156)),0),AH37*$BI37),AH37*$BI37),0)</f>
        <v>0</v>
      </c>
      <c r="CL37" s="314">
        <f>IF($BI37&lt;&gt;"",IF('Capacity summary'!$D$14="Yes",IF(COUNTBLANK('Capacity summary'!$H156:$BG156)&lt;52,IF('Capacity summary'!AI156&lt;&gt;"",IF(LOWER('Capacity summary'!AI156)="x",$BI37*AI37,VALUE('Capacity summary'!AI156)),0),AI37*$BI37),AI37*$BI37),0)</f>
        <v>0</v>
      </c>
      <c r="CM37" s="314">
        <f>IF($BI37&lt;&gt;"",IF('Capacity summary'!$D$14="Yes",IF(COUNTBLANK('Capacity summary'!$H156:$BG156)&lt;52,IF('Capacity summary'!AJ156&lt;&gt;"",IF(LOWER('Capacity summary'!AJ156)="x",$BI37*AJ37,VALUE('Capacity summary'!AJ156)),0),AJ37*$BI37),AJ37*$BI37),0)</f>
        <v>0</v>
      </c>
      <c r="CN37" s="314">
        <f>IF($BI37&lt;&gt;"",IF('Capacity summary'!$D$14="Yes",IF(COUNTBLANK('Capacity summary'!$H156:$BG156)&lt;52,IF('Capacity summary'!AK156&lt;&gt;"",IF(LOWER('Capacity summary'!AK156)="x",$BI37*AK37,VALUE('Capacity summary'!AK156)),0),AK37*$BI37),AK37*$BI37),0)</f>
        <v>0</v>
      </c>
      <c r="CO37" s="314">
        <f>IF($BI37&lt;&gt;"",IF('Capacity summary'!$D$14="Yes",IF(COUNTBLANK('Capacity summary'!$H156:$BG156)&lt;52,IF('Capacity summary'!AL156&lt;&gt;"",IF(LOWER('Capacity summary'!AL156)="x",$BI37*AL37,VALUE('Capacity summary'!AL156)),0),AL37*$BI37),AL37*$BI37),0)</f>
        <v>0</v>
      </c>
      <c r="CP37" s="314">
        <f>IF($BI37&lt;&gt;"",IF('Capacity summary'!$D$14="Yes",IF(COUNTBLANK('Capacity summary'!$H156:$BG156)&lt;52,IF('Capacity summary'!AM156&lt;&gt;"",IF(LOWER('Capacity summary'!AM156)="x",$BI37*AM37,VALUE('Capacity summary'!AM156)),0),AM37*$BI37),AM37*$BI37),0)</f>
        <v>0</v>
      </c>
      <c r="CQ37" s="314">
        <f>IF($BI37&lt;&gt;"",IF('Capacity summary'!$D$14="Yes",IF(COUNTBLANK('Capacity summary'!$H156:$BG156)&lt;52,IF('Capacity summary'!AN156&lt;&gt;"",IF(LOWER('Capacity summary'!AN156)="x",$BI37*AN37,VALUE('Capacity summary'!AN156)),0),AN37*$BI37),AN37*$BI37),0)</f>
        <v>0</v>
      </c>
      <c r="CR37" s="314">
        <f>IF($BI37&lt;&gt;"",IF('Capacity summary'!$D$14="Yes",IF(COUNTBLANK('Capacity summary'!$H156:$BG156)&lt;52,IF('Capacity summary'!AO156&lt;&gt;"",IF(LOWER('Capacity summary'!AO156)="x",$BI37*AO37,VALUE('Capacity summary'!AO156)),0),AO37*$BI37),AO37*$BI37),0)</f>
        <v>0</v>
      </c>
      <c r="CS37" s="314">
        <f>IF($BI37&lt;&gt;"",IF('Capacity summary'!$D$14="Yes",IF(COUNTBLANK('Capacity summary'!$H156:$BG156)&lt;52,IF('Capacity summary'!AP156&lt;&gt;"",IF(LOWER('Capacity summary'!AP156)="x",$BI37*AP37,VALUE('Capacity summary'!AP156)),0),AP37*$BI37),AP37*$BI37),0)</f>
        <v>0</v>
      </c>
      <c r="CT37" s="314">
        <f>IF($BI37&lt;&gt;"",IF('Capacity summary'!$D$14="Yes",IF(COUNTBLANK('Capacity summary'!$H156:$BG156)&lt;52,IF('Capacity summary'!AQ156&lt;&gt;"",IF(LOWER('Capacity summary'!AQ156)="x",$BI37*AQ37,VALUE('Capacity summary'!AQ156)),0),AQ37*$BI37),AQ37*$BI37),0)</f>
        <v>0</v>
      </c>
      <c r="CU37" s="314">
        <f>IF($BI37&lt;&gt;"",IF('Capacity summary'!$D$14="Yes",IF(COUNTBLANK('Capacity summary'!$H156:$BG156)&lt;52,IF('Capacity summary'!AR156&lt;&gt;"",IF(LOWER('Capacity summary'!AR156)="x",$BI37*AR37,VALUE('Capacity summary'!AR156)),0),AR37*$BI37),AR37*$BI37),0)</f>
        <v>0</v>
      </c>
      <c r="CV37" s="314">
        <f>IF($BI37&lt;&gt;"",IF('Capacity summary'!$D$14="Yes",IF(COUNTBLANK('Capacity summary'!$H156:$BG156)&lt;52,IF('Capacity summary'!AS156&lt;&gt;"",IF(LOWER('Capacity summary'!AS156)="x",$BI37*AS37,VALUE('Capacity summary'!AS156)),0),AS37*$BI37),AS37*$BI37),0)</f>
        <v>0</v>
      </c>
      <c r="CW37" s="314">
        <f>IF($BI37&lt;&gt;"",IF('Capacity summary'!$D$14="Yes",IF(COUNTBLANK('Capacity summary'!$H156:$BG156)&lt;52,IF('Capacity summary'!AT156&lt;&gt;"",IF(LOWER('Capacity summary'!AT156)="x",$BI37*AT37,VALUE('Capacity summary'!AT156)),0),AT37*$BI37),AT37*$BI37),0)</f>
        <v>0</v>
      </c>
      <c r="CX37" s="314">
        <f>IF($BI37&lt;&gt;"",IF('Capacity summary'!$D$14="Yes",IF(COUNTBLANK('Capacity summary'!$H156:$BG156)&lt;52,IF('Capacity summary'!AU156&lt;&gt;"",IF(LOWER('Capacity summary'!AU156)="x",$BI37*AU37,VALUE('Capacity summary'!AU156)),0),AU37*$BI37),AU37*$BI37),0)</f>
        <v>0</v>
      </c>
      <c r="CY37" s="314">
        <f>IF($BI37&lt;&gt;"",IF('Capacity summary'!$D$14="Yes",IF(COUNTBLANK('Capacity summary'!$H156:$BG156)&lt;52,IF('Capacity summary'!AV156&lt;&gt;"",IF(LOWER('Capacity summary'!AV156)="x",$BI37*AV37,VALUE('Capacity summary'!AV156)),0),AV37*$BI37),AV37*$BI37),0)</f>
        <v>0</v>
      </c>
      <c r="CZ37" s="314">
        <f>IF($BI37&lt;&gt;"",IF('Capacity summary'!$D$14="Yes",IF(COUNTBLANK('Capacity summary'!$H156:$BG156)&lt;52,IF('Capacity summary'!AW156&lt;&gt;"",IF(LOWER('Capacity summary'!AW156)="x",$BI37*AW37,VALUE('Capacity summary'!AW156)),0),AW37*$BI37),AW37*$BI37),0)</f>
        <v>0</v>
      </c>
      <c r="DA37" s="314">
        <f>IF($BI37&lt;&gt;"",IF('Capacity summary'!$D$14="Yes",IF(COUNTBLANK('Capacity summary'!$H156:$BG156)&lt;52,IF('Capacity summary'!AX156&lt;&gt;"",IF(LOWER('Capacity summary'!AX156)="x",$BI37*AX37,VALUE('Capacity summary'!AX156)),0),AX37*$BI37),AX37*$BI37),0)</f>
        <v>0</v>
      </c>
      <c r="DB37" s="314">
        <f>IF($BI37&lt;&gt;"",IF('Capacity summary'!$D$14="Yes",IF(COUNTBLANK('Capacity summary'!$H156:$BG156)&lt;52,IF('Capacity summary'!AY156&lt;&gt;"",IF(LOWER('Capacity summary'!AY156)="x",$BI37*AY37,VALUE('Capacity summary'!AY156)),0),AY37*$BI37),AY37*$BI37),0)</f>
        <v>0</v>
      </c>
      <c r="DC37" s="314">
        <f>IF($BI37&lt;&gt;"",IF('Capacity summary'!$D$14="Yes",IF(COUNTBLANK('Capacity summary'!$H156:$BG156)&lt;52,IF('Capacity summary'!AZ156&lt;&gt;"",IF(LOWER('Capacity summary'!AZ156)="x",$BI37*AZ37,VALUE('Capacity summary'!AZ156)),0),AZ37*$BI37),AZ37*$BI37),0)</f>
        <v>0</v>
      </c>
      <c r="DD37" s="314">
        <f>IF($BI37&lt;&gt;"",IF('Capacity summary'!$D$14="Yes",IF(COUNTBLANK('Capacity summary'!$H156:$BG156)&lt;52,IF('Capacity summary'!BA156&lt;&gt;"",IF(LOWER('Capacity summary'!BA156)="x",$BI37*BA37,VALUE('Capacity summary'!BA156)),0),BA37*$BI37),BA37*$BI37),0)</f>
        <v>0</v>
      </c>
      <c r="DE37" s="314">
        <f>IF($BI37&lt;&gt;"",IF('Capacity summary'!$D$14="Yes",IF(COUNTBLANK('Capacity summary'!$H156:$BG156)&lt;52,IF('Capacity summary'!BB156&lt;&gt;"",IF(LOWER('Capacity summary'!BB156)="x",$BI37*BB37,VALUE('Capacity summary'!BB156)),0),BB37*$BI37),BB37*$BI37),0)</f>
        <v>0</v>
      </c>
      <c r="DF37" s="314">
        <f>IF($BI37&lt;&gt;"",IF('Capacity summary'!$D$14="Yes",IF(COUNTBLANK('Capacity summary'!$H156:$BG156)&lt;52,IF('Capacity summary'!BC156&lt;&gt;"",IF(LOWER('Capacity summary'!BC156)="x",$BI37*BC37,VALUE('Capacity summary'!BC156)),0),BC37*$BI37),BC37*$BI37),0)</f>
        <v>0</v>
      </c>
      <c r="DG37" s="314">
        <f>IF($BI37&lt;&gt;"",IF('Capacity summary'!$D$14="Yes",IF(COUNTBLANK('Capacity summary'!$H156:$BG156)&lt;52,IF('Capacity summary'!BD156&lt;&gt;"",IF(LOWER('Capacity summary'!BD156)="x",$BI37*BD37,VALUE('Capacity summary'!BD156)),0),BD37*$BI37),BD37*$BI37),0)</f>
        <v>0</v>
      </c>
      <c r="DH37" s="314">
        <f>IF($BI37&lt;&gt;"",IF('Capacity summary'!$D$14="Yes",IF(COUNTBLANK('Capacity summary'!$H156:$BG156)&lt;52,IF('Capacity summary'!BE156&lt;&gt;"",IF(LOWER('Capacity summary'!BE156)="x",$BI37*BE37,VALUE('Capacity summary'!BE156)),0),BE37*$BI37),BE37*$BI37),0)</f>
        <v>0</v>
      </c>
      <c r="DI37" s="314">
        <f>IF($BI37&lt;&gt;"",IF('Capacity summary'!$D$14="Yes",IF(COUNTBLANK('Capacity summary'!$H156:$BG156)&lt;52,IF('Capacity summary'!BF156&lt;&gt;"",IF(LOWER('Capacity summary'!BF156)="x",$BI37*BF37,VALUE('Capacity summary'!BF156)),0),BF37*$BI37),BF37*$BI37),0)</f>
        <v>0</v>
      </c>
      <c r="DJ37" s="314">
        <f>IF($BI37&lt;&gt;"",IF('Capacity summary'!$D$14="Yes",IF(COUNTBLANK('Capacity summary'!$H156:$BG156)&lt;52,IF('Capacity summary'!BG156&lt;&gt;"",IF(LOWER('Capacity summary'!BG156)="x",$BI37*BG37,VALUE('Capacity summary'!BG156)),0),BG37*$BI37),BG37*$BI37),0)</f>
        <v>0</v>
      </c>
      <c r="DK37" s="137">
        <f t="shared" si="2"/>
        <v>0</v>
      </c>
      <c r="DL37" s="314" t="str">
        <f>Capacity!H49</f>
        <v/>
      </c>
      <c r="DP37" s="5"/>
    </row>
    <row r="38" spans="2:120" x14ac:dyDescent="0.25">
      <c r="B38" s="67"/>
      <c r="C38" s="67" t="str">
        <f>ROW(A34)&amp;". "&amp;Capacity!B50</f>
        <v xml:space="preserve">34.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IF(ROW(C34)&lt;=Capacity!$A$16,IF('Capacity summary'!$D$14="No",SUM(H38:BG38),'Capacity summary'!$E157),0)</f>
        <v>0</v>
      </c>
      <c r="BI38" s="5" t="str">
        <f>IF(BH38&gt;0,IF(BH38&lt;Capacity!E50,Capacity!F50,Capacity!H50/'Capacity calculation (hide)'!BH38),"")</f>
        <v/>
      </c>
      <c r="BK38" s="314">
        <f>IF($BI38&lt;&gt;"",IF('Capacity summary'!$D$14="Yes",IF(COUNTBLANK('Capacity summary'!$H157:$BG157)&lt;52,IF('Capacity summary'!H157&lt;&gt;"",IF(LOWER('Capacity summary'!H157)="x",$BI38*H38,VALUE('Capacity summary'!H157)),0),H38*$BI38),H38*$BI38),0)</f>
        <v>0</v>
      </c>
      <c r="BL38" s="314">
        <f>IF($BI38&lt;&gt;"",IF('Capacity summary'!$D$14="Yes",IF(COUNTBLANK('Capacity summary'!$H157:$BG157)&lt;52,IF('Capacity summary'!I157&lt;&gt;"",IF(LOWER('Capacity summary'!I157)="x",$BI38*I38,VALUE('Capacity summary'!I157)),0),I38*$BI38),I38*$BI38),0)</f>
        <v>0</v>
      </c>
      <c r="BM38" s="314">
        <f>IF($BI38&lt;&gt;"",IF('Capacity summary'!$D$14="Yes",IF(COUNTBLANK('Capacity summary'!$H157:$BG157)&lt;52,IF('Capacity summary'!J157&lt;&gt;"",IF(LOWER('Capacity summary'!J157)="x",$BI38*J38,VALUE('Capacity summary'!J157)),0),J38*$BI38),J38*$BI38),0)</f>
        <v>0</v>
      </c>
      <c r="BN38" s="314">
        <f>IF($BI38&lt;&gt;"",IF('Capacity summary'!$D$14="Yes",IF(COUNTBLANK('Capacity summary'!$H157:$BG157)&lt;52,IF('Capacity summary'!K157&lt;&gt;"",IF(LOWER('Capacity summary'!K157)="x",$BI38*K38,VALUE('Capacity summary'!K157)),0),K38*$BI38),K38*$BI38),0)</f>
        <v>0</v>
      </c>
      <c r="BO38" s="314">
        <f>IF($BI38&lt;&gt;"",IF('Capacity summary'!$D$14="Yes",IF(COUNTBLANK('Capacity summary'!$H157:$BG157)&lt;52,IF('Capacity summary'!L157&lt;&gt;"",IF(LOWER('Capacity summary'!L157)="x",$BI38*L38,VALUE('Capacity summary'!L157)),0),L38*$BI38),L38*$BI38),0)</f>
        <v>0</v>
      </c>
      <c r="BP38" s="314">
        <f>IF($BI38&lt;&gt;"",IF('Capacity summary'!$D$14="Yes",IF(COUNTBLANK('Capacity summary'!$H157:$BG157)&lt;52,IF('Capacity summary'!M157&lt;&gt;"",IF(LOWER('Capacity summary'!M157)="x",$BI38*M38,VALUE('Capacity summary'!M157)),0),M38*$BI38),M38*$BI38),0)</f>
        <v>0</v>
      </c>
      <c r="BQ38" s="314">
        <f>IF($BI38&lt;&gt;"",IF('Capacity summary'!$D$14="Yes",IF(COUNTBLANK('Capacity summary'!$H157:$BG157)&lt;52,IF('Capacity summary'!N157&lt;&gt;"",IF(LOWER('Capacity summary'!N157)="x",$BI38*N38,VALUE('Capacity summary'!N157)),0),N38*$BI38),N38*$BI38),0)</f>
        <v>0</v>
      </c>
      <c r="BR38" s="314">
        <f>IF($BI38&lt;&gt;"",IF('Capacity summary'!$D$14="Yes",IF(COUNTBLANK('Capacity summary'!$H157:$BG157)&lt;52,IF('Capacity summary'!O157&lt;&gt;"",IF(LOWER('Capacity summary'!O157)="x",$BI38*O38,VALUE('Capacity summary'!O157)),0),O38*$BI38),O38*$BI38),0)</f>
        <v>0</v>
      </c>
      <c r="BS38" s="314">
        <f>IF($BI38&lt;&gt;"",IF('Capacity summary'!$D$14="Yes",IF(COUNTBLANK('Capacity summary'!$H157:$BG157)&lt;52,IF('Capacity summary'!P157&lt;&gt;"",IF(LOWER('Capacity summary'!P157)="x",$BI38*P38,VALUE('Capacity summary'!P157)),0),P38*$BI38),P38*$BI38),0)</f>
        <v>0</v>
      </c>
      <c r="BT38" s="314">
        <f>IF($BI38&lt;&gt;"",IF('Capacity summary'!$D$14="Yes",IF(COUNTBLANK('Capacity summary'!$H157:$BG157)&lt;52,IF('Capacity summary'!Q157&lt;&gt;"",IF(LOWER('Capacity summary'!Q157)="x",$BI38*Q38,VALUE('Capacity summary'!Q157)),0),Q38*$BI38),Q38*$BI38),0)</f>
        <v>0</v>
      </c>
      <c r="BU38" s="314">
        <f>IF($BI38&lt;&gt;"",IF('Capacity summary'!$D$14="Yes",IF(COUNTBLANK('Capacity summary'!$H157:$BG157)&lt;52,IF('Capacity summary'!R157&lt;&gt;"",IF(LOWER('Capacity summary'!R157)="x",$BI38*R38,VALUE('Capacity summary'!R157)),0),R38*$BI38),R38*$BI38),0)</f>
        <v>0</v>
      </c>
      <c r="BV38" s="314">
        <f>IF($BI38&lt;&gt;"",IF('Capacity summary'!$D$14="Yes",IF(COUNTBLANK('Capacity summary'!$H157:$BG157)&lt;52,IF('Capacity summary'!S157&lt;&gt;"",IF(LOWER('Capacity summary'!S157)="x",$BI38*S38,VALUE('Capacity summary'!S157)),0),S38*$BI38),S38*$BI38),0)</f>
        <v>0</v>
      </c>
      <c r="BW38" s="314">
        <f>IF($BI38&lt;&gt;"",IF('Capacity summary'!$D$14="Yes",IF(COUNTBLANK('Capacity summary'!$H157:$BG157)&lt;52,IF('Capacity summary'!T157&lt;&gt;"",IF(LOWER('Capacity summary'!T157)="x",$BI38*T38,VALUE('Capacity summary'!T157)),0),T38*$BI38),T38*$BI38),0)</f>
        <v>0</v>
      </c>
      <c r="BX38" s="314">
        <f>IF($BI38&lt;&gt;"",IF('Capacity summary'!$D$14="Yes",IF(COUNTBLANK('Capacity summary'!$H157:$BG157)&lt;52,IF('Capacity summary'!U157&lt;&gt;"",IF(LOWER('Capacity summary'!U157)="x",$BI38*U38,VALUE('Capacity summary'!U157)),0),U38*$BI38),U38*$BI38),0)</f>
        <v>0</v>
      </c>
      <c r="BY38" s="314">
        <f>IF($BI38&lt;&gt;"",IF('Capacity summary'!$D$14="Yes",IF(COUNTBLANK('Capacity summary'!$H157:$BG157)&lt;52,IF('Capacity summary'!V157&lt;&gt;"",IF(LOWER('Capacity summary'!V157)="x",$BI38*V38,VALUE('Capacity summary'!V157)),0),V38*$BI38),V38*$BI38),0)</f>
        <v>0</v>
      </c>
      <c r="BZ38" s="314">
        <f>IF($BI38&lt;&gt;"",IF('Capacity summary'!$D$14="Yes",IF(COUNTBLANK('Capacity summary'!$H157:$BG157)&lt;52,IF('Capacity summary'!W157&lt;&gt;"",IF(LOWER('Capacity summary'!W157)="x",$BI38*W38,VALUE('Capacity summary'!W157)),0),W38*$BI38),W38*$BI38),0)</f>
        <v>0</v>
      </c>
      <c r="CA38" s="314">
        <f>IF($BI38&lt;&gt;"",IF('Capacity summary'!$D$14="Yes",IF(COUNTBLANK('Capacity summary'!$H157:$BG157)&lt;52,IF('Capacity summary'!X157&lt;&gt;"",IF(LOWER('Capacity summary'!X157)="x",$BI38*X38,VALUE('Capacity summary'!X157)),0),X38*$BI38),X38*$BI38),0)</f>
        <v>0</v>
      </c>
      <c r="CB38" s="314">
        <f>IF($BI38&lt;&gt;"",IF('Capacity summary'!$D$14="Yes",IF(COUNTBLANK('Capacity summary'!$H157:$BG157)&lt;52,IF('Capacity summary'!Y157&lt;&gt;"",IF(LOWER('Capacity summary'!Y157)="x",$BI38*Y38,VALUE('Capacity summary'!Y157)),0),Y38*$BI38),Y38*$BI38),0)</f>
        <v>0</v>
      </c>
      <c r="CC38" s="314">
        <f>IF($BI38&lt;&gt;"",IF('Capacity summary'!$D$14="Yes",IF(COUNTBLANK('Capacity summary'!$H157:$BG157)&lt;52,IF('Capacity summary'!Z157&lt;&gt;"",IF(LOWER('Capacity summary'!Z157)="x",$BI38*Z38,VALUE('Capacity summary'!Z157)),0),Z38*$BI38),Z38*$BI38),0)</f>
        <v>0</v>
      </c>
      <c r="CD38" s="314">
        <f>IF($BI38&lt;&gt;"",IF('Capacity summary'!$D$14="Yes",IF(COUNTBLANK('Capacity summary'!$H157:$BG157)&lt;52,IF('Capacity summary'!AA157&lt;&gt;"",IF(LOWER('Capacity summary'!AA157)="x",$BI38*AA38,VALUE('Capacity summary'!AA157)),0),AA38*$BI38),AA38*$BI38),0)</f>
        <v>0</v>
      </c>
      <c r="CE38" s="314">
        <f>IF($BI38&lt;&gt;"",IF('Capacity summary'!$D$14="Yes",IF(COUNTBLANK('Capacity summary'!$H157:$BG157)&lt;52,IF('Capacity summary'!AB157&lt;&gt;"",IF(LOWER('Capacity summary'!AB157)="x",$BI38*AB38,VALUE('Capacity summary'!AB157)),0),AB38*$BI38),AB38*$BI38),0)</f>
        <v>0</v>
      </c>
      <c r="CF38" s="314">
        <f>IF($BI38&lt;&gt;"",IF('Capacity summary'!$D$14="Yes",IF(COUNTBLANK('Capacity summary'!$H157:$BG157)&lt;52,IF('Capacity summary'!AC157&lt;&gt;"",IF(LOWER('Capacity summary'!AC157)="x",$BI38*AC38,VALUE('Capacity summary'!AC157)),0),AC38*$BI38),AC38*$BI38),0)</f>
        <v>0</v>
      </c>
      <c r="CG38" s="314">
        <f>IF($BI38&lt;&gt;"",IF('Capacity summary'!$D$14="Yes",IF(COUNTBLANK('Capacity summary'!$H157:$BG157)&lt;52,IF('Capacity summary'!AD157&lt;&gt;"",IF(LOWER('Capacity summary'!AD157)="x",$BI38*AD38,VALUE('Capacity summary'!AD157)),0),AD38*$BI38),AD38*$BI38),0)</f>
        <v>0</v>
      </c>
      <c r="CH38" s="314">
        <f>IF($BI38&lt;&gt;"",IF('Capacity summary'!$D$14="Yes",IF(COUNTBLANK('Capacity summary'!$H157:$BG157)&lt;52,IF('Capacity summary'!AE157&lt;&gt;"",IF(LOWER('Capacity summary'!AE157)="x",$BI38*AE38,VALUE('Capacity summary'!AE157)),0),AE38*$BI38),AE38*$BI38),0)</f>
        <v>0</v>
      </c>
      <c r="CI38" s="314">
        <f>IF($BI38&lt;&gt;"",IF('Capacity summary'!$D$14="Yes",IF(COUNTBLANK('Capacity summary'!$H157:$BG157)&lt;52,IF('Capacity summary'!AF157&lt;&gt;"",IF(LOWER('Capacity summary'!AF157)="x",$BI38*AF38,VALUE('Capacity summary'!AF157)),0),AF38*$BI38),AF38*$BI38),0)</f>
        <v>0</v>
      </c>
      <c r="CJ38" s="314">
        <f>IF($BI38&lt;&gt;"",IF('Capacity summary'!$D$14="Yes",IF(COUNTBLANK('Capacity summary'!$H157:$BG157)&lt;52,IF('Capacity summary'!AG157&lt;&gt;"",IF(LOWER('Capacity summary'!AG157)="x",$BI38*AG38,VALUE('Capacity summary'!AG157)),0),AG38*$BI38),AG38*$BI38),0)</f>
        <v>0</v>
      </c>
      <c r="CK38" s="314">
        <f>IF($BI38&lt;&gt;"",IF('Capacity summary'!$D$14="Yes",IF(COUNTBLANK('Capacity summary'!$H157:$BG157)&lt;52,IF('Capacity summary'!AH157&lt;&gt;"",IF(LOWER('Capacity summary'!AH157)="x",$BI38*AH38,VALUE('Capacity summary'!AH157)),0),AH38*$BI38),AH38*$BI38),0)</f>
        <v>0</v>
      </c>
      <c r="CL38" s="314">
        <f>IF($BI38&lt;&gt;"",IF('Capacity summary'!$D$14="Yes",IF(COUNTBLANK('Capacity summary'!$H157:$BG157)&lt;52,IF('Capacity summary'!AI157&lt;&gt;"",IF(LOWER('Capacity summary'!AI157)="x",$BI38*AI38,VALUE('Capacity summary'!AI157)),0),AI38*$BI38),AI38*$BI38),0)</f>
        <v>0</v>
      </c>
      <c r="CM38" s="314">
        <f>IF($BI38&lt;&gt;"",IF('Capacity summary'!$D$14="Yes",IF(COUNTBLANK('Capacity summary'!$H157:$BG157)&lt;52,IF('Capacity summary'!AJ157&lt;&gt;"",IF(LOWER('Capacity summary'!AJ157)="x",$BI38*AJ38,VALUE('Capacity summary'!AJ157)),0),AJ38*$BI38),AJ38*$BI38),0)</f>
        <v>0</v>
      </c>
      <c r="CN38" s="314">
        <f>IF($BI38&lt;&gt;"",IF('Capacity summary'!$D$14="Yes",IF(COUNTBLANK('Capacity summary'!$H157:$BG157)&lt;52,IF('Capacity summary'!AK157&lt;&gt;"",IF(LOWER('Capacity summary'!AK157)="x",$BI38*AK38,VALUE('Capacity summary'!AK157)),0),AK38*$BI38),AK38*$BI38),0)</f>
        <v>0</v>
      </c>
      <c r="CO38" s="314">
        <f>IF($BI38&lt;&gt;"",IF('Capacity summary'!$D$14="Yes",IF(COUNTBLANK('Capacity summary'!$H157:$BG157)&lt;52,IF('Capacity summary'!AL157&lt;&gt;"",IF(LOWER('Capacity summary'!AL157)="x",$BI38*AL38,VALUE('Capacity summary'!AL157)),0),AL38*$BI38),AL38*$BI38),0)</f>
        <v>0</v>
      </c>
      <c r="CP38" s="314">
        <f>IF($BI38&lt;&gt;"",IF('Capacity summary'!$D$14="Yes",IF(COUNTBLANK('Capacity summary'!$H157:$BG157)&lt;52,IF('Capacity summary'!AM157&lt;&gt;"",IF(LOWER('Capacity summary'!AM157)="x",$BI38*AM38,VALUE('Capacity summary'!AM157)),0),AM38*$BI38),AM38*$BI38),0)</f>
        <v>0</v>
      </c>
      <c r="CQ38" s="314">
        <f>IF($BI38&lt;&gt;"",IF('Capacity summary'!$D$14="Yes",IF(COUNTBLANK('Capacity summary'!$H157:$BG157)&lt;52,IF('Capacity summary'!AN157&lt;&gt;"",IF(LOWER('Capacity summary'!AN157)="x",$BI38*AN38,VALUE('Capacity summary'!AN157)),0),AN38*$BI38),AN38*$BI38),0)</f>
        <v>0</v>
      </c>
      <c r="CR38" s="314">
        <f>IF($BI38&lt;&gt;"",IF('Capacity summary'!$D$14="Yes",IF(COUNTBLANK('Capacity summary'!$H157:$BG157)&lt;52,IF('Capacity summary'!AO157&lt;&gt;"",IF(LOWER('Capacity summary'!AO157)="x",$BI38*AO38,VALUE('Capacity summary'!AO157)),0),AO38*$BI38),AO38*$BI38),0)</f>
        <v>0</v>
      </c>
      <c r="CS38" s="314">
        <f>IF($BI38&lt;&gt;"",IF('Capacity summary'!$D$14="Yes",IF(COUNTBLANK('Capacity summary'!$H157:$BG157)&lt;52,IF('Capacity summary'!AP157&lt;&gt;"",IF(LOWER('Capacity summary'!AP157)="x",$BI38*AP38,VALUE('Capacity summary'!AP157)),0),AP38*$BI38),AP38*$BI38),0)</f>
        <v>0</v>
      </c>
      <c r="CT38" s="314">
        <f>IF($BI38&lt;&gt;"",IF('Capacity summary'!$D$14="Yes",IF(COUNTBLANK('Capacity summary'!$H157:$BG157)&lt;52,IF('Capacity summary'!AQ157&lt;&gt;"",IF(LOWER('Capacity summary'!AQ157)="x",$BI38*AQ38,VALUE('Capacity summary'!AQ157)),0),AQ38*$BI38),AQ38*$BI38),0)</f>
        <v>0</v>
      </c>
      <c r="CU38" s="314">
        <f>IF($BI38&lt;&gt;"",IF('Capacity summary'!$D$14="Yes",IF(COUNTBLANK('Capacity summary'!$H157:$BG157)&lt;52,IF('Capacity summary'!AR157&lt;&gt;"",IF(LOWER('Capacity summary'!AR157)="x",$BI38*AR38,VALUE('Capacity summary'!AR157)),0),AR38*$BI38),AR38*$BI38),0)</f>
        <v>0</v>
      </c>
      <c r="CV38" s="314">
        <f>IF($BI38&lt;&gt;"",IF('Capacity summary'!$D$14="Yes",IF(COUNTBLANK('Capacity summary'!$H157:$BG157)&lt;52,IF('Capacity summary'!AS157&lt;&gt;"",IF(LOWER('Capacity summary'!AS157)="x",$BI38*AS38,VALUE('Capacity summary'!AS157)),0),AS38*$BI38),AS38*$BI38),0)</f>
        <v>0</v>
      </c>
      <c r="CW38" s="314">
        <f>IF($BI38&lt;&gt;"",IF('Capacity summary'!$D$14="Yes",IF(COUNTBLANK('Capacity summary'!$H157:$BG157)&lt;52,IF('Capacity summary'!AT157&lt;&gt;"",IF(LOWER('Capacity summary'!AT157)="x",$BI38*AT38,VALUE('Capacity summary'!AT157)),0),AT38*$BI38),AT38*$BI38),0)</f>
        <v>0</v>
      </c>
      <c r="CX38" s="314">
        <f>IF($BI38&lt;&gt;"",IF('Capacity summary'!$D$14="Yes",IF(COUNTBLANK('Capacity summary'!$H157:$BG157)&lt;52,IF('Capacity summary'!AU157&lt;&gt;"",IF(LOWER('Capacity summary'!AU157)="x",$BI38*AU38,VALUE('Capacity summary'!AU157)),0),AU38*$BI38),AU38*$BI38),0)</f>
        <v>0</v>
      </c>
      <c r="CY38" s="314">
        <f>IF($BI38&lt;&gt;"",IF('Capacity summary'!$D$14="Yes",IF(COUNTBLANK('Capacity summary'!$H157:$BG157)&lt;52,IF('Capacity summary'!AV157&lt;&gt;"",IF(LOWER('Capacity summary'!AV157)="x",$BI38*AV38,VALUE('Capacity summary'!AV157)),0),AV38*$BI38),AV38*$BI38),0)</f>
        <v>0</v>
      </c>
      <c r="CZ38" s="314">
        <f>IF($BI38&lt;&gt;"",IF('Capacity summary'!$D$14="Yes",IF(COUNTBLANK('Capacity summary'!$H157:$BG157)&lt;52,IF('Capacity summary'!AW157&lt;&gt;"",IF(LOWER('Capacity summary'!AW157)="x",$BI38*AW38,VALUE('Capacity summary'!AW157)),0),AW38*$BI38),AW38*$BI38),0)</f>
        <v>0</v>
      </c>
      <c r="DA38" s="314">
        <f>IF($BI38&lt;&gt;"",IF('Capacity summary'!$D$14="Yes",IF(COUNTBLANK('Capacity summary'!$H157:$BG157)&lt;52,IF('Capacity summary'!AX157&lt;&gt;"",IF(LOWER('Capacity summary'!AX157)="x",$BI38*AX38,VALUE('Capacity summary'!AX157)),0),AX38*$BI38),AX38*$BI38),0)</f>
        <v>0</v>
      </c>
      <c r="DB38" s="314">
        <f>IF($BI38&lt;&gt;"",IF('Capacity summary'!$D$14="Yes",IF(COUNTBLANK('Capacity summary'!$H157:$BG157)&lt;52,IF('Capacity summary'!AY157&lt;&gt;"",IF(LOWER('Capacity summary'!AY157)="x",$BI38*AY38,VALUE('Capacity summary'!AY157)),0),AY38*$BI38),AY38*$BI38),0)</f>
        <v>0</v>
      </c>
      <c r="DC38" s="314">
        <f>IF($BI38&lt;&gt;"",IF('Capacity summary'!$D$14="Yes",IF(COUNTBLANK('Capacity summary'!$H157:$BG157)&lt;52,IF('Capacity summary'!AZ157&lt;&gt;"",IF(LOWER('Capacity summary'!AZ157)="x",$BI38*AZ38,VALUE('Capacity summary'!AZ157)),0),AZ38*$BI38),AZ38*$BI38),0)</f>
        <v>0</v>
      </c>
      <c r="DD38" s="314">
        <f>IF($BI38&lt;&gt;"",IF('Capacity summary'!$D$14="Yes",IF(COUNTBLANK('Capacity summary'!$H157:$BG157)&lt;52,IF('Capacity summary'!BA157&lt;&gt;"",IF(LOWER('Capacity summary'!BA157)="x",$BI38*BA38,VALUE('Capacity summary'!BA157)),0),BA38*$BI38),BA38*$BI38),0)</f>
        <v>0</v>
      </c>
      <c r="DE38" s="314">
        <f>IF($BI38&lt;&gt;"",IF('Capacity summary'!$D$14="Yes",IF(COUNTBLANK('Capacity summary'!$H157:$BG157)&lt;52,IF('Capacity summary'!BB157&lt;&gt;"",IF(LOWER('Capacity summary'!BB157)="x",$BI38*BB38,VALUE('Capacity summary'!BB157)),0),BB38*$BI38),BB38*$BI38),0)</f>
        <v>0</v>
      </c>
      <c r="DF38" s="314">
        <f>IF($BI38&lt;&gt;"",IF('Capacity summary'!$D$14="Yes",IF(COUNTBLANK('Capacity summary'!$H157:$BG157)&lt;52,IF('Capacity summary'!BC157&lt;&gt;"",IF(LOWER('Capacity summary'!BC157)="x",$BI38*BC38,VALUE('Capacity summary'!BC157)),0),BC38*$BI38),BC38*$BI38),0)</f>
        <v>0</v>
      </c>
      <c r="DG38" s="314">
        <f>IF($BI38&lt;&gt;"",IF('Capacity summary'!$D$14="Yes",IF(COUNTBLANK('Capacity summary'!$H157:$BG157)&lt;52,IF('Capacity summary'!BD157&lt;&gt;"",IF(LOWER('Capacity summary'!BD157)="x",$BI38*BD38,VALUE('Capacity summary'!BD157)),0),BD38*$BI38),BD38*$BI38),0)</f>
        <v>0</v>
      </c>
      <c r="DH38" s="314">
        <f>IF($BI38&lt;&gt;"",IF('Capacity summary'!$D$14="Yes",IF(COUNTBLANK('Capacity summary'!$H157:$BG157)&lt;52,IF('Capacity summary'!BE157&lt;&gt;"",IF(LOWER('Capacity summary'!BE157)="x",$BI38*BE38,VALUE('Capacity summary'!BE157)),0),BE38*$BI38),BE38*$BI38),0)</f>
        <v>0</v>
      </c>
      <c r="DI38" s="314">
        <f>IF($BI38&lt;&gt;"",IF('Capacity summary'!$D$14="Yes",IF(COUNTBLANK('Capacity summary'!$H157:$BG157)&lt;52,IF('Capacity summary'!BF157&lt;&gt;"",IF(LOWER('Capacity summary'!BF157)="x",$BI38*BF38,VALUE('Capacity summary'!BF157)),0),BF38*$BI38),BF38*$BI38),0)</f>
        <v>0</v>
      </c>
      <c r="DJ38" s="314">
        <f>IF($BI38&lt;&gt;"",IF('Capacity summary'!$D$14="Yes",IF(COUNTBLANK('Capacity summary'!$H157:$BG157)&lt;52,IF('Capacity summary'!BG157&lt;&gt;"",IF(LOWER('Capacity summary'!BG157)="x",$BI38*BG38,VALUE('Capacity summary'!BG157)),0),BG38*$BI38),BG38*$BI38),0)</f>
        <v>0</v>
      </c>
      <c r="DK38" s="137">
        <f t="shared" si="2"/>
        <v>0</v>
      </c>
      <c r="DL38" s="314" t="str">
        <f>Capacity!H50</f>
        <v/>
      </c>
      <c r="DP38" s="5"/>
    </row>
    <row r="39" spans="2:120" x14ac:dyDescent="0.25">
      <c r="B39" s="67"/>
      <c r="C39" s="67" t="str">
        <f>ROW(A35)&amp;". "&amp;Capacity!B51</f>
        <v xml:space="preserve">35.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IF(ROW(C35)&lt;=Capacity!$A$16,IF('Capacity summary'!$D$14="No",SUM(H39:BG39),'Capacity summary'!$E158),0)</f>
        <v>0</v>
      </c>
      <c r="BI39" s="5" t="str">
        <f>IF(BH39&gt;0,IF(BH39&lt;Capacity!E51,Capacity!F51,Capacity!H51/'Capacity calculation (hide)'!BH39),"")</f>
        <v/>
      </c>
      <c r="BK39" s="314">
        <f>IF($BI39&lt;&gt;"",IF('Capacity summary'!$D$14="Yes",IF(COUNTBLANK('Capacity summary'!$H158:$BG158)&lt;52,IF('Capacity summary'!H158&lt;&gt;"",IF(LOWER('Capacity summary'!H158)="x",$BI39*H39,VALUE('Capacity summary'!H158)),0),H39*$BI39),H39*$BI39),0)</f>
        <v>0</v>
      </c>
      <c r="BL39" s="314">
        <f>IF($BI39&lt;&gt;"",IF('Capacity summary'!$D$14="Yes",IF(COUNTBLANK('Capacity summary'!$H158:$BG158)&lt;52,IF('Capacity summary'!I158&lt;&gt;"",IF(LOWER('Capacity summary'!I158)="x",$BI39*I39,VALUE('Capacity summary'!I158)),0),I39*$BI39),I39*$BI39),0)</f>
        <v>0</v>
      </c>
      <c r="BM39" s="314">
        <f>IF($BI39&lt;&gt;"",IF('Capacity summary'!$D$14="Yes",IF(COUNTBLANK('Capacity summary'!$H158:$BG158)&lt;52,IF('Capacity summary'!J158&lt;&gt;"",IF(LOWER('Capacity summary'!J158)="x",$BI39*J39,VALUE('Capacity summary'!J158)),0),J39*$BI39),J39*$BI39),0)</f>
        <v>0</v>
      </c>
      <c r="BN39" s="314">
        <f>IF($BI39&lt;&gt;"",IF('Capacity summary'!$D$14="Yes",IF(COUNTBLANK('Capacity summary'!$H158:$BG158)&lt;52,IF('Capacity summary'!K158&lt;&gt;"",IF(LOWER('Capacity summary'!K158)="x",$BI39*K39,VALUE('Capacity summary'!K158)),0),K39*$BI39),K39*$BI39),0)</f>
        <v>0</v>
      </c>
      <c r="BO39" s="314">
        <f>IF($BI39&lt;&gt;"",IF('Capacity summary'!$D$14="Yes",IF(COUNTBLANK('Capacity summary'!$H158:$BG158)&lt;52,IF('Capacity summary'!L158&lt;&gt;"",IF(LOWER('Capacity summary'!L158)="x",$BI39*L39,VALUE('Capacity summary'!L158)),0),L39*$BI39),L39*$BI39),0)</f>
        <v>0</v>
      </c>
      <c r="BP39" s="314">
        <f>IF($BI39&lt;&gt;"",IF('Capacity summary'!$D$14="Yes",IF(COUNTBLANK('Capacity summary'!$H158:$BG158)&lt;52,IF('Capacity summary'!M158&lt;&gt;"",IF(LOWER('Capacity summary'!M158)="x",$BI39*M39,VALUE('Capacity summary'!M158)),0),M39*$BI39),M39*$BI39),0)</f>
        <v>0</v>
      </c>
      <c r="BQ39" s="314">
        <f>IF($BI39&lt;&gt;"",IF('Capacity summary'!$D$14="Yes",IF(COUNTBLANK('Capacity summary'!$H158:$BG158)&lt;52,IF('Capacity summary'!N158&lt;&gt;"",IF(LOWER('Capacity summary'!N158)="x",$BI39*N39,VALUE('Capacity summary'!N158)),0),N39*$BI39),N39*$BI39),0)</f>
        <v>0</v>
      </c>
      <c r="BR39" s="314">
        <f>IF($BI39&lt;&gt;"",IF('Capacity summary'!$D$14="Yes",IF(COUNTBLANK('Capacity summary'!$H158:$BG158)&lt;52,IF('Capacity summary'!O158&lt;&gt;"",IF(LOWER('Capacity summary'!O158)="x",$BI39*O39,VALUE('Capacity summary'!O158)),0),O39*$BI39),O39*$BI39),0)</f>
        <v>0</v>
      </c>
      <c r="BS39" s="314">
        <f>IF($BI39&lt;&gt;"",IF('Capacity summary'!$D$14="Yes",IF(COUNTBLANK('Capacity summary'!$H158:$BG158)&lt;52,IF('Capacity summary'!P158&lt;&gt;"",IF(LOWER('Capacity summary'!P158)="x",$BI39*P39,VALUE('Capacity summary'!P158)),0),P39*$BI39),P39*$BI39),0)</f>
        <v>0</v>
      </c>
      <c r="BT39" s="314">
        <f>IF($BI39&lt;&gt;"",IF('Capacity summary'!$D$14="Yes",IF(COUNTBLANK('Capacity summary'!$H158:$BG158)&lt;52,IF('Capacity summary'!Q158&lt;&gt;"",IF(LOWER('Capacity summary'!Q158)="x",$BI39*Q39,VALUE('Capacity summary'!Q158)),0),Q39*$BI39),Q39*$BI39),0)</f>
        <v>0</v>
      </c>
      <c r="BU39" s="314">
        <f>IF($BI39&lt;&gt;"",IF('Capacity summary'!$D$14="Yes",IF(COUNTBLANK('Capacity summary'!$H158:$BG158)&lt;52,IF('Capacity summary'!R158&lt;&gt;"",IF(LOWER('Capacity summary'!R158)="x",$BI39*R39,VALUE('Capacity summary'!R158)),0),R39*$BI39),R39*$BI39),0)</f>
        <v>0</v>
      </c>
      <c r="BV39" s="314">
        <f>IF($BI39&lt;&gt;"",IF('Capacity summary'!$D$14="Yes",IF(COUNTBLANK('Capacity summary'!$H158:$BG158)&lt;52,IF('Capacity summary'!S158&lt;&gt;"",IF(LOWER('Capacity summary'!S158)="x",$BI39*S39,VALUE('Capacity summary'!S158)),0),S39*$BI39),S39*$BI39),0)</f>
        <v>0</v>
      </c>
      <c r="BW39" s="314">
        <f>IF($BI39&lt;&gt;"",IF('Capacity summary'!$D$14="Yes",IF(COUNTBLANK('Capacity summary'!$H158:$BG158)&lt;52,IF('Capacity summary'!T158&lt;&gt;"",IF(LOWER('Capacity summary'!T158)="x",$BI39*T39,VALUE('Capacity summary'!T158)),0),T39*$BI39),T39*$BI39),0)</f>
        <v>0</v>
      </c>
      <c r="BX39" s="314">
        <f>IF($BI39&lt;&gt;"",IF('Capacity summary'!$D$14="Yes",IF(COUNTBLANK('Capacity summary'!$H158:$BG158)&lt;52,IF('Capacity summary'!U158&lt;&gt;"",IF(LOWER('Capacity summary'!U158)="x",$BI39*U39,VALUE('Capacity summary'!U158)),0),U39*$BI39),U39*$BI39),0)</f>
        <v>0</v>
      </c>
      <c r="BY39" s="314">
        <f>IF($BI39&lt;&gt;"",IF('Capacity summary'!$D$14="Yes",IF(COUNTBLANK('Capacity summary'!$H158:$BG158)&lt;52,IF('Capacity summary'!V158&lt;&gt;"",IF(LOWER('Capacity summary'!V158)="x",$BI39*V39,VALUE('Capacity summary'!V158)),0),V39*$BI39),V39*$BI39),0)</f>
        <v>0</v>
      </c>
      <c r="BZ39" s="314">
        <f>IF($BI39&lt;&gt;"",IF('Capacity summary'!$D$14="Yes",IF(COUNTBLANK('Capacity summary'!$H158:$BG158)&lt;52,IF('Capacity summary'!W158&lt;&gt;"",IF(LOWER('Capacity summary'!W158)="x",$BI39*W39,VALUE('Capacity summary'!W158)),0),W39*$BI39),W39*$BI39),0)</f>
        <v>0</v>
      </c>
      <c r="CA39" s="314">
        <f>IF($BI39&lt;&gt;"",IF('Capacity summary'!$D$14="Yes",IF(COUNTBLANK('Capacity summary'!$H158:$BG158)&lt;52,IF('Capacity summary'!X158&lt;&gt;"",IF(LOWER('Capacity summary'!X158)="x",$BI39*X39,VALUE('Capacity summary'!X158)),0),X39*$BI39),X39*$BI39),0)</f>
        <v>0</v>
      </c>
      <c r="CB39" s="314">
        <f>IF($BI39&lt;&gt;"",IF('Capacity summary'!$D$14="Yes",IF(COUNTBLANK('Capacity summary'!$H158:$BG158)&lt;52,IF('Capacity summary'!Y158&lt;&gt;"",IF(LOWER('Capacity summary'!Y158)="x",$BI39*Y39,VALUE('Capacity summary'!Y158)),0),Y39*$BI39),Y39*$BI39),0)</f>
        <v>0</v>
      </c>
      <c r="CC39" s="314">
        <f>IF($BI39&lt;&gt;"",IF('Capacity summary'!$D$14="Yes",IF(COUNTBLANK('Capacity summary'!$H158:$BG158)&lt;52,IF('Capacity summary'!Z158&lt;&gt;"",IF(LOWER('Capacity summary'!Z158)="x",$BI39*Z39,VALUE('Capacity summary'!Z158)),0),Z39*$BI39),Z39*$BI39),0)</f>
        <v>0</v>
      </c>
      <c r="CD39" s="314">
        <f>IF($BI39&lt;&gt;"",IF('Capacity summary'!$D$14="Yes",IF(COUNTBLANK('Capacity summary'!$H158:$BG158)&lt;52,IF('Capacity summary'!AA158&lt;&gt;"",IF(LOWER('Capacity summary'!AA158)="x",$BI39*AA39,VALUE('Capacity summary'!AA158)),0),AA39*$BI39),AA39*$BI39),0)</f>
        <v>0</v>
      </c>
      <c r="CE39" s="314">
        <f>IF($BI39&lt;&gt;"",IF('Capacity summary'!$D$14="Yes",IF(COUNTBLANK('Capacity summary'!$H158:$BG158)&lt;52,IF('Capacity summary'!AB158&lt;&gt;"",IF(LOWER('Capacity summary'!AB158)="x",$BI39*AB39,VALUE('Capacity summary'!AB158)),0),AB39*$BI39),AB39*$BI39),0)</f>
        <v>0</v>
      </c>
      <c r="CF39" s="314">
        <f>IF($BI39&lt;&gt;"",IF('Capacity summary'!$D$14="Yes",IF(COUNTBLANK('Capacity summary'!$H158:$BG158)&lt;52,IF('Capacity summary'!AC158&lt;&gt;"",IF(LOWER('Capacity summary'!AC158)="x",$BI39*AC39,VALUE('Capacity summary'!AC158)),0),AC39*$BI39),AC39*$BI39),0)</f>
        <v>0</v>
      </c>
      <c r="CG39" s="314">
        <f>IF($BI39&lt;&gt;"",IF('Capacity summary'!$D$14="Yes",IF(COUNTBLANK('Capacity summary'!$H158:$BG158)&lt;52,IF('Capacity summary'!AD158&lt;&gt;"",IF(LOWER('Capacity summary'!AD158)="x",$BI39*AD39,VALUE('Capacity summary'!AD158)),0),AD39*$BI39),AD39*$BI39),0)</f>
        <v>0</v>
      </c>
      <c r="CH39" s="314">
        <f>IF($BI39&lt;&gt;"",IF('Capacity summary'!$D$14="Yes",IF(COUNTBLANK('Capacity summary'!$H158:$BG158)&lt;52,IF('Capacity summary'!AE158&lt;&gt;"",IF(LOWER('Capacity summary'!AE158)="x",$BI39*AE39,VALUE('Capacity summary'!AE158)),0),AE39*$BI39),AE39*$BI39),0)</f>
        <v>0</v>
      </c>
      <c r="CI39" s="314">
        <f>IF($BI39&lt;&gt;"",IF('Capacity summary'!$D$14="Yes",IF(COUNTBLANK('Capacity summary'!$H158:$BG158)&lt;52,IF('Capacity summary'!AF158&lt;&gt;"",IF(LOWER('Capacity summary'!AF158)="x",$BI39*AF39,VALUE('Capacity summary'!AF158)),0),AF39*$BI39),AF39*$BI39),0)</f>
        <v>0</v>
      </c>
      <c r="CJ39" s="314">
        <f>IF($BI39&lt;&gt;"",IF('Capacity summary'!$D$14="Yes",IF(COUNTBLANK('Capacity summary'!$H158:$BG158)&lt;52,IF('Capacity summary'!AG158&lt;&gt;"",IF(LOWER('Capacity summary'!AG158)="x",$BI39*AG39,VALUE('Capacity summary'!AG158)),0),AG39*$BI39),AG39*$BI39),0)</f>
        <v>0</v>
      </c>
      <c r="CK39" s="314">
        <f>IF($BI39&lt;&gt;"",IF('Capacity summary'!$D$14="Yes",IF(COUNTBLANK('Capacity summary'!$H158:$BG158)&lt;52,IF('Capacity summary'!AH158&lt;&gt;"",IF(LOWER('Capacity summary'!AH158)="x",$BI39*AH39,VALUE('Capacity summary'!AH158)),0),AH39*$BI39),AH39*$BI39),0)</f>
        <v>0</v>
      </c>
      <c r="CL39" s="314">
        <f>IF($BI39&lt;&gt;"",IF('Capacity summary'!$D$14="Yes",IF(COUNTBLANK('Capacity summary'!$H158:$BG158)&lt;52,IF('Capacity summary'!AI158&lt;&gt;"",IF(LOWER('Capacity summary'!AI158)="x",$BI39*AI39,VALUE('Capacity summary'!AI158)),0),AI39*$BI39),AI39*$BI39),0)</f>
        <v>0</v>
      </c>
      <c r="CM39" s="314">
        <f>IF($BI39&lt;&gt;"",IF('Capacity summary'!$D$14="Yes",IF(COUNTBLANK('Capacity summary'!$H158:$BG158)&lt;52,IF('Capacity summary'!AJ158&lt;&gt;"",IF(LOWER('Capacity summary'!AJ158)="x",$BI39*AJ39,VALUE('Capacity summary'!AJ158)),0),AJ39*$BI39),AJ39*$BI39),0)</f>
        <v>0</v>
      </c>
      <c r="CN39" s="314">
        <f>IF($BI39&lt;&gt;"",IF('Capacity summary'!$D$14="Yes",IF(COUNTBLANK('Capacity summary'!$H158:$BG158)&lt;52,IF('Capacity summary'!AK158&lt;&gt;"",IF(LOWER('Capacity summary'!AK158)="x",$BI39*AK39,VALUE('Capacity summary'!AK158)),0),AK39*$BI39),AK39*$BI39),0)</f>
        <v>0</v>
      </c>
      <c r="CO39" s="314">
        <f>IF($BI39&lt;&gt;"",IF('Capacity summary'!$D$14="Yes",IF(COUNTBLANK('Capacity summary'!$H158:$BG158)&lt;52,IF('Capacity summary'!AL158&lt;&gt;"",IF(LOWER('Capacity summary'!AL158)="x",$BI39*AL39,VALUE('Capacity summary'!AL158)),0),AL39*$BI39),AL39*$BI39),0)</f>
        <v>0</v>
      </c>
      <c r="CP39" s="314">
        <f>IF($BI39&lt;&gt;"",IF('Capacity summary'!$D$14="Yes",IF(COUNTBLANK('Capacity summary'!$H158:$BG158)&lt;52,IF('Capacity summary'!AM158&lt;&gt;"",IF(LOWER('Capacity summary'!AM158)="x",$BI39*AM39,VALUE('Capacity summary'!AM158)),0),AM39*$BI39),AM39*$BI39),0)</f>
        <v>0</v>
      </c>
      <c r="CQ39" s="314">
        <f>IF($BI39&lt;&gt;"",IF('Capacity summary'!$D$14="Yes",IF(COUNTBLANK('Capacity summary'!$H158:$BG158)&lt;52,IF('Capacity summary'!AN158&lt;&gt;"",IF(LOWER('Capacity summary'!AN158)="x",$BI39*AN39,VALUE('Capacity summary'!AN158)),0),AN39*$BI39),AN39*$BI39),0)</f>
        <v>0</v>
      </c>
      <c r="CR39" s="314">
        <f>IF($BI39&lt;&gt;"",IF('Capacity summary'!$D$14="Yes",IF(COUNTBLANK('Capacity summary'!$H158:$BG158)&lt;52,IF('Capacity summary'!AO158&lt;&gt;"",IF(LOWER('Capacity summary'!AO158)="x",$BI39*AO39,VALUE('Capacity summary'!AO158)),0),AO39*$BI39),AO39*$BI39),0)</f>
        <v>0</v>
      </c>
      <c r="CS39" s="314">
        <f>IF($BI39&lt;&gt;"",IF('Capacity summary'!$D$14="Yes",IF(COUNTBLANK('Capacity summary'!$H158:$BG158)&lt;52,IF('Capacity summary'!AP158&lt;&gt;"",IF(LOWER('Capacity summary'!AP158)="x",$BI39*AP39,VALUE('Capacity summary'!AP158)),0),AP39*$BI39),AP39*$BI39),0)</f>
        <v>0</v>
      </c>
      <c r="CT39" s="314">
        <f>IF($BI39&lt;&gt;"",IF('Capacity summary'!$D$14="Yes",IF(COUNTBLANK('Capacity summary'!$H158:$BG158)&lt;52,IF('Capacity summary'!AQ158&lt;&gt;"",IF(LOWER('Capacity summary'!AQ158)="x",$BI39*AQ39,VALUE('Capacity summary'!AQ158)),0),AQ39*$BI39),AQ39*$BI39),0)</f>
        <v>0</v>
      </c>
      <c r="CU39" s="314">
        <f>IF($BI39&lt;&gt;"",IF('Capacity summary'!$D$14="Yes",IF(COUNTBLANK('Capacity summary'!$H158:$BG158)&lt;52,IF('Capacity summary'!AR158&lt;&gt;"",IF(LOWER('Capacity summary'!AR158)="x",$BI39*AR39,VALUE('Capacity summary'!AR158)),0),AR39*$BI39),AR39*$BI39),0)</f>
        <v>0</v>
      </c>
      <c r="CV39" s="314">
        <f>IF($BI39&lt;&gt;"",IF('Capacity summary'!$D$14="Yes",IF(COUNTBLANK('Capacity summary'!$H158:$BG158)&lt;52,IF('Capacity summary'!AS158&lt;&gt;"",IF(LOWER('Capacity summary'!AS158)="x",$BI39*AS39,VALUE('Capacity summary'!AS158)),0),AS39*$BI39),AS39*$BI39),0)</f>
        <v>0</v>
      </c>
      <c r="CW39" s="314">
        <f>IF($BI39&lt;&gt;"",IF('Capacity summary'!$D$14="Yes",IF(COUNTBLANK('Capacity summary'!$H158:$BG158)&lt;52,IF('Capacity summary'!AT158&lt;&gt;"",IF(LOWER('Capacity summary'!AT158)="x",$BI39*AT39,VALUE('Capacity summary'!AT158)),0),AT39*$BI39),AT39*$BI39),0)</f>
        <v>0</v>
      </c>
      <c r="CX39" s="314">
        <f>IF($BI39&lt;&gt;"",IF('Capacity summary'!$D$14="Yes",IF(COUNTBLANK('Capacity summary'!$H158:$BG158)&lt;52,IF('Capacity summary'!AU158&lt;&gt;"",IF(LOWER('Capacity summary'!AU158)="x",$BI39*AU39,VALUE('Capacity summary'!AU158)),0),AU39*$BI39),AU39*$BI39),0)</f>
        <v>0</v>
      </c>
      <c r="CY39" s="314">
        <f>IF($BI39&lt;&gt;"",IF('Capacity summary'!$D$14="Yes",IF(COUNTBLANK('Capacity summary'!$H158:$BG158)&lt;52,IF('Capacity summary'!AV158&lt;&gt;"",IF(LOWER('Capacity summary'!AV158)="x",$BI39*AV39,VALUE('Capacity summary'!AV158)),0),AV39*$BI39),AV39*$BI39),0)</f>
        <v>0</v>
      </c>
      <c r="CZ39" s="314">
        <f>IF($BI39&lt;&gt;"",IF('Capacity summary'!$D$14="Yes",IF(COUNTBLANK('Capacity summary'!$H158:$BG158)&lt;52,IF('Capacity summary'!AW158&lt;&gt;"",IF(LOWER('Capacity summary'!AW158)="x",$BI39*AW39,VALUE('Capacity summary'!AW158)),0),AW39*$BI39),AW39*$BI39),0)</f>
        <v>0</v>
      </c>
      <c r="DA39" s="314">
        <f>IF($BI39&lt;&gt;"",IF('Capacity summary'!$D$14="Yes",IF(COUNTBLANK('Capacity summary'!$H158:$BG158)&lt;52,IF('Capacity summary'!AX158&lt;&gt;"",IF(LOWER('Capacity summary'!AX158)="x",$BI39*AX39,VALUE('Capacity summary'!AX158)),0),AX39*$BI39),AX39*$BI39),0)</f>
        <v>0</v>
      </c>
      <c r="DB39" s="314">
        <f>IF($BI39&lt;&gt;"",IF('Capacity summary'!$D$14="Yes",IF(COUNTBLANK('Capacity summary'!$H158:$BG158)&lt;52,IF('Capacity summary'!AY158&lt;&gt;"",IF(LOWER('Capacity summary'!AY158)="x",$BI39*AY39,VALUE('Capacity summary'!AY158)),0),AY39*$BI39),AY39*$BI39),0)</f>
        <v>0</v>
      </c>
      <c r="DC39" s="314">
        <f>IF($BI39&lt;&gt;"",IF('Capacity summary'!$D$14="Yes",IF(COUNTBLANK('Capacity summary'!$H158:$BG158)&lt;52,IF('Capacity summary'!AZ158&lt;&gt;"",IF(LOWER('Capacity summary'!AZ158)="x",$BI39*AZ39,VALUE('Capacity summary'!AZ158)),0),AZ39*$BI39),AZ39*$BI39),0)</f>
        <v>0</v>
      </c>
      <c r="DD39" s="314">
        <f>IF($BI39&lt;&gt;"",IF('Capacity summary'!$D$14="Yes",IF(COUNTBLANK('Capacity summary'!$H158:$BG158)&lt;52,IF('Capacity summary'!BA158&lt;&gt;"",IF(LOWER('Capacity summary'!BA158)="x",$BI39*BA39,VALUE('Capacity summary'!BA158)),0),BA39*$BI39),BA39*$BI39),0)</f>
        <v>0</v>
      </c>
      <c r="DE39" s="314">
        <f>IF($BI39&lt;&gt;"",IF('Capacity summary'!$D$14="Yes",IF(COUNTBLANK('Capacity summary'!$H158:$BG158)&lt;52,IF('Capacity summary'!BB158&lt;&gt;"",IF(LOWER('Capacity summary'!BB158)="x",$BI39*BB39,VALUE('Capacity summary'!BB158)),0),BB39*$BI39),BB39*$BI39),0)</f>
        <v>0</v>
      </c>
      <c r="DF39" s="314">
        <f>IF($BI39&lt;&gt;"",IF('Capacity summary'!$D$14="Yes",IF(COUNTBLANK('Capacity summary'!$H158:$BG158)&lt;52,IF('Capacity summary'!BC158&lt;&gt;"",IF(LOWER('Capacity summary'!BC158)="x",$BI39*BC39,VALUE('Capacity summary'!BC158)),0),BC39*$BI39),BC39*$BI39),0)</f>
        <v>0</v>
      </c>
      <c r="DG39" s="314">
        <f>IF($BI39&lt;&gt;"",IF('Capacity summary'!$D$14="Yes",IF(COUNTBLANK('Capacity summary'!$H158:$BG158)&lt;52,IF('Capacity summary'!BD158&lt;&gt;"",IF(LOWER('Capacity summary'!BD158)="x",$BI39*BD39,VALUE('Capacity summary'!BD158)),0),BD39*$BI39),BD39*$BI39),0)</f>
        <v>0</v>
      </c>
      <c r="DH39" s="314">
        <f>IF($BI39&lt;&gt;"",IF('Capacity summary'!$D$14="Yes",IF(COUNTBLANK('Capacity summary'!$H158:$BG158)&lt;52,IF('Capacity summary'!BE158&lt;&gt;"",IF(LOWER('Capacity summary'!BE158)="x",$BI39*BE39,VALUE('Capacity summary'!BE158)),0),BE39*$BI39),BE39*$BI39),0)</f>
        <v>0</v>
      </c>
      <c r="DI39" s="314">
        <f>IF($BI39&lt;&gt;"",IF('Capacity summary'!$D$14="Yes",IF(COUNTBLANK('Capacity summary'!$H158:$BG158)&lt;52,IF('Capacity summary'!BF158&lt;&gt;"",IF(LOWER('Capacity summary'!BF158)="x",$BI39*BF39,VALUE('Capacity summary'!BF158)),0),BF39*$BI39),BF39*$BI39),0)</f>
        <v>0</v>
      </c>
      <c r="DJ39" s="314">
        <f>IF($BI39&lt;&gt;"",IF('Capacity summary'!$D$14="Yes",IF(COUNTBLANK('Capacity summary'!$H158:$BG158)&lt;52,IF('Capacity summary'!BG158&lt;&gt;"",IF(LOWER('Capacity summary'!BG158)="x",$BI39*BG39,VALUE('Capacity summary'!BG158)),0),BG39*$BI39),BG39*$BI39),0)</f>
        <v>0</v>
      </c>
      <c r="DK39" s="137">
        <f t="shared" si="2"/>
        <v>0</v>
      </c>
      <c r="DL39" s="314" t="str">
        <f>Capacity!H51</f>
        <v/>
      </c>
      <c r="DP39" s="5"/>
    </row>
    <row r="40" spans="2:120" x14ac:dyDescent="0.25">
      <c r="B40" s="67"/>
      <c r="C40" s="67" t="str">
        <f>ROW(A36)&amp;". "&amp;Capacity!B52</f>
        <v xml:space="preserve">36.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IF(ROW(C36)&lt;=Capacity!$A$16,IF('Capacity summary'!$D$14="No",SUM(H40:BG40),'Capacity summary'!$E159),0)</f>
        <v>0</v>
      </c>
      <c r="BI40" s="5" t="str">
        <f>IF(BH40&gt;0,IF(BH40&lt;Capacity!E52,Capacity!F52,Capacity!H52/'Capacity calculation (hide)'!BH40),"")</f>
        <v/>
      </c>
      <c r="BK40" s="314">
        <f>IF($BI40&lt;&gt;"",IF('Capacity summary'!$D$14="Yes",IF(COUNTBLANK('Capacity summary'!$H159:$BG159)&lt;52,IF('Capacity summary'!H159&lt;&gt;"",IF(LOWER('Capacity summary'!H159)="x",$BI40*H40,VALUE('Capacity summary'!H159)),0),H40*$BI40),H40*$BI40),0)</f>
        <v>0</v>
      </c>
      <c r="BL40" s="314">
        <f>IF($BI40&lt;&gt;"",IF('Capacity summary'!$D$14="Yes",IF(COUNTBLANK('Capacity summary'!$H159:$BG159)&lt;52,IF('Capacity summary'!I159&lt;&gt;"",IF(LOWER('Capacity summary'!I159)="x",$BI40*I40,VALUE('Capacity summary'!I159)),0),I40*$BI40),I40*$BI40),0)</f>
        <v>0</v>
      </c>
      <c r="BM40" s="314">
        <f>IF($BI40&lt;&gt;"",IF('Capacity summary'!$D$14="Yes",IF(COUNTBLANK('Capacity summary'!$H159:$BG159)&lt;52,IF('Capacity summary'!J159&lt;&gt;"",IF(LOWER('Capacity summary'!J159)="x",$BI40*J40,VALUE('Capacity summary'!J159)),0),J40*$BI40),J40*$BI40),0)</f>
        <v>0</v>
      </c>
      <c r="BN40" s="314">
        <f>IF($BI40&lt;&gt;"",IF('Capacity summary'!$D$14="Yes",IF(COUNTBLANK('Capacity summary'!$H159:$BG159)&lt;52,IF('Capacity summary'!K159&lt;&gt;"",IF(LOWER('Capacity summary'!K159)="x",$BI40*K40,VALUE('Capacity summary'!K159)),0),K40*$BI40),K40*$BI40),0)</f>
        <v>0</v>
      </c>
      <c r="BO40" s="314">
        <f>IF($BI40&lt;&gt;"",IF('Capacity summary'!$D$14="Yes",IF(COUNTBLANK('Capacity summary'!$H159:$BG159)&lt;52,IF('Capacity summary'!L159&lt;&gt;"",IF(LOWER('Capacity summary'!L159)="x",$BI40*L40,VALUE('Capacity summary'!L159)),0),L40*$BI40),L40*$BI40),0)</f>
        <v>0</v>
      </c>
      <c r="BP40" s="314">
        <f>IF($BI40&lt;&gt;"",IF('Capacity summary'!$D$14="Yes",IF(COUNTBLANK('Capacity summary'!$H159:$BG159)&lt;52,IF('Capacity summary'!M159&lt;&gt;"",IF(LOWER('Capacity summary'!M159)="x",$BI40*M40,VALUE('Capacity summary'!M159)),0),M40*$BI40),M40*$BI40),0)</f>
        <v>0</v>
      </c>
      <c r="BQ40" s="314">
        <f>IF($BI40&lt;&gt;"",IF('Capacity summary'!$D$14="Yes",IF(COUNTBLANK('Capacity summary'!$H159:$BG159)&lt;52,IF('Capacity summary'!N159&lt;&gt;"",IF(LOWER('Capacity summary'!N159)="x",$BI40*N40,VALUE('Capacity summary'!N159)),0),N40*$BI40),N40*$BI40),0)</f>
        <v>0</v>
      </c>
      <c r="BR40" s="314">
        <f>IF($BI40&lt;&gt;"",IF('Capacity summary'!$D$14="Yes",IF(COUNTBLANK('Capacity summary'!$H159:$BG159)&lt;52,IF('Capacity summary'!O159&lt;&gt;"",IF(LOWER('Capacity summary'!O159)="x",$BI40*O40,VALUE('Capacity summary'!O159)),0),O40*$BI40),O40*$BI40),0)</f>
        <v>0</v>
      </c>
      <c r="BS40" s="314">
        <f>IF($BI40&lt;&gt;"",IF('Capacity summary'!$D$14="Yes",IF(COUNTBLANK('Capacity summary'!$H159:$BG159)&lt;52,IF('Capacity summary'!P159&lt;&gt;"",IF(LOWER('Capacity summary'!P159)="x",$BI40*P40,VALUE('Capacity summary'!P159)),0),P40*$BI40),P40*$BI40),0)</f>
        <v>0</v>
      </c>
      <c r="BT40" s="314">
        <f>IF($BI40&lt;&gt;"",IF('Capacity summary'!$D$14="Yes",IF(COUNTBLANK('Capacity summary'!$H159:$BG159)&lt;52,IF('Capacity summary'!Q159&lt;&gt;"",IF(LOWER('Capacity summary'!Q159)="x",$BI40*Q40,VALUE('Capacity summary'!Q159)),0),Q40*$BI40),Q40*$BI40),0)</f>
        <v>0</v>
      </c>
      <c r="BU40" s="314">
        <f>IF($BI40&lt;&gt;"",IF('Capacity summary'!$D$14="Yes",IF(COUNTBLANK('Capacity summary'!$H159:$BG159)&lt;52,IF('Capacity summary'!R159&lt;&gt;"",IF(LOWER('Capacity summary'!R159)="x",$BI40*R40,VALUE('Capacity summary'!R159)),0),R40*$BI40),R40*$BI40),0)</f>
        <v>0</v>
      </c>
      <c r="BV40" s="314">
        <f>IF($BI40&lt;&gt;"",IF('Capacity summary'!$D$14="Yes",IF(COUNTBLANK('Capacity summary'!$H159:$BG159)&lt;52,IF('Capacity summary'!S159&lt;&gt;"",IF(LOWER('Capacity summary'!S159)="x",$BI40*S40,VALUE('Capacity summary'!S159)),0),S40*$BI40),S40*$BI40),0)</f>
        <v>0</v>
      </c>
      <c r="BW40" s="314">
        <f>IF($BI40&lt;&gt;"",IF('Capacity summary'!$D$14="Yes",IF(COUNTBLANK('Capacity summary'!$H159:$BG159)&lt;52,IF('Capacity summary'!T159&lt;&gt;"",IF(LOWER('Capacity summary'!T159)="x",$BI40*T40,VALUE('Capacity summary'!T159)),0),T40*$BI40),T40*$BI40),0)</f>
        <v>0</v>
      </c>
      <c r="BX40" s="314">
        <f>IF($BI40&lt;&gt;"",IF('Capacity summary'!$D$14="Yes",IF(COUNTBLANK('Capacity summary'!$H159:$BG159)&lt;52,IF('Capacity summary'!U159&lt;&gt;"",IF(LOWER('Capacity summary'!U159)="x",$BI40*U40,VALUE('Capacity summary'!U159)),0),U40*$BI40),U40*$BI40),0)</f>
        <v>0</v>
      </c>
      <c r="BY40" s="314">
        <f>IF($BI40&lt;&gt;"",IF('Capacity summary'!$D$14="Yes",IF(COUNTBLANK('Capacity summary'!$H159:$BG159)&lt;52,IF('Capacity summary'!V159&lt;&gt;"",IF(LOWER('Capacity summary'!V159)="x",$BI40*V40,VALUE('Capacity summary'!V159)),0),V40*$BI40),V40*$BI40),0)</f>
        <v>0</v>
      </c>
      <c r="BZ40" s="314">
        <f>IF($BI40&lt;&gt;"",IF('Capacity summary'!$D$14="Yes",IF(COUNTBLANK('Capacity summary'!$H159:$BG159)&lt;52,IF('Capacity summary'!W159&lt;&gt;"",IF(LOWER('Capacity summary'!W159)="x",$BI40*W40,VALUE('Capacity summary'!W159)),0),W40*$BI40),W40*$BI40),0)</f>
        <v>0</v>
      </c>
      <c r="CA40" s="314">
        <f>IF($BI40&lt;&gt;"",IF('Capacity summary'!$D$14="Yes",IF(COUNTBLANK('Capacity summary'!$H159:$BG159)&lt;52,IF('Capacity summary'!X159&lt;&gt;"",IF(LOWER('Capacity summary'!X159)="x",$BI40*X40,VALUE('Capacity summary'!X159)),0),X40*$BI40),X40*$BI40),0)</f>
        <v>0</v>
      </c>
      <c r="CB40" s="314">
        <f>IF($BI40&lt;&gt;"",IF('Capacity summary'!$D$14="Yes",IF(COUNTBLANK('Capacity summary'!$H159:$BG159)&lt;52,IF('Capacity summary'!Y159&lt;&gt;"",IF(LOWER('Capacity summary'!Y159)="x",$BI40*Y40,VALUE('Capacity summary'!Y159)),0),Y40*$BI40),Y40*$BI40),0)</f>
        <v>0</v>
      </c>
      <c r="CC40" s="314">
        <f>IF($BI40&lt;&gt;"",IF('Capacity summary'!$D$14="Yes",IF(COUNTBLANK('Capacity summary'!$H159:$BG159)&lt;52,IF('Capacity summary'!Z159&lt;&gt;"",IF(LOWER('Capacity summary'!Z159)="x",$BI40*Z40,VALUE('Capacity summary'!Z159)),0),Z40*$BI40),Z40*$BI40),0)</f>
        <v>0</v>
      </c>
      <c r="CD40" s="314">
        <f>IF($BI40&lt;&gt;"",IF('Capacity summary'!$D$14="Yes",IF(COUNTBLANK('Capacity summary'!$H159:$BG159)&lt;52,IF('Capacity summary'!AA159&lt;&gt;"",IF(LOWER('Capacity summary'!AA159)="x",$BI40*AA40,VALUE('Capacity summary'!AA159)),0),AA40*$BI40),AA40*$BI40),0)</f>
        <v>0</v>
      </c>
      <c r="CE40" s="314">
        <f>IF($BI40&lt;&gt;"",IF('Capacity summary'!$D$14="Yes",IF(COUNTBLANK('Capacity summary'!$H159:$BG159)&lt;52,IF('Capacity summary'!AB159&lt;&gt;"",IF(LOWER('Capacity summary'!AB159)="x",$BI40*AB40,VALUE('Capacity summary'!AB159)),0),AB40*$BI40),AB40*$BI40),0)</f>
        <v>0</v>
      </c>
      <c r="CF40" s="314">
        <f>IF($BI40&lt;&gt;"",IF('Capacity summary'!$D$14="Yes",IF(COUNTBLANK('Capacity summary'!$H159:$BG159)&lt;52,IF('Capacity summary'!AC159&lt;&gt;"",IF(LOWER('Capacity summary'!AC159)="x",$BI40*AC40,VALUE('Capacity summary'!AC159)),0),AC40*$BI40),AC40*$BI40),0)</f>
        <v>0</v>
      </c>
      <c r="CG40" s="314">
        <f>IF($BI40&lt;&gt;"",IF('Capacity summary'!$D$14="Yes",IF(COUNTBLANK('Capacity summary'!$H159:$BG159)&lt;52,IF('Capacity summary'!AD159&lt;&gt;"",IF(LOWER('Capacity summary'!AD159)="x",$BI40*AD40,VALUE('Capacity summary'!AD159)),0),AD40*$BI40),AD40*$BI40),0)</f>
        <v>0</v>
      </c>
      <c r="CH40" s="314">
        <f>IF($BI40&lt;&gt;"",IF('Capacity summary'!$D$14="Yes",IF(COUNTBLANK('Capacity summary'!$H159:$BG159)&lt;52,IF('Capacity summary'!AE159&lt;&gt;"",IF(LOWER('Capacity summary'!AE159)="x",$BI40*AE40,VALUE('Capacity summary'!AE159)),0),AE40*$BI40),AE40*$BI40),0)</f>
        <v>0</v>
      </c>
      <c r="CI40" s="314">
        <f>IF($BI40&lt;&gt;"",IF('Capacity summary'!$D$14="Yes",IF(COUNTBLANK('Capacity summary'!$H159:$BG159)&lt;52,IF('Capacity summary'!AF159&lt;&gt;"",IF(LOWER('Capacity summary'!AF159)="x",$BI40*AF40,VALUE('Capacity summary'!AF159)),0),AF40*$BI40),AF40*$BI40),0)</f>
        <v>0</v>
      </c>
      <c r="CJ40" s="314">
        <f>IF($BI40&lt;&gt;"",IF('Capacity summary'!$D$14="Yes",IF(COUNTBLANK('Capacity summary'!$H159:$BG159)&lt;52,IF('Capacity summary'!AG159&lt;&gt;"",IF(LOWER('Capacity summary'!AG159)="x",$BI40*AG40,VALUE('Capacity summary'!AG159)),0),AG40*$BI40),AG40*$BI40),0)</f>
        <v>0</v>
      </c>
      <c r="CK40" s="314">
        <f>IF($BI40&lt;&gt;"",IF('Capacity summary'!$D$14="Yes",IF(COUNTBLANK('Capacity summary'!$H159:$BG159)&lt;52,IF('Capacity summary'!AH159&lt;&gt;"",IF(LOWER('Capacity summary'!AH159)="x",$BI40*AH40,VALUE('Capacity summary'!AH159)),0),AH40*$BI40),AH40*$BI40),0)</f>
        <v>0</v>
      </c>
      <c r="CL40" s="314">
        <f>IF($BI40&lt;&gt;"",IF('Capacity summary'!$D$14="Yes",IF(COUNTBLANK('Capacity summary'!$H159:$BG159)&lt;52,IF('Capacity summary'!AI159&lt;&gt;"",IF(LOWER('Capacity summary'!AI159)="x",$BI40*AI40,VALUE('Capacity summary'!AI159)),0),AI40*$BI40),AI40*$BI40),0)</f>
        <v>0</v>
      </c>
      <c r="CM40" s="314">
        <f>IF($BI40&lt;&gt;"",IF('Capacity summary'!$D$14="Yes",IF(COUNTBLANK('Capacity summary'!$H159:$BG159)&lt;52,IF('Capacity summary'!AJ159&lt;&gt;"",IF(LOWER('Capacity summary'!AJ159)="x",$BI40*AJ40,VALUE('Capacity summary'!AJ159)),0),AJ40*$BI40),AJ40*$BI40),0)</f>
        <v>0</v>
      </c>
      <c r="CN40" s="314">
        <f>IF($BI40&lt;&gt;"",IF('Capacity summary'!$D$14="Yes",IF(COUNTBLANK('Capacity summary'!$H159:$BG159)&lt;52,IF('Capacity summary'!AK159&lt;&gt;"",IF(LOWER('Capacity summary'!AK159)="x",$BI40*AK40,VALUE('Capacity summary'!AK159)),0),AK40*$BI40),AK40*$BI40),0)</f>
        <v>0</v>
      </c>
      <c r="CO40" s="314">
        <f>IF($BI40&lt;&gt;"",IF('Capacity summary'!$D$14="Yes",IF(COUNTBLANK('Capacity summary'!$H159:$BG159)&lt;52,IF('Capacity summary'!AL159&lt;&gt;"",IF(LOWER('Capacity summary'!AL159)="x",$BI40*AL40,VALUE('Capacity summary'!AL159)),0),AL40*$BI40),AL40*$BI40),0)</f>
        <v>0</v>
      </c>
      <c r="CP40" s="314">
        <f>IF($BI40&lt;&gt;"",IF('Capacity summary'!$D$14="Yes",IF(COUNTBLANK('Capacity summary'!$H159:$BG159)&lt;52,IF('Capacity summary'!AM159&lt;&gt;"",IF(LOWER('Capacity summary'!AM159)="x",$BI40*AM40,VALUE('Capacity summary'!AM159)),0),AM40*$BI40),AM40*$BI40),0)</f>
        <v>0</v>
      </c>
      <c r="CQ40" s="314">
        <f>IF($BI40&lt;&gt;"",IF('Capacity summary'!$D$14="Yes",IF(COUNTBLANK('Capacity summary'!$H159:$BG159)&lt;52,IF('Capacity summary'!AN159&lt;&gt;"",IF(LOWER('Capacity summary'!AN159)="x",$BI40*AN40,VALUE('Capacity summary'!AN159)),0),AN40*$BI40),AN40*$BI40),0)</f>
        <v>0</v>
      </c>
      <c r="CR40" s="314">
        <f>IF($BI40&lt;&gt;"",IF('Capacity summary'!$D$14="Yes",IF(COUNTBLANK('Capacity summary'!$H159:$BG159)&lt;52,IF('Capacity summary'!AO159&lt;&gt;"",IF(LOWER('Capacity summary'!AO159)="x",$BI40*AO40,VALUE('Capacity summary'!AO159)),0),AO40*$BI40),AO40*$BI40),0)</f>
        <v>0</v>
      </c>
      <c r="CS40" s="314">
        <f>IF($BI40&lt;&gt;"",IF('Capacity summary'!$D$14="Yes",IF(COUNTBLANK('Capacity summary'!$H159:$BG159)&lt;52,IF('Capacity summary'!AP159&lt;&gt;"",IF(LOWER('Capacity summary'!AP159)="x",$BI40*AP40,VALUE('Capacity summary'!AP159)),0),AP40*$BI40),AP40*$BI40),0)</f>
        <v>0</v>
      </c>
      <c r="CT40" s="314">
        <f>IF($BI40&lt;&gt;"",IF('Capacity summary'!$D$14="Yes",IF(COUNTBLANK('Capacity summary'!$H159:$BG159)&lt;52,IF('Capacity summary'!AQ159&lt;&gt;"",IF(LOWER('Capacity summary'!AQ159)="x",$BI40*AQ40,VALUE('Capacity summary'!AQ159)),0),AQ40*$BI40),AQ40*$BI40),0)</f>
        <v>0</v>
      </c>
      <c r="CU40" s="314">
        <f>IF($BI40&lt;&gt;"",IF('Capacity summary'!$D$14="Yes",IF(COUNTBLANK('Capacity summary'!$H159:$BG159)&lt;52,IF('Capacity summary'!AR159&lt;&gt;"",IF(LOWER('Capacity summary'!AR159)="x",$BI40*AR40,VALUE('Capacity summary'!AR159)),0),AR40*$BI40),AR40*$BI40),0)</f>
        <v>0</v>
      </c>
      <c r="CV40" s="314">
        <f>IF($BI40&lt;&gt;"",IF('Capacity summary'!$D$14="Yes",IF(COUNTBLANK('Capacity summary'!$H159:$BG159)&lt;52,IF('Capacity summary'!AS159&lt;&gt;"",IF(LOWER('Capacity summary'!AS159)="x",$BI40*AS40,VALUE('Capacity summary'!AS159)),0),AS40*$BI40),AS40*$BI40),0)</f>
        <v>0</v>
      </c>
      <c r="CW40" s="314">
        <f>IF($BI40&lt;&gt;"",IF('Capacity summary'!$D$14="Yes",IF(COUNTBLANK('Capacity summary'!$H159:$BG159)&lt;52,IF('Capacity summary'!AT159&lt;&gt;"",IF(LOWER('Capacity summary'!AT159)="x",$BI40*AT40,VALUE('Capacity summary'!AT159)),0),AT40*$BI40),AT40*$BI40),0)</f>
        <v>0</v>
      </c>
      <c r="CX40" s="314">
        <f>IF($BI40&lt;&gt;"",IF('Capacity summary'!$D$14="Yes",IF(COUNTBLANK('Capacity summary'!$H159:$BG159)&lt;52,IF('Capacity summary'!AU159&lt;&gt;"",IF(LOWER('Capacity summary'!AU159)="x",$BI40*AU40,VALUE('Capacity summary'!AU159)),0),AU40*$BI40),AU40*$BI40),0)</f>
        <v>0</v>
      </c>
      <c r="CY40" s="314">
        <f>IF($BI40&lt;&gt;"",IF('Capacity summary'!$D$14="Yes",IF(COUNTBLANK('Capacity summary'!$H159:$BG159)&lt;52,IF('Capacity summary'!AV159&lt;&gt;"",IF(LOWER('Capacity summary'!AV159)="x",$BI40*AV40,VALUE('Capacity summary'!AV159)),0),AV40*$BI40),AV40*$BI40),0)</f>
        <v>0</v>
      </c>
      <c r="CZ40" s="314">
        <f>IF($BI40&lt;&gt;"",IF('Capacity summary'!$D$14="Yes",IF(COUNTBLANK('Capacity summary'!$H159:$BG159)&lt;52,IF('Capacity summary'!AW159&lt;&gt;"",IF(LOWER('Capacity summary'!AW159)="x",$BI40*AW40,VALUE('Capacity summary'!AW159)),0),AW40*$BI40),AW40*$BI40),0)</f>
        <v>0</v>
      </c>
      <c r="DA40" s="314">
        <f>IF($BI40&lt;&gt;"",IF('Capacity summary'!$D$14="Yes",IF(COUNTBLANK('Capacity summary'!$H159:$BG159)&lt;52,IF('Capacity summary'!AX159&lt;&gt;"",IF(LOWER('Capacity summary'!AX159)="x",$BI40*AX40,VALUE('Capacity summary'!AX159)),0),AX40*$BI40),AX40*$BI40),0)</f>
        <v>0</v>
      </c>
      <c r="DB40" s="314">
        <f>IF($BI40&lt;&gt;"",IF('Capacity summary'!$D$14="Yes",IF(COUNTBLANK('Capacity summary'!$H159:$BG159)&lt;52,IF('Capacity summary'!AY159&lt;&gt;"",IF(LOWER('Capacity summary'!AY159)="x",$BI40*AY40,VALUE('Capacity summary'!AY159)),0),AY40*$BI40),AY40*$BI40),0)</f>
        <v>0</v>
      </c>
      <c r="DC40" s="314">
        <f>IF($BI40&lt;&gt;"",IF('Capacity summary'!$D$14="Yes",IF(COUNTBLANK('Capacity summary'!$H159:$BG159)&lt;52,IF('Capacity summary'!AZ159&lt;&gt;"",IF(LOWER('Capacity summary'!AZ159)="x",$BI40*AZ40,VALUE('Capacity summary'!AZ159)),0),AZ40*$BI40),AZ40*$BI40),0)</f>
        <v>0</v>
      </c>
      <c r="DD40" s="314">
        <f>IF($BI40&lt;&gt;"",IF('Capacity summary'!$D$14="Yes",IF(COUNTBLANK('Capacity summary'!$H159:$BG159)&lt;52,IF('Capacity summary'!BA159&lt;&gt;"",IF(LOWER('Capacity summary'!BA159)="x",$BI40*BA40,VALUE('Capacity summary'!BA159)),0),BA40*$BI40),BA40*$BI40),0)</f>
        <v>0</v>
      </c>
      <c r="DE40" s="314">
        <f>IF($BI40&lt;&gt;"",IF('Capacity summary'!$D$14="Yes",IF(COUNTBLANK('Capacity summary'!$H159:$BG159)&lt;52,IF('Capacity summary'!BB159&lt;&gt;"",IF(LOWER('Capacity summary'!BB159)="x",$BI40*BB40,VALUE('Capacity summary'!BB159)),0),BB40*$BI40),BB40*$BI40),0)</f>
        <v>0</v>
      </c>
      <c r="DF40" s="314">
        <f>IF($BI40&lt;&gt;"",IF('Capacity summary'!$D$14="Yes",IF(COUNTBLANK('Capacity summary'!$H159:$BG159)&lt;52,IF('Capacity summary'!BC159&lt;&gt;"",IF(LOWER('Capacity summary'!BC159)="x",$BI40*BC40,VALUE('Capacity summary'!BC159)),0),BC40*$BI40),BC40*$BI40),0)</f>
        <v>0</v>
      </c>
      <c r="DG40" s="314">
        <f>IF($BI40&lt;&gt;"",IF('Capacity summary'!$D$14="Yes",IF(COUNTBLANK('Capacity summary'!$H159:$BG159)&lt;52,IF('Capacity summary'!BD159&lt;&gt;"",IF(LOWER('Capacity summary'!BD159)="x",$BI40*BD40,VALUE('Capacity summary'!BD159)),0),BD40*$BI40),BD40*$BI40),0)</f>
        <v>0</v>
      </c>
      <c r="DH40" s="314">
        <f>IF($BI40&lt;&gt;"",IF('Capacity summary'!$D$14="Yes",IF(COUNTBLANK('Capacity summary'!$H159:$BG159)&lt;52,IF('Capacity summary'!BE159&lt;&gt;"",IF(LOWER('Capacity summary'!BE159)="x",$BI40*BE40,VALUE('Capacity summary'!BE159)),0),BE40*$BI40),BE40*$BI40),0)</f>
        <v>0</v>
      </c>
      <c r="DI40" s="314">
        <f>IF($BI40&lt;&gt;"",IF('Capacity summary'!$D$14="Yes",IF(COUNTBLANK('Capacity summary'!$H159:$BG159)&lt;52,IF('Capacity summary'!BF159&lt;&gt;"",IF(LOWER('Capacity summary'!BF159)="x",$BI40*BF40,VALUE('Capacity summary'!BF159)),0),BF40*$BI40),BF40*$BI40),0)</f>
        <v>0</v>
      </c>
      <c r="DJ40" s="314">
        <f>IF($BI40&lt;&gt;"",IF('Capacity summary'!$D$14="Yes",IF(COUNTBLANK('Capacity summary'!$H159:$BG159)&lt;52,IF('Capacity summary'!BG159&lt;&gt;"",IF(LOWER('Capacity summary'!BG159)="x",$BI40*BG40,VALUE('Capacity summary'!BG159)),0),BG40*$BI40),BG40*$BI40),0)</f>
        <v>0</v>
      </c>
      <c r="DK40" s="137">
        <f t="shared" si="2"/>
        <v>0</v>
      </c>
      <c r="DL40" s="314" t="str">
        <f>Capacity!H52</f>
        <v/>
      </c>
      <c r="DP40" s="5"/>
    </row>
    <row r="41" spans="2:120" x14ac:dyDescent="0.25">
      <c r="B41" s="67"/>
      <c r="C41" s="67" t="str">
        <f>ROW(A37)&amp;". "&amp;Capacity!B53</f>
        <v xml:space="preserve">37. </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IF(ROW(C37)&lt;=Capacity!$A$16,IF('Capacity summary'!$D$14="No",SUM(H41:BG41),'Capacity summary'!$E160),0)</f>
        <v>0</v>
      </c>
      <c r="BI41" s="5" t="str">
        <f>IF(BH41&gt;0,IF(BH41&lt;Capacity!E53,Capacity!F53,Capacity!H53/'Capacity calculation (hide)'!BH41),"")</f>
        <v/>
      </c>
      <c r="BK41" s="314">
        <f>IF($BI41&lt;&gt;"",IF('Capacity summary'!$D$14="Yes",IF(COUNTBLANK('Capacity summary'!$H160:$BG160)&lt;52,IF('Capacity summary'!H160&lt;&gt;"",IF(LOWER('Capacity summary'!H160)="x",$BI41*H41,VALUE('Capacity summary'!H160)),0),H41*$BI41),H41*$BI41),0)</f>
        <v>0</v>
      </c>
      <c r="BL41" s="314">
        <f>IF($BI41&lt;&gt;"",IF('Capacity summary'!$D$14="Yes",IF(COUNTBLANK('Capacity summary'!$H160:$BG160)&lt;52,IF('Capacity summary'!I160&lt;&gt;"",IF(LOWER('Capacity summary'!I160)="x",$BI41*I41,VALUE('Capacity summary'!I160)),0),I41*$BI41),I41*$BI41),0)</f>
        <v>0</v>
      </c>
      <c r="BM41" s="314">
        <f>IF($BI41&lt;&gt;"",IF('Capacity summary'!$D$14="Yes",IF(COUNTBLANK('Capacity summary'!$H160:$BG160)&lt;52,IF('Capacity summary'!J160&lt;&gt;"",IF(LOWER('Capacity summary'!J160)="x",$BI41*J41,VALUE('Capacity summary'!J160)),0),J41*$BI41),J41*$BI41),0)</f>
        <v>0</v>
      </c>
      <c r="BN41" s="314">
        <f>IF($BI41&lt;&gt;"",IF('Capacity summary'!$D$14="Yes",IF(COUNTBLANK('Capacity summary'!$H160:$BG160)&lt;52,IF('Capacity summary'!K160&lt;&gt;"",IF(LOWER('Capacity summary'!K160)="x",$BI41*K41,VALUE('Capacity summary'!K160)),0),K41*$BI41),K41*$BI41),0)</f>
        <v>0</v>
      </c>
      <c r="BO41" s="314">
        <f>IF($BI41&lt;&gt;"",IF('Capacity summary'!$D$14="Yes",IF(COUNTBLANK('Capacity summary'!$H160:$BG160)&lt;52,IF('Capacity summary'!L160&lt;&gt;"",IF(LOWER('Capacity summary'!L160)="x",$BI41*L41,VALUE('Capacity summary'!L160)),0),L41*$BI41),L41*$BI41),0)</f>
        <v>0</v>
      </c>
      <c r="BP41" s="314">
        <f>IF($BI41&lt;&gt;"",IF('Capacity summary'!$D$14="Yes",IF(COUNTBLANK('Capacity summary'!$H160:$BG160)&lt;52,IF('Capacity summary'!M160&lt;&gt;"",IF(LOWER('Capacity summary'!M160)="x",$BI41*M41,VALUE('Capacity summary'!M160)),0),M41*$BI41),M41*$BI41),0)</f>
        <v>0</v>
      </c>
      <c r="BQ41" s="314">
        <f>IF($BI41&lt;&gt;"",IF('Capacity summary'!$D$14="Yes",IF(COUNTBLANK('Capacity summary'!$H160:$BG160)&lt;52,IF('Capacity summary'!N160&lt;&gt;"",IF(LOWER('Capacity summary'!N160)="x",$BI41*N41,VALUE('Capacity summary'!N160)),0),N41*$BI41),N41*$BI41),0)</f>
        <v>0</v>
      </c>
      <c r="BR41" s="314">
        <f>IF($BI41&lt;&gt;"",IF('Capacity summary'!$D$14="Yes",IF(COUNTBLANK('Capacity summary'!$H160:$BG160)&lt;52,IF('Capacity summary'!O160&lt;&gt;"",IF(LOWER('Capacity summary'!O160)="x",$BI41*O41,VALUE('Capacity summary'!O160)),0),O41*$BI41),O41*$BI41),0)</f>
        <v>0</v>
      </c>
      <c r="BS41" s="314">
        <f>IF($BI41&lt;&gt;"",IF('Capacity summary'!$D$14="Yes",IF(COUNTBLANK('Capacity summary'!$H160:$BG160)&lt;52,IF('Capacity summary'!P160&lt;&gt;"",IF(LOWER('Capacity summary'!P160)="x",$BI41*P41,VALUE('Capacity summary'!P160)),0),P41*$BI41),P41*$BI41),0)</f>
        <v>0</v>
      </c>
      <c r="BT41" s="314">
        <f>IF($BI41&lt;&gt;"",IF('Capacity summary'!$D$14="Yes",IF(COUNTBLANK('Capacity summary'!$H160:$BG160)&lt;52,IF('Capacity summary'!Q160&lt;&gt;"",IF(LOWER('Capacity summary'!Q160)="x",$BI41*Q41,VALUE('Capacity summary'!Q160)),0),Q41*$BI41),Q41*$BI41),0)</f>
        <v>0</v>
      </c>
      <c r="BU41" s="314">
        <f>IF($BI41&lt;&gt;"",IF('Capacity summary'!$D$14="Yes",IF(COUNTBLANK('Capacity summary'!$H160:$BG160)&lt;52,IF('Capacity summary'!R160&lt;&gt;"",IF(LOWER('Capacity summary'!R160)="x",$BI41*R41,VALUE('Capacity summary'!R160)),0),R41*$BI41),R41*$BI41),0)</f>
        <v>0</v>
      </c>
      <c r="BV41" s="314">
        <f>IF($BI41&lt;&gt;"",IF('Capacity summary'!$D$14="Yes",IF(COUNTBLANK('Capacity summary'!$H160:$BG160)&lt;52,IF('Capacity summary'!S160&lt;&gt;"",IF(LOWER('Capacity summary'!S160)="x",$BI41*S41,VALUE('Capacity summary'!S160)),0),S41*$BI41),S41*$BI41),0)</f>
        <v>0</v>
      </c>
      <c r="BW41" s="314">
        <f>IF($BI41&lt;&gt;"",IF('Capacity summary'!$D$14="Yes",IF(COUNTBLANK('Capacity summary'!$H160:$BG160)&lt;52,IF('Capacity summary'!T160&lt;&gt;"",IF(LOWER('Capacity summary'!T160)="x",$BI41*T41,VALUE('Capacity summary'!T160)),0),T41*$BI41),T41*$BI41),0)</f>
        <v>0</v>
      </c>
      <c r="BX41" s="314">
        <f>IF($BI41&lt;&gt;"",IF('Capacity summary'!$D$14="Yes",IF(COUNTBLANK('Capacity summary'!$H160:$BG160)&lt;52,IF('Capacity summary'!U160&lt;&gt;"",IF(LOWER('Capacity summary'!U160)="x",$BI41*U41,VALUE('Capacity summary'!U160)),0),U41*$BI41),U41*$BI41),0)</f>
        <v>0</v>
      </c>
      <c r="BY41" s="314">
        <f>IF($BI41&lt;&gt;"",IF('Capacity summary'!$D$14="Yes",IF(COUNTBLANK('Capacity summary'!$H160:$BG160)&lt;52,IF('Capacity summary'!V160&lt;&gt;"",IF(LOWER('Capacity summary'!V160)="x",$BI41*V41,VALUE('Capacity summary'!V160)),0),V41*$BI41),V41*$BI41),0)</f>
        <v>0</v>
      </c>
      <c r="BZ41" s="314">
        <f>IF($BI41&lt;&gt;"",IF('Capacity summary'!$D$14="Yes",IF(COUNTBLANK('Capacity summary'!$H160:$BG160)&lt;52,IF('Capacity summary'!W160&lt;&gt;"",IF(LOWER('Capacity summary'!W160)="x",$BI41*W41,VALUE('Capacity summary'!W160)),0),W41*$BI41),W41*$BI41),0)</f>
        <v>0</v>
      </c>
      <c r="CA41" s="314">
        <f>IF($BI41&lt;&gt;"",IF('Capacity summary'!$D$14="Yes",IF(COUNTBLANK('Capacity summary'!$H160:$BG160)&lt;52,IF('Capacity summary'!X160&lt;&gt;"",IF(LOWER('Capacity summary'!X160)="x",$BI41*X41,VALUE('Capacity summary'!X160)),0),X41*$BI41),X41*$BI41),0)</f>
        <v>0</v>
      </c>
      <c r="CB41" s="314">
        <f>IF($BI41&lt;&gt;"",IF('Capacity summary'!$D$14="Yes",IF(COUNTBLANK('Capacity summary'!$H160:$BG160)&lt;52,IF('Capacity summary'!Y160&lt;&gt;"",IF(LOWER('Capacity summary'!Y160)="x",$BI41*Y41,VALUE('Capacity summary'!Y160)),0),Y41*$BI41),Y41*$BI41),0)</f>
        <v>0</v>
      </c>
      <c r="CC41" s="314">
        <f>IF($BI41&lt;&gt;"",IF('Capacity summary'!$D$14="Yes",IF(COUNTBLANK('Capacity summary'!$H160:$BG160)&lt;52,IF('Capacity summary'!Z160&lt;&gt;"",IF(LOWER('Capacity summary'!Z160)="x",$BI41*Z41,VALUE('Capacity summary'!Z160)),0),Z41*$BI41),Z41*$BI41),0)</f>
        <v>0</v>
      </c>
      <c r="CD41" s="314">
        <f>IF($BI41&lt;&gt;"",IF('Capacity summary'!$D$14="Yes",IF(COUNTBLANK('Capacity summary'!$H160:$BG160)&lt;52,IF('Capacity summary'!AA160&lt;&gt;"",IF(LOWER('Capacity summary'!AA160)="x",$BI41*AA41,VALUE('Capacity summary'!AA160)),0),AA41*$BI41),AA41*$BI41),0)</f>
        <v>0</v>
      </c>
      <c r="CE41" s="314">
        <f>IF($BI41&lt;&gt;"",IF('Capacity summary'!$D$14="Yes",IF(COUNTBLANK('Capacity summary'!$H160:$BG160)&lt;52,IF('Capacity summary'!AB160&lt;&gt;"",IF(LOWER('Capacity summary'!AB160)="x",$BI41*AB41,VALUE('Capacity summary'!AB160)),0),AB41*$BI41),AB41*$BI41),0)</f>
        <v>0</v>
      </c>
      <c r="CF41" s="314">
        <f>IF($BI41&lt;&gt;"",IF('Capacity summary'!$D$14="Yes",IF(COUNTBLANK('Capacity summary'!$H160:$BG160)&lt;52,IF('Capacity summary'!AC160&lt;&gt;"",IF(LOWER('Capacity summary'!AC160)="x",$BI41*AC41,VALUE('Capacity summary'!AC160)),0),AC41*$BI41),AC41*$BI41),0)</f>
        <v>0</v>
      </c>
      <c r="CG41" s="314">
        <f>IF($BI41&lt;&gt;"",IF('Capacity summary'!$D$14="Yes",IF(COUNTBLANK('Capacity summary'!$H160:$BG160)&lt;52,IF('Capacity summary'!AD160&lt;&gt;"",IF(LOWER('Capacity summary'!AD160)="x",$BI41*AD41,VALUE('Capacity summary'!AD160)),0),AD41*$BI41),AD41*$BI41),0)</f>
        <v>0</v>
      </c>
      <c r="CH41" s="314">
        <f>IF($BI41&lt;&gt;"",IF('Capacity summary'!$D$14="Yes",IF(COUNTBLANK('Capacity summary'!$H160:$BG160)&lt;52,IF('Capacity summary'!AE160&lt;&gt;"",IF(LOWER('Capacity summary'!AE160)="x",$BI41*AE41,VALUE('Capacity summary'!AE160)),0),AE41*$BI41),AE41*$BI41),0)</f>
        <v>0</v>
      </c>
      <c r="CI41" s="314">
        <f>IF($BI41&lt;&gt;"",IF('Capacity summary'!$D$14="Yes",IF(COUNTBLANK('Capacity summary'!$H160:$BG160)&lt;52,IF('Capacity summary'!AF160&lt;&gt;"",IF(LOWER('Capacity summary'!AF160)="x",$BI41*AF41,VALUE('Capacity summary'!AF160)),0),AF41*$BI41),AF41*$BI41),0)</f>
        <v>0</v>
      </c>
      <c r="CJ41" s="314">
        <f>IF($BI41&lt;&gt;"",IF('Capacity summary'!$D$14="Yes",IF(COUNTBLANK('Capacity summary'!$H160:$BG160)&lt;52,IF('Capacity summary'!AG160&lt;&gt;"",IF(LOWER('Capacity summary'!AG160)="x",$BI41*AG41,VALUE('Capacity summary'!AG160)),0),AG41*$BI41),AG41*$BI41),0)</f>
        <v>0</v>
      </c>
      <c r="CK41" s="314">
        <f>IF($BI41&lt;&gt;"",IF('Capacity summary'!$D$14="Yes",IF(COUNTBLANK('Capacity summary'!$H160:$BG160)&lt;52,IF('Capacity summary'!AH160&lt;&gt;"",IF(LOWER('Capacity summary'!AH160)="x",$BI41*AH41,VALUE('Capacity summary'!AH160)),0),AH41*$BI41),AH41*$BI41),0)</f>
        <v>0</v>
      </c>
      <c r="CL41" s="314">
        <f>IF($BI41&lt;&gt;"",IF('Capacity summary'!$D$14="Yes",IF(COUNTBLANK('Capacity summary'!$H160:$BG160)&lt;52,IF('Capacity summary'!AI160&lt;&gt;"",IF(LOWER('Capacity summary'!AI160)="x",$BI41*AI41,VALUE('Capacity summary'!AI160)),0),AI41*$BI41),AI41*$BI41),0)</f>
        <v>0</v>
      </c>
      <c r="CM41" s="314">
        <f>IF($BI41&lt;&gt;"",IF('Capacity summary'!$D$14="Yes",IF(COUNTBLANK('Capacity summary'!$H160:$BG160)&lt;52,IF('Capacity summary'!AJ160&lt;&gt;"",IF(LOWER('Capacity summary'!AJ160)="x",$BI41*AJ41,VALUE('Capacity summary'!AJ160)),0),AJ41*$BI41),AJ41*$BI41),0)</f>
        <v>0</v>
      </c>
      <c r="CN41" s="314">
        <f>IF($BI41&lt;&gt;"",IF('Capacity summary'!$D$14="Yes",IF(COUNTBLANK('Capacity summary'!$H160:$BG160)&lt;52,IF('Capacity summary'!AK160&lt;&gt;"",IF(LOWER('Capacity summary'!AK160)="x",$BI41*AK41,VALUE('Capacity summary'!AK160)),0),AK41*$BI41),AK41*$BI41),0)</f>
        <v>0</v>
      </c>
      <c r="CO41" s="314">
        <f>IF($BI41&lt;&gt;"",IF('Capacity summary'!$D$14="Yes",IF(COUNTBLANK('Capacity summary'!$H160:$BG160)&lt;52,IF('Capacity summary'!AL160&lt;&gt;"",IF(LOWER('Capacity summary'!AL160)="x",$BI41*AL41,VALUE('Capacity summary'!AL160)),0),AL41*$BI41),AL41*$BI41),0)</f>
        <v>0</v>
      </c>
      <c r="CP41" s="314">
        <f>IF($BI41&lt;&gt;"",IF('Capacity summary'!$D$14="Yes",IF(COUNTBLANK('Capacity summary'!$H160:$BG160)&lt;52,IF('Capacity summary'!AM160&lt;&gt;"",IF(LOWER('Capacity summary'!AM160)="x",$BI41*AM41,VALUE('Capacity summary'!AM160)),0),AM41*$BI41),AM41*$BI41),0)</f>
        <v>0</v>
      </c>
      <c r="CQ41" s="314">
        <f>IF($BI41&lt;&gt;"",IF('Capacity summary'!$D$14="Yes",IF(COUNTBLANK('Capacity summary'!$H160:$BG160)&lt;52,IF('Capacity summary'!AN160&lt;&gt;"",IF(LOWER('Capacity summary'!AN160)="x",$BI41*AN41,VALUE('Capacity summary'!AN160)),0),AN41*$BI41),AN41*$BI41),0)</f>
        <v>0</v>
      </c>
      <c r="CR41" s="314">
        <f>IF($BI41&lt;&gt;"",IF('Capacity summary'!$D$14="Yes",IF(COUNTBLANK('Capacity summary'!$H160:$BG160)&lt;52,IF('Capacity summary'!AO160&lt;&gt;"",IF(LOWER('Capacity summary'!AO160)="x",$BI41*AO41,VALUE('Capacity summary'!AO160)),0),AO41*$BI41),AO41*$BI41),0)</f>
        <v>0</v>
      </c>
      <c r="CS41" s="314">
        <f>IF($BI41&lt;&gt;"",IF('Capacity summary'!$D$14="Yes",IF(COUNTBLANK('Capacity summary'!$H160:$BG160)&lt;52,IF('Capacity summary'!AP160&lt;&gt;"",IF(LOWER('Capacity summary'!AP160)="x",$BI41*AP41,VALUE('Capacity summary'!AP160)),0),AP41*$BI41),AP41*$BI41),0)</f>
        <v>0</v>
      </c>
      <c r="CT41" s="314">
        <f>IF($BI41&lt;&gt;"",IF('Capacity summary'!$D$14="Yes",IF(COUNTBLANK('Capacity summary'!$H160:$BG160)&lt;52,IF('Capacity summary'!AQ160&lt;&gt;"",IF(LOWER('Capacity summary'!AQ160)="x",$BI41*AQ41,VALUE('Capacity summary'!AQ160)),0),AQ41*$BI41),AQ41*$BI41),0)</f>
        <v>0</v>
      </c>
      <c r="CU41" s="314">
        <f>IF($BI41&lt;&gt;"",IF('Capacity summary'!$D$14="Yes",IF(COUNTBLANK('Capacity summary'!$H160:$BG160)&lt;52,IF('Capacity summary'!AR160&lt;&gt;"",IF(LOWER('Capacity summary'!AR160)="x",$BI41*AR41,VALUE('Capacity summary'!AR160)),0),AR41*$BI41),AR41*$BI41),0)</f>
        <v>0</v>
      </c>
      <c r="CV41" s="314">
        <f>IF($BI41&lt;&gt;"",IF('Capacity summary'!$D$14="Yes",IF(COUNTBLANK('Capacity summary'!$H160:$BG160)&lt;52,IF('Capacity summary'!AS160&lt;&gt;"",IF(LOWER('Capacity summary'!AS160)="x",$BI41*AS41,VALUE('Capacity summary'!AS160)),0),AS41*$BI41),AS41*$BI41),0)</f>
        <v>0</v>
      </c>
      <c r="CW41" s="314">
        <f>IF($BI41&lt;&gt;"",IF('Capacity summary'!$D$14="Yes",IF(COUNTBLANK('Capacity summary'!$H160:$BG160)&lt;52,IF('Capacity summary'!AT160&lt;&gt;"",IF(LOWER('Capacity summary'!AT160)="x",$BI41*AT41,VALUE('Capacity summary'!AT160)),0),AT41*$BI41),AT41*$BI41),0)</f>
        <v>0</v>
      </c>
      <c r="CX41" s="314">
        <f>IF($BI41&lt;&gt;"",IF('Capacity summary'!$D$14="Yes",IF(COUNTBLANK('Capacity summary'!$H160:$BG160)&lt;52,IF('Capacity summary'!AU160&lt;&gt;"",IF(LOWER('Capacity summary'!AU160)="x",$BI41*AU41,VALUE('Capacity summary'!AU160)),0),AU41*$BI41),AU41*$BI41),0)</f>
        <v>0</v>
      </c>
      <c r="CY41" s="314">
        <f>IF($BI41&lt;&gt;"",IF('Capacity summary'!$D$14="Yes",IF(COUNTBLANK('Capacity summary'!$H160:$BG160)&lt;52,IF('Capacity summary'!AV160&lt;&gt;"",IF(LOWER('Capacity summary'!AV160)="x",$BI41*AV41,VALUE('Capacity summary'!AV160)),0),AV41*$BI41),AV41*$BI41),0)</f>
        <v>0</v>
      </c>
      <c r="CZ41" s="314">
        <f>IF($BI41&lt;&gt;"",IF('Capacity summary'!$D$14="Yes",IF(COUNTBLANK('Capacity summary'!$H160:$BG160)&lt;52,IF('Capacity summary'!AW160&lt;&gt;"",IF(LOWER('Capacity summary'!AW160)="x",$BI41*AW41,VALUE('Capacity summary'!AW160)),0),AW41*$BI41),AW41*$BI41),0)</f>
        <v>0</v>
      </c>
      <c r="DA41" s="314">
        <f>IF($BI41&lt;&gt;"",IF('Capacity summary'!$D$14="Yes",IF(COUNTBLANK('Capacity summary'!$H160:$BG160)&lt;52,IF('Capacity summary'!AX160&lt;&gt;"",IF(LOWER('Capacity summary'!AX160)="x",$BI41*AX41,VALUE('Capacity summary'!AX160)),0),AX41*$BI41),AX41*$BI41),0)</f>
        <v>0</v>
      </c>
      <c r="DB41" s="314">
        <f>IF($BI41&lt;&gt;"",IF('Capacity summary'!$D$14="Yes",IF(COUNTBLANK('Capacity summary'!$H160:$BG160)&lt;52,IF('Capacity summary'!AY160&lt;&gt;"",IF(LOWER('Capacity summary'!AY160)="x",$BI41*AY41,VALUE('Capacity summary'!AY160)),0),AY41*$BI41),AY41*$BI41),0)</f>
        <v>0</v>
      </c>
      <c r="DC41" s="314">
        <f>IF($BI41&lt;&gt;"",IF('Capacity summary'!$D$14="Yes",IF(COUNTBLANK('Capacity summary'!$H160:$BG160)&lt;52,IF('Capacity summary'!AZ160&lt;&gt;"",IF(LOWER('Capacity summary'!AZ160)="x",$BI41*AZ41,VALUE('Capacity summary'!AZ160)),0),AZ41*$BI41),AZ41*$BI41),0)</f>
        <v>0</v>
      </c>
      <c r="DD41" s="314">
        <f>IF($BI41&lt;&gt;"",IF('Capacity summary'!$D$14="Yes",IF(COUNTBLANK('Capacity summary'!$H160:$BG160)&lt;52,IF('Capacity summary'!BA160&lt;&gt;"",IF(LOWER('Capacity summary'!BA160)="x",$BI41*BA41,VALUE('Capacity summary'!BA160)),0),BA41*$BI41),BA41*$BI41),0)</f>
        <v>0</v>
      </c>
      <c r="DE41" s="314">
        <f>IF($BI41&lt;&gt;"",IF('Capacity summary'!$D$14="Yes",IF(COUNTBLANK('Capacity summary'!$H160:$BG160)&lt;52,IF('Capacity summary'!BB160&lt;&gt;"",IF(LOWER('Capacity summary'!BB160)="x",$BI41*BB41,VALUE('Capacity summary'!BB160)),0),BB41*$BI41),BB41*$BI41),0)</f>
        <v>0</v>
      </c>
      <c r="DF41" s="314">
        <f>IF($BI41&lt;&gt;"",IF('Capacity summary'!$D$14="Yes",IF(COUNTBLANK('Capacity summary'!$H160:$BG160)&lt;52,IF('Capacity summary'!BC160&lt;&gt;"",IF(LOWER('Capacity summary'!BC160)="x",$BI41*BC41,VALUE('Capacity summary'!BC160)),0),BC41*$BI41),BC41*$BI41),0)</f>
        <v>0</v>
      </c>
      <c r="DG41" s="314">
        <f>IF($BI41&lt;&gt;"",IF('Capacity summary'!$D$14="Yes",IF(COUNTBLANK('Capacity summary'!$H160:$BG160)&lt;52,IF('Capacity summary'!BD160&lt;&gt;"",IF(LOWER('Capacity summary'!BD160)="x",$BI41*BD41,VALUE('Capacity summary'!BD160)),0),BD41*$BI41),BD41*$BI41),0)</f>
        <v>0</v>
      </c>
      <c r="DH41" s="314">
        <f>IF($BI41&lt;&gt;"",IF('Capacity summary'!$D$14="Yes",IF(COUNTBLANK('Capacity summary'!$H160:$BG160)&lt;52,IF('Capacity summary'!BE160&lt;&gt;"",IF(LOWER('Capacity summary'!BE160)="x",$BI41*BE41,VALUE('Capacity summary'!BE160)),0),BE41*$BI41),BE41*$BI41),0)</f>
        <v>0</v>
      </c>
      <c r="DI41" s="314">
        <f>IF($BI41&lt;&gt;"",IF('Capacity summary'!$D$14="Yes",IF(COUNTBLANK('Capacity summary'!$H160:$BG160)&lt;52,IF('Capacity summary'!BF160&lt;&gt;"",IF(LOWER('Capacity summary'!BF160)="x",$BI41*BF41,VALUE('Capacity summary'!BF160)),0),BF41*$BI41),BF41*$BI41),0)</f>
        <v>0</v>
      </c>
      <c r="DJ41" s="314">
        <f>IF($BI41&lt;&gt;"",IF('Capacity summary'!$D$14="Yes",IF(COUNTBLANK('Capacity summary'!$H160:$BG160)&lt;52,IF('Capacity summary'!BG160&lt;&gt;"",IF(LOWER('Capacity summary'!BG160)="x",$BI41*BG41,VALUE('Capacity summary'!BG160)),0),BG41*$BI41),BG41*$BI41),0)</f>
        <v>0</v>
      </c>
      <c r="DK41" s="137">
        <f t="shared" si="2"/>
        <v>0</v>
      </c>
      <c r="DL41" s="314" t="str">
        <f>Capacity!H53</f>
        <v/>
      </c>
      <c r="DP41" s="5"/>
    </row>
    <row r="42" spans="2:120" x14ac:dyDescent="0.25">
      <c r="B42" s="67"/>
      <c r="C42" s="67" t="str">
        <f>ROW(A38)&amp;". "&amp;Capacity!B54</f>
        <v xml:space="preserve">38. </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IF(ROW(C38)&lt;=Capacity!$A$16,IF('Capacity summary'!$D$14="No",SUM(H42:BG42),'Capacity summary'!$E161),0)</f>
        <v>0</v>
      </c>
      <c r="BI42" s="5" t="str">
        <f>IF(BH42&gt;0,IF(BH42&lt;Capacity!E54,Capacity!F54,Capacity!H54/'Capacity calculation (hide)'!BH42),"")</f>
        <v/>
      </c>
      <c r="BK42" s="314">
        <f>IF($BI42&lt;&gt;"",IF('Capacity summary'!$D$14="Yes",IF(COUNTBLANK('Capacity summary'!$H161:$BG161)&lt;52,IF('Capacity summary'!H161&lt;&gt;"",IF(LOWER('Capacity summary'!H161)="x",$BI42*H42,VALUE('Capacity summary'!H161)),0),H42*$BI42),H42*$BI42),0)</f>
        <v>0</v>
      </c>
      <c r="BL42" s="314">
        <f>IF($BI42&lt;&gt;"",IF('Capacity summary'!$D$14="Yes",IF(COUNTBLANK('Capacity summary'!$H161:$BG161)&lt;52,IF('Capacity summary'!I161&lt;&gt;"",IF(LOWER('Capacity summary'!I161)="x",$BI42*I42,VALUE('Capacity summary'!I161)),0),I42*$BI42),I42*$BI42),0)</f>
        <v>0</v>
      </c>
      <c r="BM42" s="314">
        <f>IF($BI42&lt;&gt;"",IF('Capacity summary'!$D$14="Yes",IF(COUNTBLANK('Capacity summary'!$H161:$BG161)&lt;52,IF('Capacity summary'!J161&lt;&gt;"",IF(LOWER('Capacity summary'!J161)="x",$BI42*J42,VALUE('Capacity summary'!J161)),0),J42*$BI42),J42*$BI42),0)</f>
        <v>0</v>
      </c>
      <c r="BN42" s="314">
        <f>IF($BI42&lt;&gt;"",IF('Capacity summary'!$D$14="Yes",IF(COUNTBLANK('Capacity summary'!$H161:$BG161)&lt;52,IF('Capacity summary'!K161&lt;&gt;"",IF(LOWER('Capacity summary'!K161)="x",$BI42*K42,VALUE('Capacity summary'!K161)),0),K42*$BI42),K42*$BI42),0)</f>
        <v>0</v>
      </c>
      <c r="BO42" s="314">
        <f>IF($BI42&lt;&gt;"",IF('Capacity summary'!$D$14="Yes",IF(COUNTBLANK('Capacity summary'!$H161:$BG161)&lt;52,IF('Capacity summary'!L161&lt;&gt;"",IF(LOWER('Capacity summary'!L161)="x",$BI42*L42,VALUE('Capacity summary'!L161)),0),L42*$BI42),L42*$BI42),0)</f>
        <v>0</v>
      </c>
      <c r="BP42" s="314">
        <f>IF($BI42&lt;&gt;"",IF('Capacity summary'!$D$14="Yes",IF(COUNTBLANK('Capacity summary'!$H161:$BG161)&lt;52,IF('Capacity summary'!M161&lt;&gt;"",IF(LOWER('Capacity summary'!M161)="x",$BI42*M42,VALUE('Capacity summary'!M161)),0),M42*$BI42),M42*$BI42),0)</f>
        <v>0</v>
      </c>
      <c r="BQ42" s="314">
        <f>IF($BI42&lt;&gt;"",IF('Capacity summary'!$D$14="Yes",IF(COUNTBLANK('Capacity summary'!$H161:$BG161)&lt;52,IF('Capacity summary'!N161&lt;&gt;"",IF(LOWER('Capacity summary'!N161)="x",$BI42*N42,VALUE('Capacity summary'!N161)),0),N42*$BI42),N42*$BI42),0)</f>
        <v>0</v>
      </c>
      <c r="BR42" s="314">
        <f>IF($BI42&lt;&gt;"",IF('Capacity summary'!$D$14="Yes",IF(COUNTBLANK('Capacity summary'!$H161:$BG161)&lt;52,IF('Capacity summary'!O161&lt;&gt;"",IF(LOWER('Capacity summary'!O161)="x",$BI42*O42,VALUE('Capacity summary'!O161)),0),O42*$BI42),O42*$BI42),0)</f>
        <v>0</v>
      </c>
      <c r="BS42" s="314">
        <f>IF($BI42&lt;&gt;"",IF('Capacity summary'!$D$14="Yes",IF(COUNTBLANK('Capacity summary'!$H161:$BG161)&lt;52,IF('Capacity summary'!P161&lt;&gt;"",IF(LOWER('Capacity summary'!P161)="x",$BI42*P42,VALUE('Capacity summary'!P161)),0),P42*$BI42),P42*$BI42),0)</f>
        <v>0</v>
      </c>
      <c r="BT42" s="314">
        <f>IF($BI42&lt;&gt;"",IF('Capacity summary'!$D$14="Yes",IF(COUNTBLANK('Capacity summary'!$H161:$BG161)&lt;52,IF('Capacity summary'!Q161&lt;&gt;"",IF(LOWER('Capacity summary'!Q161)="x",$BI42*Q42,VALUE('Capacity summary'!Q161)),0),Q42*$BI42),Q42*$BI42),0)</f>
        <v>0</v>
      </c>
      <c r="BU42" s="314">
        <f>IF($BI42&lt;&gt;"",IF('Capacity summary'!$D$14="Yes",IF(COUNTBLANK('Capacity summary'!$H161:$BG161)&lt;52,IF('Capacity summary'!R161&lt;&gt;"",IF(LOWER('Capacity summary'!R161)="x",$BI42*R42,VALUE('Capacity summary'!R161)),0),R42*$BI42),R42*$BI42),0)</f>
        <v>0</v>
      </c>
      <c r="BV42" s="314">
        <f>IF($BI42&lt;&gt;"",IF('Capacity summary'!$D$14="Yes",IF(COUNTBLANK('Capacity summary'!$H161:$BG161)&lt;52,IF('Capacity summary'!S161&lt;&gt;"",IF(LOWER('Capacity summary'!S161)="x",$BI42*S42,VALUE('Capacity summary'!S161)),0),S42*$BI42),S42*$BI42),0)</f>
        <v>0</v>
      </c>
      <c r="BW42" s="314">
        <f>IF($BI42&lt;&gt;"",IF('Capacity summary'!$D$14="Yes",IF(COUNTBLANK('Capacity summary'!$H161:$BG161)&lt;52,IF('Capacity summary'!T161&lt;&gt;"",IF(LOWER('Capacity summary'!T161)="x",$BI42*T42,VALUE('Capacity summary'!T161)),0),T42*$BI42),T42*$BI42),0)</f>
        <v>0</v>
      </c>
      <c r="BX42" s="314">
        <f>IF($BI42&lt;&gt;"",IF('Capacity summary'!$D$14="Yes",IF(COUNTBLANK('Capacity summary'!$H161:$BG161)&lt;52,IF('Capacity summary'!U161&lt;&gt;"",IF(LOWER('Capacity summary'!U161)="x",$BI42*U42,VALUE('Capacity summary'!U161)),0),U42*$BI42),U42*$BI42),0)</f>
        <v>0</v>
      </c>
      <c r="BY42" s="314">
        <f>IF($BI42&lt;&gt;"",IF('Capacity summary'!$D$14="Yes",IF(COUNTBLANK('Capacity summary'!$H161:$BG161)&lt;52,IF('Capacity summary'!V161&lt;&gt;"",IF(LOWER('Capacity summary'!V161)="x",$BI42*V42,VALUE('Capacity summary'!V161)),0),V42*$BI42),V42*$BI42),0)</f>
        <v>0</v>
      </c>
      <c r="BZ42" s="314">
        <f>IF($BI42&lt;&gt;"",IF('Capacity summary'!$D$14="Yes",IF(COUNTBLANK('Capacity summary'!$H161:$BG161)&lt;52,IF('Capacity summary'!W161&lt;&gt;"",IF(LOWER('Capacity summary'!W161)="x",$BI42*W42,VALUE('Capacity summary'!W161)),0),W42*$BI42),W42*$BI42),0)</f>
        <v>0</v>
      </c>
      <c r="CA42" s="314">
        <f>IF($BI42&lt;&gt;"",IF('Capacity summary'!$D$14="Yes",IF(COUNTBLANK('Capacity summary'!$H161:$BG161)&lt;52,IF('Capacity summary'!X161&lt;&gt;"",IF(LOWER('Capacity summary'!X161)="x",$BI42*X42,VALUE('Capacity summary'!X161)),0),X42*$BI42),X42*$BI42),0)</f>
        <v>0</v>
      </c>
      <c r="CB42" s="314">
        <f>IF($BI42&lt;&gt;"",IF('Capacity summary'!$D$14="Yes",IF(COUNTBLANK('Capacity summary'!$H161:$BG161)&lt;52,IF('Capacity summary'!Y161&lt;&gt;"",IF(LOWER('Capacity summary'!Y161)="x",$BI42*Y42,VALUE('Capacity summary'!Y161)),0),Y42*$BI42),Y42*$BI42),0)</f>
        <v>0</v>
      </c>
      <c r="CC42" s="314">
        <f>IF($BI42&lt;&gt;"",IF('Capacity summary'!$D$14="Yes",IF(COUNTBLANK('Capacity summary'!$H161:$BG161)&lt;52,IF('Capacity summary'!Z161&lt;&gt;"",IF(LOWER('Capacity summary'!Z161)="x",$BI42*Z42,VALUE('Capacity summary'!Z161)),0),Z42*$BI42),Z42*$BI42),0)</f>
        <v>0</v>
      </c>
      <c r="CD42" s="314">
        <f>IF($BI42&lt;&gt;"",IF('Capacity summary'!$D$14="Yes",IF(COUNTBLANK('Capacity summary'!$H161:$BG161)&lt;52,IF('Capacity summary'!AA161&lt;&gt;"",IF(LOWER('Capacity summary'!AA161)="x",$BI42*AA42,VALUE('Capacity summary'!AA161)),0),AA42*$BI42),AA42*$BI42),0)</f>
        <v>0</v>
      </c>
      <c r="CE42" s="314">
        <f>IF($BI42&lt;&gt;"",IF('Capacity summary'!$D$14="Yes",IF(COUNTBLANK('Capacity summary'!$H161:$BG161)&lt;52,IF('Capacity summary'!AB161&lt;&gt;"",IF(LOWER('Capacity summary'!AB161)="x",$BI42*AB42,VALUE('Capacity summary'!AB161)),0),AB42*$BI42),AB42*$BI42),0)</f>
        <v>0</v>
      </c>
      <c r="CF42" s="314">
        <f>IF($BI42&lt;&gt;"",IF('Capacity summary'!$D$14="Yes",IF(COUNTBLANK('Capacity summary'!$H161:$BG161)&lt;52,IF('Capacity summary'!AC161&lt;&gt;"",IF(LOWER('Capacity summary'!AC161)="x",$BI42*AC42,VALUE('Capacity summary'!AC161)),0),AC42*$BI42),AC42*$BI42),0)</f>
        <v>0</v>
      </c>
      <c r="CG42" s="314">
        <f>IF($BI42&lt;&gt;"",IF('Capacity summary'!$D$14="Yes",IF(COUNTBLANK('Capacity summary'!$H161:$BG161)&lt;52,IF('Capacity summary'!AD161&lt;&gt;"",IF(LOWER('Capacity summary'!AD161)="x",$BI42*AD42,VALUE('Capacity summary'!AD161)),0),AD42*$BI42),AD42*$BI42),0)</f>
        <v>0</v>
      </c>
      <c r="CH42" s="314">
        <f>IF($BI42&lt;&gt;"",IF('Capacity summary'!$D$14="Yes",IF(COUNTBLANK('Capacity summary'!$H161:$BG161)&lt;52,IF('Capacity summary'!AE161&lt;&gt;"",IF(LOWER('Capacity summary'!AE161)="x",$BI42*AE42,VALUE('Capacity summary'!AE161)),0),AE42*$BI42),AE42*$BI42),0)</f>
        <v>0</v>
      </c>
      <c r="CI42" s="314">
        <f>IF($BI42&lt;&gt;"",IF('Capacity summary'!$D$14="Yes",IF(COUNTBLANK('Capacity summary'!$H161:$BG161)&lt;52,IF('Capacity summary'!AF161&lt;&gt;"",IF(LOWER('Capacity summary'!AF161)="x",$BI42*AF42,VALUE('Capacity summary'!AF161)),0),AF42*$BI42),AF42*$BI42),0)</f>
        <v>0</v>
      </c>
      <c r="CJ42" s="314">
        <f>IF($BI42&lt;&gt;"",IF('Capacity summary'!$D$14="Yes",IF(COUNTBLANK('Capacity summary'!$H161:$BG161)&lt;52,IF('Capacity summary'!AG161&lt;&gt;"",IF(LOWER('Capacity summary'!AG161)="x",$BI42*AG42,VALUE('Capacity summary'!AG161)),0),AG42*$BI42),AG42*$BI42),0)</f>
        <v>0</v>
      </c>
      <c r="CK42" s="314">
        <f>IF($BI42&lt;&gt;"",IF('Capacity summary'!$D$14="Yes",IF(COUNTBLANK('Capacity summary'!$H161:$BG161)&lt;52,IF('Capacity summary'!AH161&lt;&gt;"",IF(LOWER('Capacity summary'!AH161)="x",$BI42*AH42,VALUE('Capacity summary'!AH161)),0),AH42*$BI42),AH42*$BI42),0)</f>
        <v>0</v>
      </c>
      <c r="CL42" s="314">
        <f>IF($BI42&lt;&gt;"",IF('Capacity summary'!$D$14="Yes",IF(COUNTBLANK('Capacity summary'!$H161:$BG161)&lt;52,IF('Capacity summary'!AI161&lt;&gt;"",IF(LOWER('Capacity summary'!AI161)="x",$BI42*AI42,VALUE('Capacity summary'!AI161)),0),AI42*$BI42),AI42*$BI42),0)</f>
        <v>0</v>
      </c>
      <c r="CM42" s="314">
        <f>IF($BI42&lt;&gt;"",IF('Capacity summary'!$D$14="Yes",IF(COUNTBLANK('Capacity summary'!$H161:$BG161)&lt;52,IF('Capacity summary'!AJ161&lt;&gt;"",IF(LOWER('Capacity summary'!AJ161)="x",$BI42*AJ42,VALUE('Capacity summary'!AJ161)),0),AJ42*$BI42),AJ42*$BI42),0)</f>
        <v>0</v>
      </c>
      <c r="CN42" s="314">
        <f>IF($BI42&lt;&gt;"",IF('Capacity summary'!$D$14="Yes",IF(COUNTBLANK('Capacity summary'!$H161:$BG161)&lt;52,IF('Capacity summary'!AK161&lt;&gt;"",IF(LOWER('Capacity summary'!AK161)="x",$BI42*AK42,VALUE('Capacity summary'!AK161)),0),AK42*$BI42),AK42*$BI42),0)</f>
        <v>0</v>
      </c>
      <c r="CO42" s="314">
        <f>IF($BI42&lt;&gt;"",IF('Capacity summary'!$D$14="Yes",IF(COUNTBLANK('Capacity summary'!$H161:$BG161)&lt;52,IF('Capacity summary'!AL161&lt;&gt;"",IF(LOWER('Capacity summary'!AL161)="x",$BI42*AL42,VALUE('Capacity summary'!AL161)),0),AL42*$BI42),AL42*$BI42),0)</f>
        <v>0</v>
      </c>
      <c r="CP42" s="314">
        <f>IF($BI42&lt;&gt;"",IF('Capacity summary'!$D$14="Yes",IF(COUNTBLANK('Capacity summary'!$H161:$BG161)&lt;52,IF('Capacity summary'!AM161&lt;&gt;"",IF(LOWER('Capacity summary'!AM161)="x",$BI42*AM42,VALUE('Capacity summary'!AM161)),0),AM42*$BI42),AM42*$BI42),0)</f>
        <v>0</v>
      </c>
      <c r="CQ42" s="314">
        <f>IF($BI42&lt;&gt;"",IF('Capacity summary'!$D$14="Yes",IF(COUNTBLANK('Capacity summary'!$H161:$BG161)&lt;52,IF('Capacity summary'!AN161&lt;&gt;"",IF(LOWER('Capacity summary'!AN161)="x",$BI42*AN42,VALUE('Capacity summary'!AN161)),0),AN42*$BI42),AN42*$BI42),0)</f>
        <v>0</v>
      </c>
      <c r="CR42" s="314">
        <f>IF($BI42&lt;&gt;"",IF('Capacity summary'!$D$14="Yes",IF(COUNTBLANK('Capacity summary'!$H161:$BG161)&lt;52,IF('Capacity summary'!AO161&lt;&gt;"",IF(LOWER('Capacity summary'!AO161)="x",$BI42*AO42,VALUE('Capacity summary'!AO161)),0),AO42*$BI42),AO42*$BI42),0)</f>
        <v>0</v>
      </c>
      <c r="CS42" s="314">
        <f>IF($BI42&lt;&gt;"",IF('Capacity summary'!$D$14="Yes",IF(COUNTBLANK('Capacity summary'!$H161:$BG161)&lt;52,IF('Capacity summary'!AP161&lt;&gt;"",IF(LOWER('Capacity summary'!AP161)="x",$BI42*AP42,VALUE('Capacity summary'!AP161)),0),AP42*$BI42),AP42*$BI42),0)</f>
        <v>0</v>
      </c>
      <c r="CT42" s="314">
        <f>IF($BI42&lt;&gt;"",IF('Capacity summary'!$D$14="Yes",IF(COUNTBLANK('Capacity summary'!$H161:$BG161)&lt;52,IF('Capacity summary'!AQ161&lt;&gt;"",IF(LOWER('Capacity summary'!AQ161)="x",$BI42*AQ42,VALUE('Capacity summary'!AQ161)),0),AQ42*$BI42),AQ42*$BI42),0)</f>
        <v>0</v>
      </c>
      <c r="CU42" s="314">
        <f>IF($BI42&lt;&gt;"",IF('Capacity summary'!$D$14="Yes",IF(COUNTBLANK('Capacity summary'!$H161:$BG161)&lt;52,IF('Capacity summary'!AR161&lt;&gt;"",IF(LOWER('Capacity summary'!AR161)="x",$BI42*AR42,VALUE('Capacity summary'!AR161)),0),AR42*$BI42),AR42*$BI42),0)</f>
        <v>0</v>
      </c>
      <c r="CV42" s="314">
        <f>IF($BI42&lt;&gt;"",IF('Capacity summary'!$D$14="Yes",IF(COUNTBLANK('Capacity summary'!$H161:$BG161)&lt;52,IF('Capacity summary'!AS161&lt;&gt;"",IF(LOWER('Capacity summary'!AS161)="x",$BI42*AS42,VALUE('Capacity summary'!AS161)),0),AS42*$BI42),AS42*$BI42),0)</f>
        <v>0</v>
      </c>
      <c r="CW42" s="314">
        <f>IF($BI42&lt;&gt;"",IF('Capacity summary'!$D$14="Yes",IF(COUNTBLANK('Capacity summary'!$H161:$BG161)&lt;52,IF('Capacity summary'!AT161&lt;&gt;"",IF(LOWER('Capacity summary'!AT161)="x",$BI42*AT42,VALUE('Capacity summary'!AT161)),0),AT42*$BI42),AT42*$BI42),0)</f>
        <v>0</v>
      </c>
      <c r="CX42" s="314">
        <f>IF($BI42&lt;&gt;"",IF('Capacity summary'!$D$14="Yes",IF(COUNTBLANK('Capacity summary'!$H161:$BG161)&lt;52,IF('Capacity summary'!AU161&lt;&gt;"",IF(LOWER('Capacity summary'!AU161)="x",$BI42*AU42,VALUE('Capacity summary'!AU161)),0),AU42*$BI42),AU42*$BI42),0)</f>
        <v>0</v>
      </c>
      <c r="CY42" s="314">
        <f>IF($BI42&lt;&gt;"",IF('Capacity summary'!$D$14="Yes",IF(COUNTBLANK('Capacity summary'!$H161:$BG161)&lt;52,IF('Capacity summary'!AV161&lt;&gt;"",IF(LOWER('Capacity summary'!AV161)="x",$BI42*AV42,VALUE('Capacity summary'!AV161)),0),AV42*$BI42),AV42*$BI42),0)</f>
        <v>0</v>
      </c>
      <c r="CZ42" s="314">
        <f>IF($BI42&lt;&gt;"",IF('Capacity summary'!$D$14="Yes",IF(COUNTBLANK('Capacity summary'!$H161:$BG161)&lt;52,IF('Capacity summary'!AW161&lt;&gt;"",IF(LOWER('Capacity summary'!AW161)="x",$BI42*AW42,VALUE('Capacity summary'!AW161)),0),AW42*$BI42),AW42*$BI42),0)</f>
        <v>0</v>
      </c>
      <c r="DA42" s="314">
        <f>IF($BI42&lt;&gt;"",IF('Capacity summary'!$D$14="Yes",IF(COUNTBLANK('Capacity summary'!$H161:$BG161)&lt;52,IF('Capacity summary'!AX161&lt;&gt;"",IF(LOWER('Capacity summary'!AX161)="x",$BI42*AX42,VALUE('Capacity summary'!AX161)),0),AX42*$BI42),AX42*$BI42),0)</f>
        <v>0</v>
      </c>
      <c r="DB42" s="314">
        <f>IF($BI42&lt;&gt;"",IF('Capacity summary'!$D$14="Yes",IF(COUNTBLANK('Capacity summary'!$H161:$BG161)&lt;52,IF('Capacity summary'!AY161&lt;&gt;"",IF(LOWER('Capacity summary'!AY161)="x",$BI42*AY42,VALUE('Capacity summary'!AY161)),0),AY42*$BI42),AY42*$BI42),0)</f>
        <v>0</v>
      </c>
      <c r="DC42" s="314">
        <f>IF($BI42&lt;&gt;"",IF('Capacity summary'!$D$14="Yes",IF(COUNTBLANK('Capacity summary'!$H161:$BG161)&lt;52,IF('Capacity summary'!AZ161&lt;&gt;"",IF(LOWER('Capacity summary'!AZ161)="x",$BI42*AZ42,VALUE('Capacity summary'!AZ161)),0),AZ42*$BI42),AZ42*$BI42),0)</f>
        <v>0</v>
      </c>
      <c r="DD42" s="314">
        <f>IF($BI42&lt;&gt;"",IF('Capacity summary'!$D$14="Yes",IF(COUNTBLANK('Capacity summary'!$H161:$BG161)&lt;52,IF('Capacity summary'!BA161&lt;&gt;"",IF(LOWER('Capacity summary'!BA161)="x",$BI42*BA42,VALUE('Capacity summary'!BA161)),0),BA42*$BI42),BA42*$BI42),0)</f>
        <v>0</v>
      </c>
      <c r="DE42" s="314">
        <f>IF($BI42&lt;&gt;"",IF('Capacity summary'!$D$14="Yes",IF(COUNTBLANK('Capacity summary'!$H161:$BG161)&lt;52,IF('Capacity summary'!BB161&lt;&gt;"",IF(LOWER('Capacity summary'!BB161)="x",$BI42*BB42,VALUE('Capacity summary'!BB161)),0),BB42*$BI42),BB42*$BI42),0)</f>
        <v>0</v>
      </c>
      <c r="DF42" s="314">
        <f>IF($BI42&lt;&gt;"",IF('Capacity summary'!$D$14="Yes",IF(COUNTBLANK('Capacity summary'!$H161:$BG161)&lt;52,IF('Capacity summary'!BC161&lt;&gt;"",IF(LOWER('Capacity summary'!BC161)="x",$BI42*BC42,VALUE('Capacity summary'!BC161)),0),BC42*$BI42),BC42*$BI42),0)</f>
        <v>0</v>
      </c>
      <c r="DG42" s="314">
        <f>IF($BI42&lt;&gt;"",IF('Capacity summary'!$D$14="Yes",IF(COUNTBLANK('Capacity summary'!$H161:$BG161)&lt;52,IF('Capacity summary'!BD161&lt;&gt;"",IF(LOWER('Capacity summary'!BD161)="x",$BI42*BD42,VALUE('Capacity summary'!BD161)),0),BD42*$BI42),BD42*$BI42),0)</f>
        <v>0</v>
      </c>
      <c r="DH42" s="314">
        <f>IF($BI42&lt;&gt;"",IF('Capacity summary'!$D$14="Yes",IF(COUNTBLANK('Capacity summary'!$H161:$BG161)&lt;52,IF('Capacity summary'!BE161&lt;&gt;"",IF(LOWER('Capacity summary'!BE161)="x",$BI42*BE42,VALUE('Capacity summary'!BE161)),0),BE42*$BI42),BE42*$BI42),0)</f>
        <v>0</v>
      </c>
      <c r="DI42" s="314">
        <f>IF($BI42&lt;&gt;"",IF('Capacity summary'!$D$14="Yes",IF(COUNTBLANK('Capacity summary'!$H161:$BG161)&lt;52,IF('Capacity summary'!BF161&lt;&gt;"",IF(LOWER('Capacity summary'!BF161)="x",$BI42*BF42,VALUE('Capacity summary'!BF161)),0),BF42*$BI42),BF42*$BI42),0)</f>
        <v>0</v>
      </c>
      <c r="DJ42" s="314">
        <f>IF($BI42&lt;&gt;"",IF('Capacity summary'!$D$14="Yes",IF(COUNTBLANK('Capacity summary'!$H161:$BG161)&lt;52,IF('Capacity summary'!BG161&lt;&gt;"",IF(LOWER('Capacity summary'!BG161)="x",$BI42*BG42,VALUE('Capacity summary'!BG161)),0),BG42*$BI42),BG42*$BI42),0)</f>
        <v>0</v>
      </c>
      <c r="DK42" s="137">
        <f t="shared" si="2"/>
        <v>0</v>
      </c>
      <c r="DL42" s="314" t="str">
        <f>Capacity!H54</f>
        <v/>
      </c>
      <c r="DP42" s="5"/>
    </row>
    <row r="43" spans="2:120" x14ac:dyDescent="0.25">
      <c r="B43" s="67"/>
      <c r="C43" s="67" t="str">
        <f>ROW(A39)&amp;". "&amp;Capacity!B55</f>
        <v xml:space="preserve">39.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IF(ROW(C39)&lt;=Capacity!$A$16,IF('Capacity summary'!$D$14="No",SUM(H43:BG43),'Capacity summary'!$E162),0)</f>
        <v>0</v>
      </c>
      <c r="BI43" s="5" t="str">
        <f>IF(BH43&gt;0,IF(BH43&lt;Capacity!E55,Capacity!F55,Capacity!H55/'Capacity calculation (hide)'!BH43),"")</f>
        <v/>
      </c>
      <c r="BK43" s="314">
        <f>IF($BI43&lt;&gt;"",IF('Capacity summary'!$D$14="Yes",IF(COUNTBLANK('Capacity summary'!$H162:$BG162)&lt;52,IF('Capacity summary'!H162&lt;&gt;"",IF(LOWER('Capacity summary'!H162)="x",$BI43*H43,VALUE('Capacity summary'!H162)),0),H43*$BI43),H43*$BI43),0)</f>
        <v>0</v>
      </c>
      <c r="BL43" s="314">
        <f>IF($BI43&lt;&gt;"",IF('Capacity summary'!$D$14="Yes",IF(COUNTBLANK('Capacity summary'!$H162:$BG162)&lt;52,IF('Capacity summary'!I162&lt;&gt;"",IF(LOWER('Capacity summary'!I162)="x",$BI43*I43,VALUE('Capacity summary'!I162)),0),I43*$BI43),I43*$BI43),0)</f>
        <v>0</v>
      </c>
      <c r="BM43" s="314">
        <f>IF($BI43&lt;&gt;"",IF('Capacity summary'!$D$14="Yes",IF(COUNTBLANK('Capacity summary'!$H162:$BG162)&lt;52,IF('Capacity summary'!J162&lt;&gt;"",IF(LOWER('Capacity summary'!J162)="x",$BI43*J43,VALUE('Capacity summary'!J162)),0),J43*$BI43),J43*$BI43),0)</f>
        <v>0</v>
      </c>
      <c r="BN43" s="314">
        <f>IF($BI43&lt;&gt;"",IF('Capacity summary'!$D$14="Yes",IF(COUNTBLANK('Capacity summary'!$H162:$BG162)&lt;52,IF('Capacity summary'!K162&lt;&gt;"",IF(LOWER('Capacity summary'!K162)="x",$BI43*K43,VALUE('Capacity summary'!K162)),0),K43*$BI43),K43*$BI43),0)</f>
        <v>0</v>
      </c>
      <c r="BO43" s="314">
        <f>IF($BI43&lt;&gt;"",IF('Capacity summary'!$D$14="Yes",IF(COUNTBLANK('Capacity summary'!$H162:$BG162)&lt;52,IF('Capacity summary'!L162&lt;&gt;"",IF(LOWER('Capacity summary'!L162)="x",$BI43*L43,VALUE('Capacity summary'!L162)),0),L43*$BI43),L43*$BI43),0)</f>
        <v>0</v>
      </c>
      <c r="BP43" s="314">
        <f>IF($BI43&lt;&gt;"",IF('Capacity summary'!$D$14="Yes",IF(COUNTBLANK('Capacity summary'!$H162:$BG162)&lt;52,IF('Capacity summary'!M162&lt;&gt;"",IF(LOWER('Capacity summary'!M162)="x",$BI43*M43,VALUE('Capacity summary'!M162)),0),M43*$BI43),M43*$BI43),0)</f>
        <v>0</v>
      </c>
      <c r="BQ43" s="314">
        <f>IF($BI43&lt;&gt;"",IF('Capacity summary'!$D$14="Yes",IF(COUNTBLANK('Capacity summary'!$H162:$BG162)&lt;52,IF('Capacity summary'!N162&lt;&gt;"",IF(LOWER('Capacity summary'!N162)="x",$BI43*N43,VALUE('Capacity summary'!N162)),0),N43*$BI43),N43*$BI43),0)</f>
        <v>0</v>
      </c>
      <c r="BR43" s="314">
        <f>IF($BI43&lt;&gt;"",IF('Capacity summary'!$D$14="Yes",IF(COUNTBLANK('Capacity summary'!$H162:$BG162)&lt;52,IF('Capacity summary'!O162&lt;&gt;"",IF(LOWER('Capacity summary'!O162)="x",$BI43*O43,VALUE('Capacity summary'!O162)),0),O43*$BI43),O43*$BI43),0)</f>
        <v>0</v>
      </c>
      <c r="BS43" s="314">
        <f>IF($BI43&lt;&gt;"",IF('Capacity summary'!$D$14="Yes",IF(COUNTBLANK('Capacity summary'!$H162:$BG162)&lt;52,IF('Capacity summary'!P162&lt;&gt;"",IF(LOWER('Capacity summary'!P162)="x",$BI43*P43,VALUE('Capacity summary'!P162)),0),P43*$BI43),P43*$BI43),0)</f>
        <v>0</v>
      </c>
      <c r="BT43" s="314">
        <f>IF($BI43&lt;&gt;"",IF('Capacity summary'!$D$14="Yes",IF(COUNTBLANK('Capacity summary'!$H162:$BG162)&lt;52,IF('Capacity summary'!Q162&lt;&gt;"",IF(LOWER('Capacity summary'!Q162)="x",$BI43*Q43,VALUE('Capacity summary'!Q162)),0),Q43*$BI43),Q43*$BI43),0)</f>
        <v>0</v>
      </c>
      <c r="BU43" s="314">
        <f>IF($BI43&lt;&gt;"",IF('Capacity summary'!$D$14="Yes",IF(COUNTBLANK('Capacity summary'!$H162:$BG162)&lt;52,IF('Capacity summary'!R162&lt;&gt;"",IF(LOWER('Capacity summary'!R162)="x",$BI43*R43,VALUE('Capacity summary'!R162)),0),R43*$BI43),R43*$BI43),0)</f>
        <v>0</v>
      </c>
      <c r="BV43" s="314">
        <f>IF($BI43&lt;&gt;"",IF('Capacity summary'!$D$14="Yes",IF(COUNTBLANK('Capacity summary'!$H162:$BG162)&lt;52,IF('Capacity summary'!S162&lt;&gt;"",IF(LOWER('Capacity summary'!S162)="x",$BI43*S43,VALUE('Capacity summary'!S162)),0),S43*$BI43),S43*$BI43),0)</f>
        <v>0</v>
      </c>
      <c r="BW43" s="314">
        <f>IF($BI43&lt;&gt;"",IF('Capacity summary'!$D$14="Yes",IF(COUNTBLANK('Capacity summary'!$H162:$BG162)&lt;52,IF('Capacity summary'!T162&lt;&gt;"",IF(LOWER('Capacity summary'!T162)="x",$BI43*T43,VALUE('Capacity summary'!T162)),0),T43*$BI43),T43*$BI43),0)</f>
        <v>0</v>
      </c>
      <c r="BX43" s="314">
        <f>IF($BI43&lt;&gt;"",IF('Capacity summary'!$D$14="Yes",IF(COUNTBLANK('Capacity summary'!$H162:$BG162)&lt;52,IF('Capacity summary'!U162&lt;&gt;"",IF(LOWER('Capacity summary'!U162)="x",$BI43*U43,VALUE('Capacity summary'!U162)),0),U43*$BI43),U43*$BI43),0)</f>
        <v>0</v>
      </c>
      <c r="BY43" s="314">
        <f>IF($BI43&lt;&gt;"",IF('Capacity summary'!$D$14="Yes",IF(COUNTBLANK('Capacity summary'!$H162:$BG162)&lt;52,IF('Capacity summary'!V162&lt;&gt;"",IF(LOWER('Capacity summary'!V162)="x",$BI43*V43,VALUE('Capacity summary'!V162)),0),V43*$BI43),V43*$BI43),0)</f>
        <v>0</v>
      </c>
      <c r="BZ43" s="314">
        <f>IF($BI43&lt;&gt;"",IF('Capacity summary'!$D$14="Yes",IF(COUNTBLANK('Capacity summary'!$H162:$BG162)&lt;52,IF('Capacity summary'!W162&lt;&gt;"",IF(LOWER('Capacity summary'!W162)="x",$BI43*W43,VALUE('Capacity summary'!W162)),0),W43*$BI43),W43*$BI43),0)</f>
        <v>0</v>
      </c>
      <c r="CA43" s="314">
        <f>IF($BI43&lt;&gt;"",IF('Capacity summary'!$D$14="Yes",IF(COUNTBLANK('Capacity summary'!$H162:$BG162)&lt;52,IF('Capacity summary'!X162&lt;&gt;"",IF(LOWER('Capacity summary'!X162)="x",$BI43*X43,VALUE('Capacity summary'!X162)),0),X43*$BI43),X43*$BI43),0)</f>
        <v>0</v>
      </c>
      <c r="CB43" s="314">
        <f>IF($BI43&lt;&gt;"",IF('Capacity summary'!$D$14="Yes",IF(COUNTBLANK('Capacity summary'!$H162:$BG162)&lt;52,IF('Capacity summary'!Y162&lt;&gt;"",IF(LOWER('Capacity summary'!Y162)="x",$BI43*Y43,VALUE('Capacity summary'!Y162)),0),Y43*$BI43),Y43*$BI43),0)</f>
        <v>0</v>
      </c>
      <c r="CC43" s="314">
        <f>IF($BI43&lt;&gt;"",IF('Capacity summary'!$D$14="Yes",IF(COUNTBLANK('Capacity summary'!$H162:$BG162)&lt;52,IF('Capacity summary'!Z162&lt;&gt;"",IF(LOWER('Capacity summary'!Z162)="x",$BI43*Z43,VALUE('Capacity summary'!Z162)),0),Z43*$BI43),Z43*$BI43),0)</f>
        <v>0</v>
      </c>
      <c r="CD43" s="314">
        <f>IF($BI43&lt;&gt;"",IF('Capacity summary'!$D$14="Yes",IF(COUNTBLANK('Capacity summary'!$H162:$BG162)&lt;52,IF('Capacity summary'!AA162&lt;&gt;"",IF(LOWER('Capacity summary'!AA162)="x",$BI43*AA43,VALUE('Capacity summary'!AA162)),0),AA43*$BI43),AA43*$BI43),0)</f>
        <v>0</v>
      </c>
      <c r="CE43" s="314">
        <f>IF($BI43&lt;&gt;"",IF('Capacity summary'!$D$14="Yes",IF(COUNTBLANK('Capacity summary'!$H162:$BG162)&lt;52,IF('Capacity summary'!AB162&lt;&gt;"",IF(LOWER('Capacity summary'!AB162)="x",$BI43*AB43,VALUE('Capacity summary'!AB162)),0),AB43*$BI43),AB43*$BI43),0)</f>
        <v>0</v>
      </c>
      <c r="CF43" s="314">
        <f>IF($BI43&lt;&gt;"",IF('Capacity summary'!$D$14="Yes",IF(COUNTBLANK('Capacity summary'!$H162:$BG162)&lt;52,IF('Capacity summary'!AC162&lt;&gt;"",IF(LOWER('Capacity summary'!AC162)="x",$BI43*AC43,VALUE('Capacity summary'!AC162)),0),AC43*$BI43),AC43*$BI43),0)</f>
        <v>0</v>
      </c>
      <c r="CG43" s="314">
        <f>IF($BI43&lt;&gt;"",IF('Capacity summary'!$D$14="Yes",IF(COUNTBLANK('Capacity summary'!$H162:$BG162)&lt;52,IF('Capacity summary'!AD162&lt;&gt;"",IF(LOWER('Capacity summary'!AD162)="x",$BI43*AD43,VALUE('Capacity summary'!AD162)),0),AD43*$BI43),AD43*$BI43),0)</f>
        <v>0</v>
      </c>
      <c r="CH43" s="314">
        <f>IF($BI43&lt;&gt;"",IF('Capacity summary'!$D$14="Yes",IF(COUNTBLANK('Capacity summary'!$H162:$BG162)&lt;52,IF('Capacity summary'!AE162&lt;&gt;"",IF(LOWER('Capacity summary'!AE162)="x",$BI43*AE43,VALUE('Capacity summary'!AE162)),0),AE43*$BI43),AE43*$BI43),0)</f>
        <v>0</v>
      </c>
      <c r="CI43" s="314">
        <f>IF($BI43&lt;&gt;"",IF('Capacity summary'!$D$14="Yes",IF(COUNTBLANK('Capacity summary'!$H162:$BG162)&lt;52,IF('Capacity summary'!AF162&lt;&gt;"",IF(LOWER('Capacity summary'!AF162)="x",$BI43*AF43,VALUE('Capacity summary'!AF162)),0),AF43*$BI43),AF43*$BI43),0)</f>
        <v>0</v>
      </c>
      <c r="CJ43" s="314">
        <f>IF($BI43&lt;&gt;"",IF('Capacity summary'!$D$14="Yes",IF(COUNTBLANK('Capacity summary'!$H162:$BG162)&lt;52,IF('Capacity summary'!AG162&lt;&gt;"",IF(LOWER('Capacity summary'!AG162)="x",$BI43*AG43,VALUE('Capacity summary'!AG162)),0),AG43*$BI43),AG43*$BI43),0)</f>
        <v>0</v>
      </c>
      <c r="CK43" s="314">
        <f>IF($BI43&lt;&gt;"",IF('Capacity summary'!$D$14="Yes",IF(COUNTBLANK('Capacity summary'!$H162:$BG162)&lt;52,IF('Capacity summary'!AH162&lt;&gt;"",IF(LOWER('Capacity summary'!AH162)="x",$BI43*AH43,VALUE('Capacity summary'!AH162)),0),AH43*$BI43),AH43*$BI43),0)</f>
        <v>0</v>
      </c>
      <c r="CL43" s="314">
        <f>IF($BI43&lt;&gt;"",IF('Capacity summary'!$D$14="Yes",IF(COUNTBLANK('Capacity summary'!$H162:$BG162)&lt;52,IF('Capacity summary'!AI162&lt;&gt;"",IF(LOWER('Capacity summary'!AI162)="x",$BI43*AI43,VALUE('Capacity summary'!AI162)),0),AI43*$BI43),AI43*$BI43),0)</f>
        <v>0</v>
      </c>
      <c r="CM43" s="314">
        <f>IF($BI43&lt;&gt;"",IF('Capacity summary'!$D$14="Yes",IF(COUNTBLANK('Capacity summary'!$H162:$BG162)&lt;52,IF('Capacity summary'!AJ162&lt;&gt;"",IF(LOWER('Capacity summary'!AJ162)="x",$BI43*AJ43,VALUE('Capacity summary'!AJ162)),0),AJ43*$BI43),AJ43*$BI43),0)</f>
        <v>0</v>
      </c>
      <c r="CN43" s="314">
        <f>IF($BI43&lt;&gt;"",IF('Capacity summary'!$D$14="Yes",IF(COUNTBLANK('Capacity summary'!$H162:$BG162)&lt;52,IF('Capacity summary'!AK162&lt;&gt;"",IF(LOWER('Capacity summary'!AK162)="x",$BI43*AK43,VALUE('Capacity summary'!AK162)),0),AK43*$BI43),AK43*$BI43),0)</f>
        <v>0</v>
      </c>
      <c r="CO43" s="314">
        <f>IF($BI43&lt;&gt;"",IF('Capacity summary'!$D$14="Yes",IF(COUNTBLANK('Capacity summary'!$H162:$BG162)&lt;52,IF('Capacity summary'!AL162&lt;&gt;"",IF(LOWER('Capacity summary'!AL162)="x",$BI43*AL43,VALUE('Capacity summary'!AL162)),0),AL43*$BI43),AL43*$BI43),0)</f>
        <v>0</v>
      </c>
      <c r="CP43" s="314">
        <f>IF($BI43&lt;&gt;"",IF('Capacity summary'!$D$14="Yes",IF(COUNTBLANK('Capacity summary'!$H162:$BG162)&lt;52,IF('Capacity summary'!AM162&lt;&gt;"",IF(LOWER('Capacity summary'!AM162)="x",$BI43*AM43,VALUE('Capacity summary'!AM162)),0),AM43*$BI43),AM43*$BI43),0)</f>
        <v>0</v>
      </c>
      <c r="CQ43" s="314">
        <f>IF($BI43&lt;&gt;"",IF('Capacity summary'!$D$14="Yes",IF(COUNTBLANK('Capacity summary'!$H162:$BG162)&lt;52,IF('Capacity summary'!AN162&lt;&gt;"",IF(LOWER('Capacity summary'!AN162)="x",$BI43*AN43,VALUE('Capacity summary'!AN162)),0),AN43*$BI43),AN43*$BI43),0)</f>
        <v>0</v>
      </c>
      <c r="CR43" s="314">
        <f>IF($BI43&lt;&gt;"",IF('Capacity summary'!$D$14="Yes",IF(COUNTBLANK('Capacity summary'!$H162:$BG162)&lt;52,IF('Capacity summary'!AO162&lt;&gt;"",IF(LOWER('Capacity summary'!AO162)="x",$BI43*AO43,VALUE('Capacity summary'!AO162)),0),AO43*$BI43),AO43*$BI43),0)</f>
        <v>0</v>
      </c>
      <c r="CS43" s="314">
        <f>IF($BI43&lt;&gt;"",IF('Capacity summary'!$D$14="Yes",IF(COUNTBLANK('Capacity summary'!$H162:$BG162)&lt;52,IF('Capacity summary'!AP162&lt;&gt;"",IF(LOWER('Capacity summary'!AP162)="x",$BI43*AP43,VALUE('Capacity summary'!AP162)),0),AP43*$BI43),AP43*$BI43),0)</f>
        <v>0</v>
      </c>
      <c r="CT43" s="314">
        <f>IF($BI43&lt;&gt;"",IF('Capacity summary'!$D$14="Yes",IF(COUNTBLANK('Capacity summary'!$H162:$BG162)&lt;52,IF('Capacity summary'!AQ162&lt;&gt;"",IF(LOWER('Capacity summary'!AQ162)="x",$BI43*AQ43,VALUE('Capacity summary'!AQ162)),0),AQ43*$BI43),AQ43*$BI43),0)</f>
        <v>0</v>
      </c>
      <c r="CU43" s="314">
        <f>IF($BI43&lt;&gt;"",IF('Capacity summary'!$D$14="Yes",IF(COUNTBLANK('Capacity summary'!$H162:$BG162)&lt;52,IF('Capacity summary'!AR162&lt;&gt;"",IF(LOWER('Capacity summary'!AR162)="x",$BI43*AR43,VALUE('Capacity summary'!AR162)),0),AR43*$BI43),AR43*$BI43),0)</f>
        <v>0</v>
      </c>
      <c r="CV43" s="314">
        <f>IF($BI43&lt;&gt;"",IF('Capacity summary'!$D$14="Yes",IF(COUNTBLANK('Capacity summary'!$H162:$BG162)&lt;52,IF('Capacity summary'!AS162&lt;&gt;"",IF(LOWER('Capacity summary'!AS162)="x",$BI43*AS43,VALUE('Capacity summary'!AS162)),0),AS43*$BI43),AS43*$BI43),0)</f>
        <v>0</v>
      </c>
      <c r="CW43" s="314">
        <f>IF($BI43&lt;&gt;"",IF('Capacity summary'!$D$14="Yes",IF(COUNTBLANK('Capacity summary'!$H162:$BG162)&lt;52,IF('Capacity summary'!AT162&lt;&gt;"",IF(LOWER('Capacity summary'!AT162)="x",$BI43*AT43,VALUE('Capacity summary'!AT162)),0),AT43*$BI43),AT43*$BI43),0)</f>
        <v>0</v>
      </c>
      <c r="CX43" s="314">
        <f>IF($BI43&lt;&gt;"",IF('Capacity summary'!$D$14="Yes",IF(COUNTBLANK('Capacity summary'!$H162:$BG162)&lt;52,IF('Capacity summary'!AU162&lt;&gt;"",IF(LOWER('Capacity summary'!AU162)="x",$BI43*AU43,VALUE('Capacity summary'!AU162)),0),AU43*$BI43),AU43*$BI43),0)</f>
        <v>0</v>
      </c>
      <c r="CY43" s="314">
        <f>IF($BI43&lt;&gt;"",IF('Capacity summary'!$D$14="Yes",IF(COUNTBLANK('Capacity summary'!$H162:$BG162)&lt;52,IF('Capacity summary'!AV162&lt;&gt;"",IF(LOWER('Capacity summary'!AV162)="x",$BI43*AV43,VALUE('Capacity summary'!AV162)),0),AV43*$BI43),AV43*$BI43),0)</f>
        <v>0</v>
      </c>
      <c r="CZ43" s="314">
        <f>IF($BI43&lt;&gt;"",IF('Capacity summary'!$D$14="Yes",IF(COUNTBLANK('Capacity summary'!$H162:$BG162)&lt;52,IF('Capacity summary'!AW162&lt;&gt;"",IF(LOWER('Capacity summary'!AW162)="x",$BI43*AW43,VALUE('Capacity summary'!AW162)),0),AW43*$BI43),AW43*$BI43),0)</f>
        <v>0</v>
      </c>
      <c r="DA43" s="314">
        <f>IF($BI43&lt;&gt;"",IF('Capacity summary'!$D$14="Yes",IF(COUNTBLANK('Capacity summary'!$H162:$BG162)&lt;52,IF('Capacity summary'!AX162&lt;&gt;"",IF(LOWER('Capacity summary'!AX162)="x",$BI43*AX43,VALUE('Capacity summary'!AX162)),0),AX43*$BI43),AX43*$BI43),0)</f>
        <v>0</v>
      </c>
      <c r="DB43" s="314">
        <f>IF($BI43&lt;&gt;"",IF('Capacity summary'!$D$14="Yes",IF(COUNTBLANK('Capacity summary'!$H162:$BG162)&lt;52,IF('Capacity summary'!AY162&lt;&gt;"",IF(LOWER('Capacity summary'!AY162)="x",$BI43*AY43,VALUE('Capacity summary'!AY162)),0),AY43*$BI43),AY43*$BI43),0)</f>
        <v>0</v>
      </c>
      <c r="DC43" s="314">
        <f>IF($BI43&lt;&gt;"",IF('Capacity summary'!$D$14="Yes",IF(COUNTBLANK('Capacity summary'!$H162:$BG162)&lt;52,IF('Capacity summary'!AZ162&lt;&gt;"",IF(LOWER('Capacity summary'!AZ162)="x",$BI43*AZ43,VALUE('Capacity summary'!AZ162)),0),AZ43*$BI43),AZ43*$BI43),0)</f>
        <v>0</v>
      </c>
      <c r="DD43" s="314">
        <f>IF($BI43&lt;&gt;"",IF('Capacity summary'!$D$14="Yes",IF(COUNTBLANK('Capacity summary'!$H162:$BG162)&lt;52,IF('Capacity summary'!BA162&lt;&gt;"",IF(LOWER('Capacity summary'!BA162)="x",$BI43*BA43,VALUE('Capacity summary'!BA162)),0),BA43*$BI43),BA43*$BI43),0)</f>
        <v>0</v>
      </c>
      <c r="DE43" s="314">
        <f>IF($BI43&lt;&gt;"",IF('Capacity summary'!$D$14="Yes",IF(COUNTBLANK('Capacity summary'!$H162:$BG162)&lt;52,IF('Capacity summary'!BB162&lt;&gt;"",IF(LOWER('Capacity summary'!BB162)="x",$BI43*BB43,VALUE('Capacity summary'!BB162)),0),BB43*$BI43),BB43*$BI43),0)</f>
        <v>0</v>
      </c>
      <c r="DF43" s="314">
        <f>IF($BI43&lt;&gt;"",IF('Capacity summary'!$D$14="Yes",IF(COUNTBLANK('Capacity summary'!$H162:$BG162)&lt;52,IF('Capacity summary'!BC162&lt;&gt;"",IF(LOWER('Capacity summary'!BC162)="x",$BI43*BC43,VALUE('Capacity summary'!BC162)),0),BC43*$BI43),BC43*$BI43),0)</f>
        <v>0</v>
      </c>
      <c r="DG43" s="314">
        <f>IF($BI43&lt;&gt;"",IF('Capacity summary'!$D$14="Yes",IF(COUNTBLANK('Capacity summary'!$H162:$BG162)&lt;52,IF('Capacity summary'!BD162&lt;&gt;"",IF(LOWER('Capacity summary'!BD162)="x",$BI43*BD43,VALUE('Capacity summary'!BD162)),0),BD43*$BI43),BD43*$BI43),0)</f>
        <v>0</v>
      </c>
      <c r="DH43" s="314">
        <f>IF($BI43&lt;&gt;"",IF('Capacity summary'!$D$14="Yes",IF(COUNTBLANK('Capacity summary'!$H162:$BG162)&lt;52,IF('Capacity summary'!BE162&lt;&gt;"",IF(LOWER('Capacity summary'!BE162)="x",$BI43*BE43,VALUE('Capacity summary'!BE162)),0),BE43*$BI43),BE43*$BI43),0)</f>
        <v>0</v>
      </c>
      <c r="DI43" s="314">
        <f>IF($BI43&lt;&gt;"",IF('Capacity summary'!$D$14="Yes",IF(COUNTBLANK('Capacity summary'!$H162:$BG162)&lt;52,IF('Capacity summary'!BF162&lt;&gt;"",IF(LOWER('Capacity summary'!BF162)="x",$BI43*BF43,VALUE('Capacity summary'!BF162)),0),BF43*$BI43),BF43*$BI43),0)</f>
        <v>0</v>
      </c>
      <c r="DJ43" s="314">
        <f>IF($BI43&lt;&gt;"",IF('Capacity summary'!$D$14="Yes",IF(COUNTBLANK('Capacity summary'!$H162:$BG162)&lt;52,IF('Capacity summary'!BG162&lt;&gt;"",IF(LOWER('Capacity summary'!BG162)="x",$BI43*BG43,VALUE('Capacity summary'!BG162)),0),BG43*$BI43),BG43*$BI43),0)</f>
        <v>0</v>
      </c>
      <c r="DK43" s="137">
        <f t="shared" si="2"/>
        <v>0</v>
      </c>
      <c r="DL43" s="314" t="str">
        <f>Capacity!H55</f>
        <v/>
      </c>
      <c r="DP43" s="5"/>
    </row>
    <row r="44" spans="2:120" x14ac:dyDescent="0.25">
      <c r="B44" s="67"/>
      <c r="C44" s="67" t="str">
        <f>ROW(A40)&amp;". "&amp;Capacity!B56</f>
        <v xml:space="preserve">40.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IF(ROW(C40)&lt;=Capacity!$A$16,IF('Capacity summary'!$D$14="No",SUM(H44:BG44),'Capacity summary'!$E163),0)</f>
        <v>0</v>
      </c>
      <c r="BI44" s="5" t="str">
        <f>IF(BH44&gt;0,IF(BH44&lt;Capacity!E56,Capacity!F56,Capacity!H56/'Capacity calculation (hide)'!BH44),"")</f>
        <v/>
      </c>
      <c r="BK44" s="314">
        <f>IF($BI44&lt;&gt;"",IF('Capacity summary'!$D$14="Yes",IF(COUNTBLANK('Capacity summary'!$H163:$BG163)&lt;52,IF('Capacity summary'!H163&lt;&gt;"",IF(LOWER('Capacity summary'!H163)="x",$BI44*H44,VALUE('Capacity summary'!H163)),0),H44*$BI44),H44*$BI44),0)</f>
        <v>0</v>
      </c>
      <c r="BL44" s="314">
        <f>IF($BI44&lt;&gt;"",IF('Capacity summary'!$D$14="Yes",IF(COUNTBLANK('Capacity summary'!$H163:$BG163)&lt;52,IF('Capacity summary'!I163&lt;&gt;"",IF(LOWER('Capacity summary'!I163)="x",$BI44*I44,VALUE('Capacity summary'!I163)),0),I44*$BI44),I44*$BI44),0)</f>
        <v>0</v>
      </c>
      <c r="BM44" s="314">
        <f>IF($BI44&lt;&gt;"",IF('Capacity summary'!$D$14="Yes",IF(COUNTBLANK('Capacity summary'!$H163:$BG163)&lt;52,IF('Capacity summary'!J163&lt;&gt;"",IF(LOWER('Capacity summary'!J163)="x",$BI44*J44,VALUE('Capacity summary'!J163)),0),J44*$BI44),J44*$BI44),0)</f>
        <v>0</v>
      </c>
      <c r="BN44" s="314">
        <f>IF($BI44&lt;&gt;"",IF('Capacity summary'!$D$14="Yes",IF(COUNTBLANK('Capacity summary'!$H163:$BG163)&lt;52,IF('Capacity summary'!K163&lt;&gt;"",IF(LOWER('Capacity summary'!K163)="x",$BI44*K44,VALUE('Capacity summary'!K163)),0),K44*$BI44),K44*$BI44),0)</f>
        <v>0</v>
      </c>
      <c r="BO44" s="314">
        <f>IF($BI44&lt;&gt;"",IF('Capacity summary'!$D$14="Yes",IF(COUNTBLANK('Capacity summary'!$H163:$BG163)&lt;52,IF('Capacity summary'!L163&lt;&gt;"",IF(LOWER('Capacity summary'!L163)="x",$BI44*L44,VALUE('Capacity summary'!L163)),0),L44*$BI44),L44*$BI44),0)</f>
        <v>0</v>
      </c>
      <c r="BP44" s="314">
        <f>IF($BI44&lt;&gt;"",IF('Capacity summary'!$D$14="Yes",IF(COUNTBLANK('Capacity summary'!$H163:$BG163)&lt;52,IF('Capacity summary'!M163&lt;&gt;"",IF(LOWER('Capacity summary'!M163)="x",$BI44*M44,VALUE('Capacity summary'!M163)),0),M44*$BI44),M44*$BI44),0)</f>
        <v>0</v>
      </c>
      <c r="BQ44" s="314">
        <f>IF($BI44&lt;&gt;"",IF('Capacity summary'!$D$14="Yes",IF(COUNTBLANK('Capacity summary'!$H163:$BG163)&lt;52,IF('Capacity summary'!N163&lt;&gt;"",IF(LOWER('Capacity summary'!N163)="x",$BI44*N44,VALUE('Capacity summary'!N163)),0),N44*$BI44),N44*$BI44),0)</f>
        <v>0</v>
      </c>
      <c r="BR44" s="314">
        <f>IF($BI44&lt;&gt;"",IF('Capacity summary'!$D$14="Yes",IF(COUNTBLANK('Capacity summary'!$H163:$BG163)&lt;52,IF('Capacity summary'!O163&lt;&gt;"",IF(LOWER('Capacity summary'!O163)="x",$BI44*O44,VALUE('Capacity summary'!O163)),0),O44*$BI44),O44*$BI44),0)</f>
        <v>0</v>
      </c>
      <c r="BS44" s="314">
        <f>IF($BI44&lt;&gt;"",IF('Capacity summary'!$D$14="Yes",IF(COUNTBLANK('Capacity summary'!$H163:$BG163)&lt;52,IF('Capacity summary'!P163&lt;&gt;"",IF(LOWER('Capacity summary'!P163)="x",$BI44*P44,VALUE('Capacity summary'!P163)),0),P44*$BI44),P44*$BI44),0)</f>
        <v>0</v>
      </c>
      <c r="BT44" s="314">
        <f>IF($BI44&lt;&gt;"",IF('Capacity summary'!$D$14="Yes",IF(COUNTBLANK('Capacity summary'!$H163:$BG163)&lt;52,IF('Capacity summary'!Q163&lt;&gt;"",IF(LOWER('Capacity summary'!Q163)="x",$BI44*Q44,VALUE('Capacity summary'!Q163)),0),Q44*$BI44),Q44*$BI44),0)</f>
        <v>0</v>
      </c>
      <c r="BU44" s="314">
        <f>IF($BI44&lt;&gt;"",IF('Capacity summary'!$D$14="Yes",IF(COUNTBLANK('Capacity summary'!$H163:$BG163)&lt;52,IF('Capacity summary'!R163&lt;&gt;"",IF(LOWER('Capacity summary'!R163)="x",$BI44*R44,VALUE('Capacity summary'!R163)),0),R44*$BI44),R44*$BI44),0)</f>
        <v>0</v>
      </c>
      <c r="BV44" s="314">
        <f>IF($BI44&lt;&gt;"",IF('Capacity summary'!$D$14="Yes",IF(COUNTBLANK('Capacity summary'!$H163:$BG163)&lt;52,IF('Capacity summary'!S163&lt;&gt;"",IF(LOWER('Capacity summary'!S163)="x",$BI44*S44,VALUE('Capacity summary'!S163)),0),S44*$BI44),S44*$BI44),0)</f>
        <v>0</v>
      </c>
      <c r="BW44" s="314">
        <f>IF($BI44&lt;&gt;"",IF('Capacity summary'!$D$14="Yes",IF(COUNTBLANK('Capacity summary'!$H163:$BG163)&lt;52,IF('Capacity summary'!T163&lt;&gt;"",IF(LOWER('Capacity summary'!T163)="x",$BI44*T44,VALUE('Capacity summary'!T163)),0),T44*$BI44),T44*$BI44),0)</f>
        <v>0</v>
      </c>
      <c r="BX44" s="314">
        <f>IF($BI44&lt;&gt;"",IF('Capacity summary'!$D$14="Yes",IF(COUNTBLANK('Capacity summary'!$H163:$BG163)&lt;52,IF('Capacity summary'!U163&lt;&gt;"",IF(LOWER('Capacity summary'!U163)="x",$BI44*U44,VALUE('Capacity summary'!U163)),0),U44*$BI44),U44*$BI44),0)</f>
        <v>0</v>
      </c>
      <c r="BY44" s="314">
        <f>IF($BI44&lt;&gt;"",IF('Capacity summary'!$D$14="Yes",IF(COUNTBLANK('Capacity summary'!$H163:$BG163)&lt;52,IF('Capacity summary'!V163&lt;&gt;"",IF(LOWER('Capacity summary'!V163)="x",$BI44*V44,VALUE('Capacity summary'!V163)),0),V44*$BI44),V44*$BI44),0)</f>
        <v>0</v>
      </c>
      <c r="BZ44" s="314">
        <f>IF($BI44&lt;&gt;"",IF('Capacity summary'!$D$14="Yes",IF(COUNTBLANK('Capacity summary'!$H163:$BG163)&lt;52,IF('Capacity summary'!W163&lt;&gt;"",IF(LOWER('Capacity summary'!W163)="x",$BI44*W44,VALUE('Capacity summary'!W163)),0),W44*$BI44),W44*$BI44),0)</f>
        <v>0</v>
      </c>
      <c r="CA44" s="314">
        <f>IF($BI44&lt;&gt;"",IF('Capacity summary'!$D$14="Yes",IF(COUNTBLANK('Capacity summary'!$H163:$BG163)&lt;52,IF('Capacity summary'!X163&lt;&gt;"",IF(LOWER('Capacity summary'!X163)="x",$BI44*X44,VALUE('Capacity summary'!X163)),0),X44*$BI44),X44*$BI44),0)</f>
        <v>0</v>
      </c>
      <c r="CB44" s="314">
        <f>IF($BI44&lt;&gt;"",IF('Capacity summary'!$D$14="Yes",IF(COUNTBLANK('Capacity summary'!$H163:$BG163)&lt;52,IF('Capacity summary'!Y163&lt;&gt;"",IF(LOWER('Capacity summary'!Y163)="x",$BI44*Y44,VALUE('Capacity summary'!Y163)),0),Y44*$BI44),Y44*$BI44),0)</f>
        <v>0</v>
      </c>
      <c r="CC44" s="314">
        <f>IF($BI44&lt;&gt;"",IF('Capacity summary'!$D$14="Yes",IF(COUNTBLANK('Capacity summary'!$H163:$BG163)&lt;52,IF('Capacity summary'!Z163&lt;&gt;"",IF(LOWER('Capacity summary'!Z163)="x",$BI44*Z44,VALUE('Capacity summary'!Z163)),0),Z44*$BI44),Z44*$BI44),0)</f>
        <v>0</v>
      </c>
      <c r="CD44" s="314">
        <f>IF($BI44&lt;&gt;"",IF('Capacity summary'!$D$14="Yes",IF(COUNTBLANK('Capacity summary'!$H163:$BG163)&lt;52,IF('Capacity summary'!AA163&lt;&gt;"",IF(LOWER('Capacity summary'!AA163)="x",$BI44*AA44,VALUE('Capacity summary'!AA163)),0),AA44*$BI44),AA44*$BI44),0)</f>
        <v>0</v>
      </c>
      <c r="CE44" s="314">
        <f>IF($BI44&lt;&gt;"",IF('Capacity summary'!$D$14="Yes",IF(COUNTBLANK('Capacity summary'!$H163:$BG163)&lt;52,IF('Capacity summary'!AB163&lt;&gt;"",IF(LOWER('Capacity summary'!AB163)="x",$BI44*AB44,VALUE('Capacity summary'!AB163)),0),AB44*$BI44),AB44*$BI44),0)</f>
        <v>0</v>
      </c>
      <c r="CF44" s="314">
        <f>IF($BI44&lt;&gt;"",IF('Capacity summary'!$D$14="Yes",IF(COUNTBLANK('Capacity summary'!$H163:$BG163)&lt;52,IF('Capacity summary'!AC163&lt;&gt;"",IF(LOWER('Capacity summary'!AC163)="x",$BI44*AC44,VALUE('Capacity summary'!AC163)),0),AC44*$BI44),AC44*$BI44),0)</f>
        <v>0</v>
      </c>
      <c r="CG44" s="314">
        <f>IF($BI44&lt;&gt;"",IF('Capacity summary'!$D$14="Yes",IF(COUNTBLANK('Capacity summary'!$H163:$BG163)&lt;52,IF('Capacity summary'!AD163&lt;&gt;"",IF(LOWER('Capacity summary'!AD163)="x",$BI44*AD44,VALUE('Capacity summary'!AD163)),0),AD44*$BI44),AD44*$BI44),0)</f>
        <v>0</v>
      </c>
      <c r="CH44" s="314">
        <f>IF($BI44&lt;&gt;"",IF('Capacity summary'!$D$14="Yes",IF(COUNTBLANK('Capacity summary'!$H163:$BG163)&lt;52,IF('Capacity summary'!AE163&lt;&gt;"",IF(LOWER('Capacity summary'!AE163)="x",$BI44*AE44,VALUE('Capacity summary'!AE163)),0),AE44*$BI44),AE44*$BI44),0)</f>
        <v>0</v>
      </c>
      <c r="CI44" s="314">
        <f>IF($BI44&lt;&gt;"",IF('Capacity summary'!$D$14="Yes",IF(COUNTBLANK('Capacity summary'!$H163:$BG163)&lt;52,IF('Capacity summary'!AF163&lt;&gt;"",IF(LOWER('Capacity summary'!AF163)="x",$BI44*AF44,VALUE('Capacity summary'!AF163)),0),AF44*$BI44),AF44*$BI44),0)</f>
        <v>0</v>
      </c>
      <c r="CJ44" s="314">
        <f>IF($BI44&lt;&gt;"",IF('Capacity summary'!$D$14="Yes",IF(COUNTBLANK('Capacity summary'!$H163:$BG163)&lt;52,IF('Capacity summary'!AG163&lt;&gt;"",IF(LOWER('Capacity summary'!AG163)="x",$BI44*AG44,VALUE('Capacity summary'!AG163)),0),AG44*$BI44),AG44*$BI44),0)</f>
        <v>0</v>
      </c>
      <c r="CK44" s="314">
        <f>IF($BI44&lt;&gt;"",IF('Capacity summary'!$D$14="Yes",IF(COUNTBLANK('Capacity summary'!$H163:$BG163)&lt;52,IF('Capacity summary'!AH163&lt;&gt;"",IF(LOWER('Capacity summary'!AH163)="x",$BI44*AH44,VALUE('Capacity summary'!AH163)),0),AH44*$BI44),AH44*$BI44),0)</f>
        <v>0</v>
      </c>
      <c r="CL44" s="314">
        <f>IF($BI44&lt;&gt;"",IF('Capacity summary'!$D$14="Yes",IF(COUNTBLANK('Capacity summary'!$H163:$BG163)&lt;52,IF('Capacity summary'!AI163&lt;&gt;"",IF(LOWER('Capacity summary'!AI163)="x",$BI44*AI44,VALUE('Capacity summary'!AI163)),0),AI44*$BI44),AI44*$BI44),0)</f>
        <v>0</v>
      </c>
      <c r="CM44" s="314">
        <f>IF($BI44&lt;&gt;"",IF('Capacity summary'!$D$14="Yes",IF(COUNTBLANK('Capacity summary'!$H163:$BG163)&lt;52,IF('Capacity summary'!AJ163&lt;&gt;"",IF(LOWER('Capacity summary'!AJ163)="x",$BI44*AJ44,VALUE('Capacity summary'!AJ163)),0),AJ44*$BI44),AJ44*$BI44),0)</f>
        <v>0</v>
      </c>
      <c r="CN44" s="314">
        <f>IF($BI44&lt;&gt;"",IF('Capacity summary'!$D$14="Yes",IF(COUNTBLANK('Capacity summary'!$H163:$BG163)&lt;52,IF('Capacity summary'!AK163&lt;&gt;"",IF(LOWER('Capacity summary'!AK163)="x",$BI44*AK44,VALUE('Capacity summary'!AK163)),0),AK44*$BI44),AK44*$BI44),0)</f>
        <v>0</v>
      </c>
      <c r="CO44" s="314">
        <f>IF($BI44&lt;&gt;"",IF('Capacity summary'!$D$14="Yes",IF(COUNTBLANK('Capacity summary'!$H163:$BG163)&lt;52,IF('Capacity summary'!AL163&lt;&gt;"",IF(LOWER('Capacity summary'!AL163)="x",$BI44*AL44,VALUE('Capacity summary'!AL163)),0),AL44*$BI44),AL44*$BI44),0)</f>
        <v>0</v>
      </c>
      <c r="CP44" s="314">
        <f>IF($BI44&lt;&gt;"",IF('Capacity summary'!$D$14="Yes",IF(COUNTBLANK('Capacity summary'!$H163:$BG163)&lt;52,IF('Capacity summary'!AM163&lt;&gt;"",IF(LOWER('Capacity summary'!AM163)="x",$BI44*AM44,VALUE('Capacity summary'!AM163)),0),AM44*$BI44),AM44*$BI44),0)</f>
        <v>0</v>
      </c>
      <c r="CQ44" s="314">
        <f>IF($BI44&lt;&gt;"",IF('Capacity summary'!$D$14="Yes",IF(COUNTBLANK('Capacity summary'!$H163:$BG163)&lt;52,IF('Capacity summary'!AN163&lt;&gt;"",IF(LOWER('Capacity summary'!AN163)="x",$BI44*AN44,VALUE('Capacity summary'!AN163)),0),AN44*$BI44),AN44*$BI44),0)</f>
        <v>0</v>
      </c>
      <c r="CR44" s="314">
        <f>IF($BI44&lt;&gt;"",IF('Capacity summary'!$D$14="Yes",IF(COUNTBLANK('Capacity summary'!$H163:$BG163)&lt;52,IF('Capacity summary'!AO163&lt;&gt;"",IF(LOWER('Capacity summary'!AO163)="x",$BI44*AO44,VALUE('Capacity summary'!AO163)),0),AO44*$BI44),AO44*$BI44),0)</f>
        <v>0</v>
      </c>
      <c r="CS44" s="314">
        <f>IF($BI44&lt;&gt;"",IF('Capacity summary'!$D$14="Yes",IF(COUNTBLANK('Capacity summary'!$H163:$BG163)&lt;52,IF('Capacity summary'!AP163&lt;&gt;"",IF(LOWER('Capacity summary'!AP163)="x",$BI44*AP44,VALUE('Capacity summary'!AP163)),0),AP44*$BI44),AP44*$BI44),0)</f>
        <v>0</v>
      </c>
      <c r="CT44" s="314">
        <f>IF($BI44&lt;&gt;"",IF('Capacity summary'!$D$14="Yes",IF(COUNTBLANK('Capacity summary'!$H163:$BG163)&lt;52,IF('Capacity summary'!AQ163&lt;&gt;"",IF(LOWER('Capacity summary'!AQ163)="x",$BI44*AQ44,VALUE('Capacity summary'!AQ163)),0),AQ44*$BI44),AQ44*$BI44),0)</f>
        <v>0</v>
      </c>
      <c r="CU44" s="314">
        <f>IF($BI44&lt;&gt;"",IF('Capacity summary'!$D$14="Yes",IF(COUNTBLANK('Capacity summary'!$H163:$BG163)&lt;52,IF('Capacity summary'!AR163&lt;&gt;"",IF(LOWER('Capacity summary'!AR163)="x",$BI44*AR44,VALUE('Capacity summary'!AR163)),0),AR44*$BI44),AR44*$BI44),0)</f>
        <v>0</v>
      </c>
      <c r="CV44" s="314">
        <f>IF($BI44&lt;&gt;"",IF('Capacity summary'!$D$14="Yes",IF(COUNTBLANK('Capacity summary'!$H163:$BG163)&lt;52,IF('Capacity summary'!AS163&lt;&gt;"",IF(LOWER('Capacity summary'!AS163)="x",$BI44*AS44,VALUE('Capacity summary'!AS163)),0),AS44*$BI44),AS44*$BI44),0)</f>
        <v>0</v>
      </c>
      <c r="CW44" s="314">
        <f>IF($BI44&lt;&gt;"",IF('Capacity summary'!$D$14="Yes",IF(COUNTBLANK('Capacity summary'!$H163:$BG163)&lt;52,IF('Capacity summary'!AT163&lt;&gt;"",IF(LOWER('Capacity summary'!AT163)="x",$BI44*AT44,VALUE('Capacity summary'!AT163)),0),AT44*$BI44),AT44*$BI44),0)</f>
        <v>0</v>
      </c>
      <c r="CX44" s="314">
        <f>IF($BI44&lt;&gt;"",IF('Capacity summary'!$D$14="Yes",IF(COUNTBLANK('Capacity summary'!$H163:$BG163)&lt;52,IF('Capacity summary'!AU163&lt;&gt;"",IF(LOWER('Capacity summary'!AU163)="x",$BI44*AU44,VALUE('Capacity summary'!AU163)),0),AU44*$BI44),AU44*$BI44),0)</f>
        <v>0</v>
      </c>
      <c r="CY44" s="314">
        <f>IF($BI44&lt;&gt;"",IF('Capacity summary'!$D$14="Yes",IF(COUNTBLANK('Capacity summary'!$H163:$BG163)&lt;52,IF('Capacity summary'!AV163&lt;&gt;"",IF(LOWER('Capacity summary'!AV163)="x",$BI44*AV44,VALUE('Capacity summary'!AV163)),0),AV44*$BI44),AV44*$BI44),0)</f>
        <v>0</v>
      </c>
      <c r="CZ44" s="314">
        <f>IF($BI44&lt;&gt;"",IF('Capacity summary'!$D$14="Yes",IF(COUNTBLANK('Capacity summary'!$H163:$BG163)&lt;52,IF('Capacity summary'!AW163&lt;&gt;"",IF(LOWER('Capacity summary'!AW163)="x",$BI44*AW44,VALUE('Capacity summary'!AW163)),0),AW44*$BI44),AW44*$BI44),0)</f>
        <v>0</v>
      </c>
      <c r="DA44" s="314">
        <f>IF($BI44&lt;&gt;"",IF('Capacity summary'!$D$14="Yes",IF(COUNTBLANK('Capacity summary'!$H163:$BG163)&lt;52,IF('Capacity summary'!AX163&lt;&gt;"",IF(LOWER('Capacity summary'!AX163)="x",$BI44*AX44,VALUE('Capacity summary'!AX163)),0),AX44*$BI44),AX44*$BI44),0)</f>
        <v>0</v>
      </c>
      <c r="DB44" s="314">
        <f>IF($BI44&lt;&gt;"",IF('Capacity summary'!$D$14="Yes",IF(COUNTBLANK('Capacity summary'!$H163:$BG163)&lt;52,IF('Capacity summary'!AY163&lt;&gt;"",IF(LOWER('Capacity summary'!AY163)="x",$BI44*AY44,VALUE('Capacity summary'!AY163)),0),AY44*$BI44),AY44*$BI44),0)</f>
        <v>0</v>
      </c>
      <c r="DC44" s="314">
        <f>IF($BI44&lt;&gt;"",IF('Capacity summary'!$D$14="Yes",IF(COUNTBLANK('Capacity summary'!$H163:$BG163)&lt;52,IF('Capacity summary'!AZ163&lt;&gt;"",IF(LOWER('Capacity summary'!AZ163)="x",$BI44*AZ44,VALUE('Capacity summary'!AZ163)),0),AZ44*$BI44),AZ44*$BI44),0)</f>
        <v>0</v>
      </c>
      <c r="DD44" s="314">
        <f>IF($BI44&lt;&gt;"",IF('Capacity summary'!$D$14="Yes",IF(COUNTBLANK('Capacity summary'!$H163:$BG163)&lt;52,IF('Capacity summary'!BA163&lt;&gt;"",IF(LOWER('Capacity summary'!BA163)="x",$BI44*BA44,VALUE('Capacity summary'!BA163)),0),BA44*$BI44),BA44*$BI44),0)</f>
        <v>0</v>
      </c>
      <c r="DE44" s="314">
        <f>IF($BI44&lt;&gt;"",IF('Capacity summary'!$D$14="Yes",IF(COUNTBLANK('Capacity summary'!$H163:$BG163)&lt;52,IF('Capacity summary'!BB163&lt;&gt;"",IF(LOWER('Capacity summary'!BB163)="x",$BI44*BB44,VALUE('Capacity summary'!BB163)),0),BB44*$BI44),BB44*$BI44),0)</f>
        <v>0</v>
      </c>
      <c r="DF44" s="314">
        <f>IF($BI44&lt;&gt;"",IF('Capacity summary'!$D$14="Yes",IF(COUNTBLANK('Capacity summary'!$H163:$BG163)&lt;52,IF('Capacity summary'!BC163&lt;&gt;"",IF(LOWER('Capacity summary'!BC163)="x",$BI44*BC44,VALUE('Capacity summary'!BC163)),0),BC44*$BI44),BC44*$BI44),0)</f>
        <v>0</v>
      </c>
      <c r="DG44" s="314">
        <f>IF($BI44&lt;&gt;"",IF('Capacity summary'!$D$14="Yes",IF(COUNTBLANK('Capacity summary'!$H163:$BG163)&lt;52,IF('Capacity summary'!BD163&lt;&gt;"",IF(LOWER('Capacity summary'!BD163)="x",$BI44*BD44,VALUE('Capacity summary'!BD163)),0),BD44*$BI44),BD44*$BI44),0)</f>
        <v>0</v>
      </c>
      <c r="DH44" s="314">
        <f>IF($BI44&lt;&gt;"",IF('Capacity summary'!$D$14="Yes",IF(COUNTBLANK('Capacity summary'!$H163:$BG163)&lt;52,IF('Capacity summary'!BE163&lt;&gt;"",IF(LOWER('Capacity summary'!BE163)="x",$BI44*BE44,VALUE('Capacity summary'!BE163)),0),BE44*$BI44),BE44*$BI44),0)</f>
        <v>0</v>
      </c>
      <c r="DI44" s="314">
        <f>IF($BI44&lt;&gt;"",IF('Capacity summary'!$D$14="Yes",IF(COUNTBLANK('Capacity summary'!$H163:$BG163)&lt;52,IF('Capacity summary'!BF163&lt;&gt;"",IF(LOWER('Capacity summary'!BF163)="x",$BI44*BF44,VALUE('Capacity summary'!BF163)),0),BF44*$BI44),BF44*$BI44),0)</f>
        <v>0</v>
      </c>
      <c r="DJ44" s="314">
        <f>IF($BI44&lt;&gt;"",IF('Capacity summary'!$D$14="Yes",IF(COUNTBLANK('Capacity summary'!$H163:$BG163)&lt;52,IF('Capacity summary'!BG163&lt;&gt;"",IF(LOWER('Capacity summary'!BG163)="x",$BI44*BG44,VALUE('Capacity summary'!BG163)),0),BG44*$BI44),BG44*$BI44),0)</f>
        <v>0</v>
      </c>
      <c r="DK44" s="137">
        <f t="shared" si="2"/>
        <v>0</v>
      </c>
      <c r="DL44" s="314" t="str">
        <f>Capacity!H56</f>
        <v/>
      </c>
      <c r="DP44" s="5"/>
    </row>
    <row r="45" spans="2:120" x14ac:dyDescent="0.25">
      <c r="B45" s="67"/>
      <c r="C45" s="67" t="str">
        <f>ROW(A41)&amp;". "&amp;Capacity!B57</f>
        <v xml:space="preserve">41.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IF(ROW(C41)&lt;=Capacity!$A$16,IF('Capacity summary'!$D$14="No",SUM(H45:BG45),'Capacity summary'!$E164),0)</f>
        <v>0</v>
      </c>
      <c r="BI45" s="5" t="str">
        <f>IF(BH45&gt;0,IF(BH45&lt;Capacity!E57,Capacity!F57,Capacity!H57/'Capacity calculation (hide)'!BH45),"")</f>
        <v/>
      </c>
      <c r="BK45" s="314">
        <f>IF($BI45&lt;&gt;"",IF('Capacity summary'!$D$14="Yes",IF(COUNTBLANK('Capacity summary'!$H164:$BG164)&lt;52,IF('Capacity summary'!H164&lt;&gt;"",IF(LOWER('Capacity summary'!H164)="x",$BI45*H45,VALUE('Capacity summary'!H164)),0),H45*$BI45),H45*$BI45),0)</f>
        <v>0</v>
      </c>
      <c r="BL45" s="314">
        <f>IF($BI45&lt;&gt;"",IF('Capacity summary'!$D$14="Yes",IF(COUNTBLANK('Capacity summary'!$H164:$BG164)&lt;52,IF('Capacity summary'!I164&lt;&gt;"",IF(LOWER('Capacity summary'!I164)="x",$BI45*I45,VALUE('Capacity summary'!I164)),0),I45*$BI45),I45*$BI45),0)</f>
        <v>0</v>
      </c>
      <c r="BM45" s="314">
        <f>IF($BI45&lt;&gt;"",IF('Capacity summary'!$D$14="Yes",IF(COUNTBLANK('Capacity summary'!$H164:$BG164)&lt;52,IF('Capacity summary'!J164&lt;&gt;"",IF(LOWER('Capacity summary'!J164)="x",$BI45*J45,VALUE('Capacity summary'!J164)),0),J45*$BI45),J45*$BI45),0)</f>
        <v>0</v>
      </c>
      <c r="BN45" s="314">
        <f>IF($BI45&lt;&gt;"",IF('Capacity summary'!$D$14="Yes",IF(COUNTBLANK('Capacity summary'!$H164:$BG164)&lt;52,IF('Capacity summary'!K164&lt;&gt;"",IF(LOWER('Capacity summary'!K164)="x",$BI45*K45,VALUE('Capacity summary'!K164)),0),K45*$BI45),K45*$BI45),0)</f>
        <v>0</v>
      </c>
      <c r="BO45" s="314">
        <f>IF($BI45&lt;&gt;"",IF('Capacity summary'!$D$14="Yes",IF(COUNTBLANK('Capacity summary'!$H164:$BG164)&lt;52,IF('Capacity summary'!L164&lt;&gt;"",IF(LOWER('Capacity summary'!L164)="x",$BI45*L45,VALUE('Capacity summary'!L164)),0),L45*$BI45),L45*$BI45),0)</f>
        <v>0</v>
      </c>
      <c r="BP45" s="314">
        <f>IF($BI45&lt;&gt;"",IF('Capacity summary'!$D$14="Yes",IF(COUNTBLANK('Capacity summary'!$H164:$BG164)&lt;52,IF('Capacity summary'!M164&lt;&gt;"",IF(LOWER('Capacity summary'!M164)="x",$BI45*M45,VALUE('Capacity summary'!M164)),0),M45*$BI45),M45*$BI45),0)</f>
        <v>0</v>
      </c>
      <c r="BQ45" s="314">
        <f>IF($BI45&lt;&gt;"",IF('Capacity summary'!$D$14="Yes",IF(COUNTBLANK('Capacity summary'!$H164:$BG164)&lt;52,IF('Capacity summary'!N164&lt;&gt;"",IF(LOWER('Capacity summary'!N164)="x",$BI45*N45,VALUE('Capacity summary'!N164)),0),N45*$BI45),N45*$BI45),0)</f>
        <v>0</v>
      </c>
      <c r="BR45" s="314">
        <f>IF($BI45&lt;&gt;"",IF('Capacity summary'!$D$14="Yes",IF(COUNTBLANK('Capacity summary'!$H164:$BG164)&lt;52,IF('Capacity summary'!O164&lt;&gt;"",IF(LOWER('Capacity summary'!O164)="x",$BI45*O45,VALUE('Capacity summary'!O164)),0),O45*$BI45),O45*$BI45),0)</f>
        <v>0</v>
      </c>
      <c r="BS45" s="314">
        <f>IF($BI45&lt;&gt;"",IF('Capacity summary'!$D$14="Yes",IF(COUNTBLANK('Capacity summary'!$H164:$BG164)&lt;52,IF('Capacity summary'!P164&lt;&gt;"",IF(LOWER('Capacity summary'!P164)="x",$BI45*P45,VALUE('Capacity summary'!P164)),0),P45*$BI45),P45*$BI45),0)</f>
        <v>0</v>
      </c>
      <c r="BT45" s="314">
        <f>IF($BI45&lt;&gt;"",IF('Capacity summary'!$D$14="Yes",IF(COUNTBLANK('Capacity summary'!$H164:$BG164)&lt;52,IF('Capacity summary'!Q164&lt;&gt;"",IF(LOWER('Capacity summary'!Q164)="x",$BI45*Q45,VALUE('Capacity summary'!Q164)),0),Q45*$BI45),Q45*$BI45),0)</f>
        <v>0</v>
      </c>
      <c r="BU45" s="314">
        <f>IF($BI45&lt;&gt;"",IF('Capacity summary'!$D$14="Yes",IF(COUNTBLANK('Capacity summary'!$H164:$BG164)&lt;52,IF('Capacity summary'!R164&lt;&gt;"",IF(LOWER('Capacity summary'!R164)="x",$BI45*R45,VALUE('Capacity summary'!R164)),0),R45*$BI45),R45*$BI45),0)</f>
        <v>0</v>
      </c>
      <c r="BV45" s="314">
        <f>IF($BI45&lt;&gt;"",IF('Capacity summary'!$D$14="Yes",IF(COUNTBLANK('Capacity summary'!$H164:$BG164)&lt;52,IF('Capacity summary'!S164&lt;&gt;"",IF(LOWER('Capacity summary'!S164)="x",$BI45*S45,VALUE('Capacity summary'!S164)),0),S45*$BI45),S45*$BI45),0)</f>
        <v>0</v>
      </c>
      <c r="BW45" s="314">
        <f>IF($BI45&lt;&gt;"",IF('Capacity summary'!$D$14="Yes",IF(COUNTBLANK('Capacity summary'!$H164:$BG164)&lt;52,IF('Capacity summary'!T164&lt;&gt;"",IF(LOWER('Capacity summary'!T164)="x",$BI45*T45,VALUE('Capacity summary'!T164)),0),T45*$BI45),T45*$BI45),0)</f>
        <v>0</v>
      </c>
      <c r="BX45" s="314">
        <f>IF($BI45&lt;&gt;"",IF('Capacity summary'!$D$14="Yes",IF(COUNTBLANK('Capacity summary'!$H164:$BG164)&lt;52,IF('Capacity summary'!U164&lt;&gt;"",IF(LOWER('Capacity summary'!U164)="x",$BI45*U45,VALUE('Capacity summary'!U164)),0),U45*$BI45),U45*$BI45),0)</f>
        <v>0</v>
      </c>
      <c r="BY45" s="314">
        <f>IF($BI45&lt;&gt;"",IF('Capacity summary'!$D$14="Yes",IF(COUNTBLANK('Capacity summary'!$H164:$BG164)&lt;52,IF('Capacity summary'!V164&lt;&gt;"",IF(LOWER('Capacity summary'!V164)="x",$BI45*V45,VALUE('Capacity summary'!V164)),0),V45*$BI45),V45*$BI45),0)</f>
        <v>0</v>
      </c>
      <c r="BZ45" s="314">
        <f>IF($BI45&lt;&gt;"",IF('Capacity summary'!$D$14="Yes",IF(COUNTBLANK('Capacity summary'!$H164:$BG164)&lt;52,IF('Capacity summary'!W164&lt;&gt;"",IF(LOWER('Capacity summary'!W164)="x",$BI45*W45,VALUE('Capacity summary'!W164)),0),W45*$BI45),W45*$BI45),0)</f>
        <v>0</v>
      </c>
      <c r="CA45" s="314">
        <f>IF($BI45&lt;&gt;"",IF('Capacity summary'!$D$14="Yes",IF(COUNTBLANK('Capacity summary'!$H164:$BG164)&lt;52,IF('Capacity summary'!X164&lt;&gt;"",IF(LOWER('Capacity summary'!X164)="x",$BI45*X45,VALUE('Capacity summary'!X164)),0),X45*$BI45),X45*$BI45),0)</f>
        <v>0</v>
      </c>
      <c r="CB45" s="314">
        <f>IF($BI45&lt;&gt;"",IF('Capacity summary'!$D$14="Yes",IF(COUNTBLANK('Capacity summary'!$H164:$BG164)&lt;52,IF('Capacity summary'!Y164&lt;&gt;"",IF(LOWER('Capacity summary'!Y164)="x",$BI45*Y45,VALUE('Capacity summary'!Y164)),0),Y45*$BI45),Y45*$BI45),0)</f>
        <v>0</v>
      </c>
      <c r="CC45" s="314">
        <f>IF($BI45&lt;&gt;"",IF('Capacity summary'!$D$14="Yes",IF(COUNTBLANK('Capacity summary'!$H164:$BG164)&lt;52,IF('Capacity summary'!Z164&lt;&gt;"",IF(LOWER('Capacity summary'!Z164)="x",$BI45*Z45,VALUE('Capacity summary'!Z164)),0),Z45*$BI45),Z45*$BI45),0)</f>
        <v>0</v>
      </c>
      <c r="CD45" s="314">
        <f>IF($BI45&lt;&gt;"",IF('Capacity summary'!$D$14="Yes",IF(COUNTBLANK('Capacity summary'!$H164:$BG164)&lt;52,IF('Capacity summary'!AA164&lt;&gt;"",IF(LOWER('Capacity summary'!AA164)="x",$BI45*AA45,VALUE('Capacity summary'!AA164)),0),AA45*$BI45),AA45*$BI45),0)</f>
        <v>0</v>
      </c>
      <c r="CE45" s="314">
        <f>IF($BI45&lt;&gt;"",IF('Capacity summary'!$D$14="Yes",IF(COUNTBLANK('Capacity summary'!$H164:$BG164)&lt;52,IF('Capacity summary'!AB164&lt;&gt;"",IF(LOWER('Capacity summary'!AB164)="x",$BI45*AB45,VALUE('Capacity summary'!AB164)),0),AB45*$BI45),AB45*$BI45),0)</f>
        <v>0</v>
      </c>
      <c r="CF45" s="314">
        <f>IF($BI45&lt;&gt;"",IF('Capacity summary'!$D$14="Yes",IF(COUNTBLANK('Capacity summary'!$H164:$BG164)&lt;52,IF('Capacity summary'!AC164&lt;&gt;"",IF(LOWER('Capacity summary'!AC164)="x",$BI45*AC45,VALUE('Capacity summary'!AC164)),0),AC45*$BI45),AC45*$BI45),0)</f>
        <v>0</v>
      </c>
      <c r="CG45" s="314">
        <f>IF($BI45&lt;&gt;"",IF('Capacity summary'!$D$14="Yes",IF(COUNTBLANK('Capacity summary'!$H164:$BG164)&lt;52,IF('Capacity summary'!AD164&lt;&gt;"",IF(LOWER('Capacity summary'!AD164)="x",$BI45*AD45,VALUE('Capacity summary'!AD164)),0),AD45*$BI45),AD45*$BI45),0)</f>
        <v>0</v>
      </c>
      <c r="CH45" s="314">
        <f>IF($BI45&lt;&gt;"",IF('Capacity summary'!$D$14="Yes",IF(COUNTBLANK('Capacity summary'!$H164:$BG164)&lt;52,IF('Capacity summary'!AE164&lt;&gt;"",IF(LOWER('Capacity summary'!AE164)="x",$BI45*AE45,VALUE('Capacity summary'!AE164)),0),AE45*$BI45),AE45*$BI45),0)</f>
        <v>0</v>
      </c>
      <c r="CI45" s="314">
        <f>IF($BI45&lt;&gt;"",IF('Capacity summary'!$D$14="Yes",IF(COUNTBLANK('Capacity summary'!$H164:$BG164)&lt;52,IF('Capacity summary'!AF164&lt;&gt;"",IF(LOWER('Capacity summary'!AF164)="x",$BI45*AF45,VALUE('Capacity summary'!AF164)),0),AF45*$BI45),AF45*$BI45),0)</f>
        <v>0</v>
      </c>
      <c r="CJ45" s="314">
        <f>IF($BI45&lt;&gt;"",IF('Capacity summary'!$D$14="Yes",IF(COUNTBLANK('Capacity summary'!$H164:$BG164)&lt;52,IF('Capacity summary'!AG164&lt;&gt;"",IF(LOWER('Capacity summary'!AG164)="x",$BI45*AG45,VALUE('Capacity summary'!AG164)),0),AG45*$BI45),AG45*$BI45),0)</f>
        <v>0</v>
      </c>
      <c r="CK45" s="314">
        <f>IF($BI45&lt;&gt;"",IF('Capacity summary'!$D$14="Yes",IF(COUNTBLANK('Capacity summary'!$H164:$BG164)&lt;52,IF('Capacity summary'!AH164&lt;&gt;"",IF(LOWER('Capacity summary'!AH164)="x",$BI45*AH45,VALUE('Capacity summary'!AH164)),0),AH45*$BI45),AH45*$BI45),0)</f>
        <v>0</v>
      </c>
      <c r="CL45" s="314">
        <f>IF($BI45&lt;&gt;"",IF('Capacity summary'!$D$14="Yes",IF(COUNTBLANK('Capacity summary'!$H164:$BG164)&lt;52,IF('Capacity summary'!AI164&lt;&gt;"",IF(LOWER('Capacity summary'!AI164)="x",$BI45*AI45,VALUE('Capacity summary'!AI164)),0),AI45*$BI45),AI45*$BI45),0)</f>
        <v>0</v>
      </c>
      <c r="CM45" s="314">
        <f>IF($BI45&lt;&gt;"",IF('Capacity summary'!$D$14="Yes",IF(COUNTBLANK('Capacity summary'!$H164:$BG164)&lt;52,IF('Capacity summary'!AJ164&lt;&gt;"",IF(LOWER('Capacity summary'!AJ164)="x",$BI45*AJ45,VALUE('Capacity summary'!AJ164)),0),AJ45*$BI45),AJ45*$BI45),0)</f>
        <v>0</v>
      </c>
      <c r="CN45" s="314">
        <f>IF($BI45&lt;&gt;"",IF('Capacity summary'!$D$14="Yes",IF(COUNTBLANK('Capacity summary'!$H164:$BG164)&lt;52,IF('Capacity summary'!AK164&lt;&gt;"",IF(LOWER('Capacity summary'!AK164)="x",$BI45*AK45,VALUE('Capacity summary'!AK164)),0),AK45*$BI45),AK45*$BI45),0)</f>
        <v>0</v>
      </c>
      <c r="CO45" s="314">
        <f>IF($BI45&lt;&gt;"",IF('Capacity summary'!$D$14="Yes",IF(COUNTBLANK('Capacity summary'!$H164:$BG164)&lt;52,IF('Capacity summary'!AL164&lt;&gt;"",IF(LOWER('Capacity summary'!AL164)="x",$BI45*AL45,VALUE('Capacity summary'!AL164)),0),AL45*$BI45),AL45*$BI45),0)</f>
        <v>0</v>
      </c>
      <c r="CP45" s="314">
        <f>IF($BI45&lt;&gt;"",IF('Capacity summary'!$D$14="Yes",IF(COUNTBLANK('Capacity summary'!$H164:$BG164)&lt;52,IF('Capacity summary'!AM164&lt;&gt;"",IF(LOWER('Capacity summary'!AM164)="x",$BI45*AM45,VALUE('Capacity summary'!AM164)),0),AM45*$BI45),AM45*$BI45),0)</f>
        <v>0</v>
      </c>
      <c r="CQ45" s="314">
        <f>IF($BI45&lt;&gt;"",IF('Capacity summary'!$D$14="Yes",IF(COUNTBLANK('Capacity summary'!$H164:$BG164)&lt;52,IF('Capacity summary'!AN164&lt;&gt;"",IF(LOWER('Capacity summary'!AN164)="x",$BI45*AN45,VALUE('Capacity summary'!AN164)),0),AN45*$BI45),AN45*$BI45),0)</f>
        <v>0</v>
      </c>
      <c r="CR45" s="314">
        <f>IF($BI45&lt;&gt;"",IF('Capacity summary'!$D$14="Yes",IF(COUNTBLANK('Capacity summary'!$H164:$BG164)&lt;52,IF('Capacity summary'!AO164&lt;&gt;"",IF(LOWER('Capacity summary'!AO164)="x",$BI45*AO45,VALUE('Capacity summary'!AO164)),0),AO45*$BI45),AO45*$BI45),0)</f>
        <v>0</v>
      </c>
      <c r="CS45" s="314">
        <f>IF($BI45&lt;&gt;"",IF('Capacity summary'!$D$14="Yes",IF(COUNTBLANK('Capacity summary'!$H164:$BG164)&lt;52,IF('Capacity summary'!AP164&lt;&gt;"",IF(LOWER('Capacity summary'!AP164)="x",$BI45*AP45,VALUE('Capacity summary'!AP164)),0),AP45*$BI45),AP45*$BI45),0)</f>
        <v>0</v>
      </c>
      <c r="CT45" s="314">
        <f>IF($BI45&lt;&gt;"",IF('Capacity summary'!$D$14="Yes",IF(COUNTBLANK('Capacity summary'!$H164:$BG164)&lt;52,IF('Capacity summary'!AQ164&lt;&gt;"",IF(LOWER('Capacity summary'!AQ164)="x",$BI45*AQ45,VALUE('Capacity summary'!AQ164)),0),AQ45*$BI45),AQ45*$BI45),0)</f>
        <v>0</v>
      </c>
      <c r="CU45" s="314">
        <f>IF($BI45&lt;&gt;"",IF('Capacity summary'!$D$14="Yes",IF(COUNTBLANK('Capacity summary'!$H164:$BG164)&lt;52,IF('Capacity summary'!AR164&lt;&gt;"",IF(LOWER('Capacity summary'!AR164)="x",$BI45*AR45,VALUE('Capacity summary'!AR164)),0),AR45*$BI45),AR45*$BI45),0)</f>
        <v>0</v>
      </c>
      <c r="CV45" s="314">
        <f>IF($BI45&lt;&gt;"",IF('Capacity summary'!$D$14="Yes",IF(COUNTBLANK('Capacity summary'!$H164:$BG164)&lt;52,IF('Capacity summary'!AS164&lt;&gt;"",IF(LOWER('Capacity summary'!AS164)="x",$BI45*AS45,VALUE('Capacity summary'!AS164)),0),AS45*$BI45),AS45*$BI45),0)</f>
        <v>0</v>
      </c>
      <c r="CW45" s="314">
        <f>IF($BI45&lt;&gt;"",IF('Capacity summary'!$D$14="Yes",IF(COUNTBLANK('Capacity summary'!$H164:$BG164)&lt;52,IF('Capacity summary'!AT164&lt;&gt;"",IF(LOWER('Capacity summary'!AT164)="x",$BI45*AT45,VALUE('Capacity summary'!AT164)),0),AT45*$BI45),AT45*$BI45),0)</f>
        <v>0</v>
      </c>
      <c r="CX45" s="314">
        <f>IF($BI45&lt;&gt;"",IF('Capacity summary'!$D$14="Yes",IF(COUNTBLANK('Capacity summary'!$H164:$BG164)&lt;52,IF('Capacity summary'!AU164&lt;&gt;"",IF(LOWER('Capacity summary'!AU164)="x",$BI45*AU45,VALUE('Capacity summary'!AU164)),0),AU45*$BI45),AU45*$BI45),0)</f>
        <v>0</v>
      </c>
      <c r="CY45" s="314">
        <f>IF($BI45&lt;&gt;"",IF('Capacity summary'!$D$14="Yes",IF(COUNTBLANK('Capacity summary'!$H164:$BG164)&lt;52,IF('Capacity summary'!AV164&lt;&gt;"",IF(LOWER('Capacity summary'!AV164)="x",$BI45*AV45,VALUE('Capacity summary'!AV164)),0),AV45*$BI45),AV45*$BI45),0)</f>
        <v>0</v>
      </c>
      <c r="CZ45" s="314">
        <f>IF($BI45&lt;&gt;"",IF('Capacity summary'!$D$14="Yes",IF(COUNTBLANK('Capacity summary'!$H164:$BG164)&lt;52,IF('Capacity summary'!AW164&lt;&gt;"",IF(LOWER('Capacity summary'!AW164)="x",$BI45*AW45,VALUE('Capacity summary'!AW164)),0),AW45*$BI45),AW45*$BI45),0)</f>
        <v>0</v>
      </c>
      <c r="DA45" s="314">
        <f>IF($BI45&lt;&gt;"",IF('Capacity summary'!$D$14="Yes",IF(COUNTBLANK('Capacity summary'!$H164:$BG164)&lt;52,IF('Capacity summary'!AX164&lt;&gt;"",IF(LOWER('Capacity summary'!AX164)="x",$BI45*AX45,VALUE('Capacity summary'!AX164)),0),AX45*$BI45),AX45*$BI45),0)</f>
        <v>0</v>
      </c>
      <c r="DB45" s="314">
        <f>IF($BI45&lt;&gt;"",IF('Capacity summary'!$D$14="Yes",IF(COUNTBLANK('Capacity summary'!$H164:$BG164)&lt;52,IF('Capacity summary'!AY164&lt;&gt;"",IF(LOWER('Capacity summary'!AY164)="x",$BI45*AY45,VALUE('Capacity summary'!AY164)),0),AY45*$BI45),AY45*$BI45),0)</f>
        <v>0</v>
      </c>
      <c r="DC45" s="314">
        <f>IF($BI45&lt;&gt;"",IF('Capacity summary'!$D$14="Yes",IF(COUNTBLANK('Capacity summary'!$H164:$BG164)&lt;52,IF('Capacity summary'!AZ164&lt;&gt;"",IF(LOWER('Capacity summary'!AZ164)="x",$BI45*AZ45,VALUE('Capacity summary'!AZ164)),0),AZ45*$BI45),AZ45*$BI45),0)</f>
        <v>0</v>
      </c>
      <c r="DD45" s="314">
        <f>IF($BI45&lt;&gt;"",IF('Capacity summary'!$D$14="Yes",IF(COUNTBLANK('Capacity summary'!$H164:$BG164)&lt;52,IF('Capacity summary'!BA164&lt;&gt;"",IF(LOWER('Capacity summary'!BA164)="x",$BI45*BA45,VALUE('Capacity summary'!BA164)),0),BA45*$BI45),BA45*$BI45),0)</f>
        <v>0</v>
      </c>
      <c r="DE45" s="314">
        <f>IF($BI45&lt;&gt;"",IF('Capacity summary'!$D$14="Yes",IF(COUNTBLANK('Capacity summary'!$H164:$BG164)&lt;52,IF('Capacity summary'!BB164&lt;&gt;"",IF(LOWER('Capacity summary'!BB164)="x",$BI45*BB45,VALUE('Capacity summary'!BB164)),0),BB45*$BI45),BB45*$BI45),0)</f>
        <v>0</v>
      </c>
      <c r="DF45" s="314">
        <f>IF($BI45&lt;&gt;"",IF('Capacity summary'!$D$14="Yes",IF(COUNTBLANK('Capacity summary'!$H164:$BG164)&lt;52,IF('Capacity summary'!BC164&lt;&gt;"",IF(LOWER('Capacity summary'!BC164)="x",$BI45*BC45,VALUE('Capacity summary'!BC164)),0),BC45*$BI45),BC45*$BI45),0)</f>
        <v>0</v>
      </c>
      <c r="DG45" s="314">
        <f>IF($BI45&lt;&gt;"",IF('Capacity summary'!$D$14="Yes",IF(COUNTBLANK('Capacity summary'!$H164:$BG164)&lt;52,IF('Capacity summary'!BD164&lt;&gt;"",IF(LOWER('Capacity summary'!BD164)="x",$BI45*BD45,VALUE('Capacity summary'!BD164)),0),BD45*$BI45),BD45*$BI45),0)</f>
        <v>0</v>
      </c>
      <c r="DH45" s="314">
        <f>IF($BI45&lt;&gt;"",IF('Capacity summary'!$D$14="Yes",IF(COUNTBLANK('Capacity summary'!$H164:$BG164)&lt;52,IF('Capacity summary'!BE164&lt;&gt;"",IF(LOWER('Capacity summary'!BE164)="x",$BI45*BE45,VALUE('Capacity summary'!BE164)),0),BE45*$BI45),BE45*$BI45),0)</f>
        <v>0</v>
      </c>
      <c r="DI45" s="314">
        <f>IF($BI45&lt;&gt;"",IF('Capacity summary'!$D$14="Yes",IF(COUNTBLANK('Capacity summary'!$H164:$BG164)&lt;52,IF('Capacity summary'!BF164&lt;&gt;"",IF(LOWER('Capacity summary'!BF164)="x",$BI45*BF45,VALUE('Capacity summary'!BF164)),0),BF45*$BI45),BF45*$BI45),0)</f>
        <v>0</v>
      </c>
      <c r="DJ45" s="314">
        <f>IF($BI45&lt;&gt;"",IF('Capacity summary'!$D$14="Yes",IF(COUNTBLANK('Capacity summary'!$H164:$BG164)&lt;52,IF('Capacity summary'!BG164&lt;&gt;"",IF(LOWER('Capacity summary'!BG164)="x",$BI45*BG45,VALUE('Capacity summary'!BG164)),0),BG45*$BI45),BG45*$BI45),0)</f>
        <v>0</v>
      </c>
      <c r="DK45" s="137">
        <f t="shared" si="2"/>
        <v>0</v>
      </c>
      <c r="DL45" s="314" t="str">
        <f>Capacity!H57</f>
        <v/>
      </c>
      <c r="DP45" s="5"/>
    </row>
    <row r="46" spans="2:120" x14ac:dyDescent="0.25">
      <c r="B46" s="67"/>
      <c r="C46" s="67" t="str">
        <f>ROW(A42)&amp;". "&amp;Capacity!B58</f>
        <v xml:space="preserve">42. </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IF(ROW(C42)&lt;=Capacity!$A$16,IF('Capacity summary'!$D$14="No",SUM(H46:BG46),'Capacity summary'!$E165),0)</f>
        <v>0</v>
      </c>
      <c r="BI46" s="5" t="str">
        <f>IF(BH46&gt;0,IF(BH46&lt;Capacity!E58,Capacity!F58,Capacity!H58/'Capacity calculation (hide)'!BH46),"")</f>
        <v/>
      </c>
      <c r="BK46" s="314">
        <f>IF($BI46&lt;&gt;"",IF('Capacity summary'!$D$14="Yes",IF(COUNTBLANK('Capacity summary'!$H165:$BG165)&lt;52,IF('Capacity summary'!H165&lt;&gt;"",IF(LOWER('Capacity summary'!H165)="x",$BI46*H46,VALUE('Capacity summary'!H165)),0),H46*$BI46),H46*$BI46),0)</f>
        <v>0</v>
      </c>
      <c r="BL46" s="314">
        <f>IF($BI46&lt;&gt;"",IF('Capacity summary'!$D$14="Yes",IF(COUNTBLANK('Capacity summary'!$H165:$BG165)&lt;52,IF('Capacity summary'!I165&lt;&gt;"",IF(LOWER('Capacity summary'!I165)="x",$BI46*I46,VALUE('Capacity summary'!I165)),0),I46*$BI46),I46*$BI46),0)</f>
        <v>0</v>
      </c>
      <c r="BM46" s="314">
        <f>IF($BI46&lt;&gt;"",IF('Capacity summary'!$D$14="Yes",IF(COUNTBLANK('Capacity summary'!$H165:$BG165)&lt;52,IF('Capacity summary'!J165&lt;&gt;"",IF(LOWER('Capacity summary'!J165)="x",$BI46*J46,VALUE('Capacity summary'!J165)),0),J46*$BI46),J46*$BI46),0)</f>
        <v>0</v>
      </c>
      <c r="BN46" s="314">
        <f>IF($BI46&lt;&gt;"",IF('Capacity summary'!$D$14="Yes",IF(COUNTBLANK('Capacity summary'!$H165:$BG165)&lt;52,IF('Capacity summary'!K165&lt;&gt;"",IF(LOWER('Capacity summary'!K165)="x",$BI46*K46,VALUE('Capacity summary'!K165)),0),K46*$BI46),K46*$BI46),0)</f>
        <v>0</v>
      </c>
      <c r="BO46" s="314">
        <f>IF($BI46&lt;&gt;"",IF('Capacity summary'!$D$14="Yes",IF(COUNTBLANK('Capacity summary'!$H165:$BG165)&lt;52,IF('Capacity summary'!L165&lt;&gt;"",IF(LOWER('Capacity summary'!L165)="x",$BI46*L46,VALUE('Capacity summary'!L165)),0),L46*$BI46),L46*$BI46),0)</f>
        <v>0</v>
      </c>
      <c r="BP46" s="314">
        <f>IF($BI46&lt;&gt;"",IF('Capacity summary'!$D$14="Yes",IF(COUNTBLANK('Capacity summary'!$H165:$BG165)&lt;52,IF('Capacity summary'!M165&lt;&gt;"",IF(LOWER('Capacity summary'!M165)="x",$BI46*M46,VALUE('Capacity summary'!M165)),0),M46*$BI46),M46*$BI46),0)</f>
        <v>0</v>
      </c>
      <c r="BQ46" s="314">
        <f>IF($BI46&lt;&gt;"",IF('Capacity summary'!$D$14="Yes",IF(COUNTBLANK('Capacity summary'!$H165:$BG165)&lt;52,IF('Capacity summary'!N165&lt;&gt;"",IF(LOWER('Capacity summary'!N165)="x",$BI46*N46,VALUE('Capacity summary'!N165)),0),N46*$BI46),N46*$BI46),0)</f>
        <v>0</v>
      </c>
      <c r="BR46" s="314">
        <f>IF($BI46&lt;&gt;"",IF('Capacity summary'!$D$14="Yes",IF(COUNTBLANK('Capacity summary'!$H165:$BG165)&lt;52,IF('Capacity summary'!O165&lt;&gt;"",IF(LOWER('Capacity summary'!O165)="x",$BI46*O46,VALUE('Capacity summary'!O165)),0),O46*$BI46),O46*$BI46),0)</f>
        <v>0</v>
      </c>
      <c r="BS46" s="314">
        <f>IF($BI46&lt;&gt;"",IF('Capacity summary'!$D$14="Yes",IF(COUNTBLANK('Capacity summary'!$H165:$BG165)&lt;52,IF('Capacity summary'!P165&lt;&gt;"",IF(LOWER('Capacity summary'!P165)="x",$BI46*P46,VALUE('Capacity summary'!P165)),0),P46*$BI46),P46*$BI46),0)</f>
        <v>0</v>
      </c>
      <c r="BT46" s="314">
        <f>IF($BI46&lt;&gt;"",IF('Capacity summary'!$D$14="Yes",IF(COUNTBLANK('Capacity summary'!$H165:$BG165)&lt;52,IF('Capacity summary'!Q165&lt;&gt;"",IF(LOWER('Capacity summary'!Q165)="x",$BI46*Q46,VALUE('Capacity summary'!Q165)),0),Q46*$BI46),Q46*$BI46),0)</f>
        <v>0</v>
      </c>
      <c r="BU46" s="314">
        <f>IF($BI46&lt;&gt;"",IF('Capacity summary'!$D$14="Yes",IF(COUNTBLANK('Capacity summary'!$H165:$BG165)&lt;52,IF('Capacity summary'!R165&lt;&gt;"",IF(LOWER('Capacity summary'!R165)="x",$BI46*R46,VALUE('Capacity summary'!R165)),0),R46*$BI46),R46*$BI46),0)</f>
        <v>0</v>
      </c>
      <c r="BV46" s="314">
        <f>IF($BI46&lt;&gt;"",IF('Capacity summary'!$D$14="Yes",IF(COUNTBLANK('Capacity summary'!$H165:$BG165)&lt;52,IF('Capacity summary'!S165&lt;&gt;"",IF(LOWER('Capacity summary'!S165)="x",$BI46*S46,VALUE('Capacity summary'!S165)),0),S46*$BI46),S46*$BI46),0)</f>
        <v>0</v>
      </c>
      <c r="BW46" s="314">
        <f>IF($BI46&lt;&gt;"",IF('Capacity summary'!$D$14="Yes",IF(COUNTBLANK('Capacity summary'!$H165:$BG165)&lt;52,IF('Capacity summary'!T165&lt;&gt;"",IF(LOWER('Capacity summary'!T165)="x",$BI46*T46,VALUE('Capacity summary'!T165)),0),T46*$BI46),T46*$BI46),0)</f>
        <v>0</v>
      </c>
      <c r="BX46" s="314">
        <f>IF($BI46&lt;&gt;"",IF('Capacity summary'!$D$14="Yes",IF(COUNTBLANK('Capacity summary'!$H165:$BG165)&lt;52,IF('Capacity summary'!U165&lt;&gt;"",IF(LOWER('Capacity summary'!U165)="x",$BI46*U46,VALUE('Capacity summary'!U165)),0),U46*$BI46),U46*$BI46),0)</f>
        <v>0</v>
      </c>
      <c r="BY46" s="314">
        <f>IF($BI46&lt;&gt;"",IF('Capacity summary'!$D$14="Yes",IF(COUNTBLANK('Capacity summary'!$H165:$BG165)&lt;52,IF('Capacity summary'!V165&lt;&gt;"",IF(LOWER('Capacity summary'!V165)="x",$BI46*V46,VALUE('Capacity summary'!V165)),0),V46*$BI46),V46*$BI46),0)</f>
        <v>0</v>
      </c>
      <c r="BZ46" s="314">
        <f>IF($BI46&lt;&gt;"",IF('Capacity summary'!$D$14="Yes",IF(COUNTBLANK('Capacity summary'!$H165:$BG165)&lt;52,IF('Capacity summary'!W165&lt;&gt;"",IF(LOWER('Capacity summary'!W165)="x",$BI46*W46,VALUE('Capacity summary'!W165)),0),W46*$BI46),W46*$BI46),0)</f>
        <v>0</v>
      </c>
      <c r="CA46" s="314">
        <f>IF($BI46&lt;&gt;"",IF('Capacity summary'!$D$14="Yes",IF(COUNTBLANK('Capacity summary'!$H165:$BG165)&lt;52,IF('Capacity summary'!X165&lt;&gt;"",IF(LOWER('Capacity summary'!X165)="x",$BI46*X46,VALUE('Capacity summary'!X165)),0),X46*$BI46),X46*$BI46),0)</f>
        <v>0</v>
      </c>
      <c r="CB46" s="314">
        <f>IF($BI46&lt;&gt;"",IF('Capacity summary'!$D$14="Yes",IF(COUNTBLANK('Capacity summary'!$H165:$BG165)&lt;52,IF('Capacity summary'!Y165&lt;&gt;"",IF(LOWER('Capacity summary'!Y165)="x",$BI46*Y46,VALUE('Capacity summary'!Y165)),0),Y46*$BI46),Y46*$BI46),0)</f>
        <v>0</v>
      </c>
      <c r="CC46" s="314">
        <f>IF($BI46&lt;&gt;"",IF('Capacity summary'!$D$14="Yes",IF(COUNTBLANK('Capacity summary'!$H165:$BG165)&lt;52,IF('Capacity summary'!Z165&lt;&gt;"",IF(LOWER('Capacity summary'!Z165)="x",$BI46*Z46,VALUE('Capacity summary'!Z165)),0),Z46*$BI46),Z46*$BI46),0)</f>
        <v>0</v>
      </c>
      <c r="CD46" s="314">
        <f>IF($BI46&lt;&gt;"",IF('Capacity summary'!$D$14="Yes",IF(COUNTBLANK('Capacity summary'!$H165:$BG165)&lt;52,IF('Capacity summary'!AA165&lt;&gt;"",IF(LOWER('Capacity summary'!AA165)="x",$BI46*AA46,VALUE('Capacity summary'!AA165)),0),AA46*$BI46),AA46*$BI46),0)</f>
        <v>0</v>
      </c>
      <c r="CE46" s="314">
        <f>IF($BI46&lt;&gt;"",IF('Capacity summary'!$D$14="Yes",IF(COUNTBLANK('Capacity summary'!$H165:$BG165)&lt;52,IF('Capacity summary'!AB165&lt;&gt;"",IF(LOWER('Capacity summary'!AB165)="x",$BI46*AB46,VALUE('Capacity summary'!AB165)),0),AB46*$BI46),AB46*$BI46),0)</f>
        <v>0</v>
      </c>
      <c r="CF46" s="314">
        <f>IF($BI46&lt;&gt;"",IF('Capacity summary'!$D$14="Yes",IF(COUNTBLANK('Capacity summary'!$H165:$BG165)&lt;52,IF('Capacity summary'!AC165&lt;&gt;"",IF(LOWER('Capacity summary'!AC165)="x",$BI46*AC46,VALUE('Capacity summary'!AC165)),0),AC46*$BI46),AC46*$BI46),0)</f>
        <v>0</v>
      </c>
      <c r="CG46" s="314">
        <f>IF($BI46&lt;&gt;"",IF('Capacity summary'!$D$14="Yes",IF(COUNTBLANK('Capacity summary'!$H165:$BG165)&lt;52,IF('Capacity summary'!AD165&lt;&gt;"",IF(LOWER('Capacity summary'!AD165)="x",$BI46*AD46,VALUE('Capacity summary'!AD165)),0),AD46*$BI46),AD46*$BI46),0)</f>
        <v>0</v>
      </c>
      <c r="CH46" s="314">
        <f>IF($BI46&lt;&gt;"",IF('Capacity summary'!$D$14="Yes",IF(COUNTBLANK('Capacity summary'!$H165:$BG165)&lt;52,IF('Capacity summary'!AE165&lt;&gt;"",IF(LOWER('Capacity summary'!AE165)="x",$BI46*AE46,VALUE('Capacity summary'!AE165)),0),AE46*$BI46),AE46*$BI46),0)</f>
        <v>0</v>
      </c>
      <c r="CI46" s="314">
        <f>IF($BI46&lt;&gt;"",IF('Capacity summary'!$D$14="Yes",IF(COUNTBLANK('Capacity summary'!$H165:$BG165)&lt;52,IF('Capacity summary'!AF165&lt;&gt;"",IF(LOWER('Capacity summary'!AF165)="x",$BI46*AF46,VALUE('Capacity summary'!AF165)),0),AF46*$BI46),AF46*$BI46),0)</f>
        <v>0</v>
      </c>
      <c r="CJ46" s="314">
        <f>IF($BI46&lt;&gt;"",IF('Capacity summary'!$D$14="Yes",IF(COUNTBLANK('Capacity summary'!$H165:$BG165)&lt;52,IF('Capacity summary'!AG165&lt;&gt;"",IF(LOWER('Capacity summary'!AG165)="x",$BI46*AG46,VALUE('Capacity summary'!AG165)),0),AG46*$BI46),AG46*$BI46),0)</f>
        <v>0</v>
      </c>
      <c r="CK46" s="314">
        <f>IF($BI46&lt;&gt;"",IF('Capacity summary'!$D$14="Yes",IF(COUNTBLANK('Capacity summary'!$H165:$BG165)&lt;52,IF('Capacity summary'!AH165&lt;&gt;"",IF(LOWER('Capacity summary'!AH165)="x",$BI46*AH46,VALUE('Capacity summary'!AH165)),0),AH46*$BI46),AH46*$BI46),0)</f>
        <v>0</v>
      </c>
      <c r="CL46" s="314">
        <f>IF($BI46&lt;&gt;"",IF('Capacity summary'!$D$14="Yes",IF(COUNTBLANK('Capacity summary'!$H165:$BG165)&lt;52,IF('Capacity summary'!AI165&lt;&gt;"",IF(LOWER('Capacity summary'!AI165)="x",$BI46*AI46,VALUE('Capacity summary'!AI165)),0),AI46*$BI46),AI46*$BI46),0)</f>
        <v>0</v>
      </c>
      <c r="CM46" s="314">
        <f>IF($BI46&lt;&gt;"",IF('Capacity summary'!$D$14="Yes",IF(COUNTBLANK('Capacity summary'!$H165:$BG165)&lt;52,IF('Capacity summary'!AJ165&lt;&gt;"",IF(LOWER('Capacity summary'!AJ165)="x",$BI46*AJ46,VALUE('Capacity summary'!AJ165)),0),AJ46*$BI46),AJ46*$BI46),0)</f>
        <v>0</v>
      </c>
      <c r="CN46" s="314">
        <f>IF($BI46&lt;&gt;"",IF('Capacity summary'!$D$14="Yes",IF(COUNTBLANK('Capacity summary'!$H165:$BG165)&lt;52,IF('Capacity summary'!AK165&lt;&gt;"",IF(LOWER('Capacity summary'!AK165)="x",$BI46*AK46,VALUE('Capacity summary'!AK165)),0),AK46*$BI46),AK46*$BI46),0)</f>
        <v>0</v>
      </c>
      <c r="CO46" s="314">
        <f>IF($BI46&lt;&gt;"",IF('Capacity summary'!$D$14="Yes",IF(COUNTBLANK('Capacity summary'!$H165:$BG165)&lt;52,IF('Capacity summary'!AL165&lt;&gt;"",IF(LOWER('Capacity summary'!AL165)="x",$BI46*AL46,VALUE('Capacity summary'!AL165)),0),AL46*$BI46),AL46*$BI46),0)</f>
        <v>0</v>
      </c>
      <c r="CP46" s="314">
        <f>IF($BI46&lt;&gt;"",IF('Capacity summary'!$D$14="Yes",IF(COUNTBLANK('Capacity summary'!$H165:$BG165)&lt;52,IF('Capacity summary'!AM165&lt;&gt;"",IF(LOWER('Capacity summary'!AM165)="x",$BI46*AM46,VALUE('Capacity summary'!AM165)),0),AM46*$BI46),AM46*$BI46),0)</f>
        <v>0</v>
      </c>
      <c r="CQ46" s="314">
        <f>IF($BI46&lt;&gt;"",IF('Capacity summary'!$D$14="Yes",IF(COUNTBLANK('Capacity summary'!$H165:$BG165)&lt;52,IF('Capacity summary'!AN165&lt;&gt;"",IF(LOWER('Capacity summary'!AN165)="x",$BI46*AN46,VALUE('Capacity summary'!AN165)),0),AN46*$BI46),AN46*$BI46),0)</f>
        <v>0</v>
      </c>
      <c r="CR46" s="314">
        <f>IF($BI46&lt;&gt;"",IF('Capacity summary'!$D$14="Yes",IF(COUNTBLANK('Capacity summary'!$H165:$BG165)&lt;52,IF('Capacity summary'!AO165&lt;&gt;"",IF(LOWER('Capacity summary'!AO165)="x",$BI46*AO46,VALUE('Capacity summary'!AO165)),0),AO46*$BI46),AO46*$BI46),0)</f>
        <v>0</v>
      </c>
      <c r="CS46" s="314">
        <f>IF($BI46&lt;&gt;"",IF('Capacity summary'!$D$14="Yes",IF(COUNTBLANK('Capacity summary'!$H165:$BG165)&lt;52,IF('Capacity summary'!AP165&lt;&gt;"",IF(LOWER('Capacity summary'!AP165)="x",$BI46*AP46,VALUE('Capacity summary'!AP165)),0),AP46*$BI46),AP46*$BI46),0)</f>
        <v>0</v>
      </c>
      <c r="CT46" s="314">
        <f>IF($BI46&lt;&gt;"",IF('Capacity summary'!$D$14="Yes",IF(COUNTBLANK('Capacity summary'!$H165:$BG165)&lt;52,IF('Capacity summary'!AQ165&lt;&gt;"",IF(LOWER('Capacity summary'!AQ165)="x",$BI46*AQ46,VALUE('Capacity summary'!AQ165)),0),AQ46*$BI46),AQ46*$BI46),0)</f>
        <v>0</v>
      </c>
      <c r="CU46" s="314">
        <f>IF($BI46&lt;&gt;"",IF('Capacity summary'!$D$14="Yes",IF(COUNTBLANK('Capacity summary'!$H165:$BG165)&lt;52,IF('Capacity summary'!AR165&lt;&gt;"",IF(LOWER('Capacity summary'!AR165)="x",$BI46*AR46,VALUE('Capacity summary'!AR165)),0),AR46*$BI46),AR46*$BI46),0)</f>
        <v>0</v>
      </c>
      <c r="CV46" s="314">
        <f>IF($BI46&lt;&gt;"",IF('Capacity summary'!$D$14="Yes",IF(COUNTBLANK('Capacity summary'!$H165:$BG165)&lt;52,IF('Capacity summary'!AS165&lt;&gt;"",IF(LOWER('Capacity summary'!AS165)="x",$BI46*AS46,VALUE('Capacity summary'!AS165)),0),AS46*$BI46),AS46*$BI46),0)</f>
        <v>0</v>
      </c>
      <c r="CW46" s="314">
        <f>IF($BI46&lt;&gt;"",IF('Capacity summary'!$D$14="Yes",IF(COUNTBLANK('Capacity summary'!$H165:$BG165)&lt;52,IF('Capacity summary'!AT165&lt;&gt;"",IF(LOWER('Capacity summary'!AT165)="x",$BI46*AT46,VALUE('Capacity summary'!AT165)),0),AT46*$BI46),AT46*$BI46),0)</f>
        <v>0</v>
      </c>
      <c r="CX46" s="314">
        <f>IF($BI46&lt;&gt;"",IF('Capacity summary'!$D$14="Yes",IF(COUNTBLANK('Capacity summary'!$H165:$BG165)&lt;52,IF('Capacity summary'!AU165&lt;&gt;"",IF(LOWER('Capacity summary'!AU165)="x",$BI46*AU46,VALUE('Capacity summary'!AU165)),0),AU46*$BI46),AU46*$BI46),0)</f>
        <v>0</v>
      </c>
      <c r="CY46" s="314">
        <f>IF($BI46&lt;&gt;"",IF('Capacity summary'!$D$14="Yes",IF(COUNTBLANK('Capacity summary'!$H165:$BG165)&lt;52,IF('Capacity summary'!AV165&lt;&gt;"",IF(LOWER('Capacity summary'!AV165)="x",$BI46*AV46,VALUE('Capacity summary'!AV165)),0),AV46*$BI46),AV46*$BI46),0)</f>
        <v>0</v>
      </c>
      <c r="CZ46" s="314">
        <f>IF($BI46&lt;&gt;"",IF('Capacity summary'!$D$14="Yes",IF(COUNTBLANK('Capacity summary'!$H165:$BG165)&lt;52,IF('Capacity summary'!AW165&lt;&gt;"",IF(LOWER('Capacity summary'!AW165)="x",$BI46*AW46,VALUE('Capacity summary'!AW165)),0),AW46*$BI46),AW46*$BI46),0)</f>
        <v>0</v>
      </c>
      <c r="DA46" s="314">
        <f>IF($BI46&lt;&gt;"",IF('Capacity summary'!$D$14="Yes",IF(COUNTBLANK('Capacity summary'!$H165:$BG165)&lt;52,IF('Capacity summary'!AX165&lt;&gt;"",IF(LOWER('Capacity summary'!AX165)="x",$BI46*AX46,VALUE('Capacity summary'!AX165)),0),AX46*$BI46),AX46*$BI46),0)</f>
        <v>0</v>
      </c>
      <c r="DB46" s="314">
        <f>IF($BI46&lt;&gt;"",IF('Capacity summary'!$D$14="Yes",IF(COUNTBLANK('Capacity summary'!$H165:$BG165)&lt;52,IF('Capacity summary'!AY165&lt;&gt;"",IF(LOWER('Capacity summary'!AY165)="x",$BI46*AY46,VALUE('Capacity summary'!AY165)),0),AY46*$BI46),AY46*$BI46),0)</f>
        <v>0</v>
      </c>
      <c r="DC46" s="314">
        <f>IF($BI46&lt;&gt;"",IF('Capacity summary'!$D$14="Yes",IF(COUNTBLANK('Capacity summary'!$H165:$BG165)&lt;52,IF('Capacity summary'!AZ165&lt;&gt;"",IF(LOWER('Capacity summary'!AZ165)="x",$BI46*AZ46,VALUE('Capacity summary'!AZ165)),0),AZ46*$BI46),AZ46*$BI46),0)</f>
        <v>0</v>
      </c>
      <c r="DD46" s="314">
        <f>IF($BI46&lt;&gt;"",IF('Capacity summary'!$D$14="Yes",IF(COUNTBLANK('Capacity summary'!$H165:$BG165)&lt;52,IF('Capacity summary'!BA165&lt;&gt;"",IF(LOWER('Capacity summary'!BA165)="x",$BI46*BA46,VALUE('Capacity summary'!BA165)),0),BA46*$BI46),BA46*$BI46),0)</f>
        <v>0</v>
      </c>
      <c r="DE46" s="314">
        <f>IF($BI46&lt;&gt;"",IF('Capacity summary'!$D$14="Yes",IF(COUNTBLANK('Capacity summary'!$H165:$BG165)&lt;52,IF('Capacity summary'!BB165&lt;&gt;"",IF(LOWER('Capacity summary'!BB165)="x",$BI46*BB46,VALUE('Capacity summary'!BB165)),0),BB46*$BI46),BB46*$BI46),0)</f>
        <v>0</v>
      </c>
      <c r="DF46" s="314">
        <f>IF($BI46&lt;&gt;"",IF('Capacity summary'!$D$14="Yes",IF(COUNTBLANK('Capacity summary'!$H165:$BG165)&lt;52,IF('Capacity summary'!BC165&lt;&gt;"",IF(LOWER('Capacity summary'!BC165)="x",$BI46*BC46,VALUE('Capacity summary'!BC165)),0),BC46*$BI46),BC46*$BI46),0)</f>
        <v>0</v>
      </c>
      <c r="DG46" s="314">
        <f>IF($BI46&lt;&gt;"",IF('Capacity summary'!$D$14="Yes",IF(COUNTBLANK('Capacity summary'!$H165:$BG165)&lt;52,IF('Capacity summary'!BD165&lt;&gt;"",IF(LOWER('Capacity summary'!BD165)="x",$BI46*BD46,VALUE('Capacity summary'!BD165)),0),BD46*$BI46),BD46*$BI46),0)</f>
        <v>0</v>
      </c>
      <c r="DH46" s="314">
        <f>IF($BI46&lt;&gt;"",IF('Capacity summary'!$D$14="Yes",IF(COUNTBLANK('Capacity summary'!$H165:$BG165)&lt;52,IF('Capacity summary'!BE165&lt;&gt;"",IF(LOWER('Capacity summary'!BE165)="x",$BI46*BE46,VALUE('Capacity summary'!BE165)),0),BE46*$BI46),BE46*$BI46),0)</f>
        <v>0</v>
      </c>
      <c r="DI46" s="314">
        <f>IF($BI46&lt;&gt;"",IF('Capacity summary'!$D$14="Yes",IF(COUNTBLANK('Capacity summary'!$H165:$BG165)&lt;52,IF('Capacity summary'!BF165&lt;&gt;"",IF(LOWER('Capacity summary'!BF165)="x",$BI46*BF46,VALUE('Capacity summary'!BF165)),0),BF46*$BI46),BF46*$BI46),0)</f>
        <v>0</v>
      </c>
      <c r="DJ46" s="314">
        <f>IF($BI46&lt;&gt;"",IF('Capacity summary'!$D$14="Yes",IF(COUNTBLANK('Capacity summary'!$H165:$BG165)&lt;52,IF('Capacity summary'!BG165&lt;&gt;"",IF(LOWER('Capacity summary'!BG165)="x",$BI46*BG46,VALUE('Capacity summary'!BG165)),0),BG46*$BI46),BG46*$BI46),0)</f>
        <v>0</v>
      </c>
      <c r="DK46" s="137">
        <f t="shared" si="2"/>
        <v>0</v>
      </c>
      <c r="DL46" s="314" t="str">
        <f>Capacity!H58</f>
        <v/>
      </c>
      <c r="DP46" s="5"/>
    </row>
    <row r="47" spans="2:120" x14ac:dyDescent="0.25">
      <c r="B47" s="67"/>
      <c r="C47" s="67" t="str">
        <f>ROW(A43)&amp;". "&amp;Capacity!B59</f>
        <v xml:space="preserve">43.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IF(ROW(C43)&lt;=Capacity!$A$16,IF('Capacity summary'!$D$14="No",SUM(H47:BG47),'Capacity summary'!$E166),0)</f>
        <v>0</v>
      </c>
      <c r="BI47" s="5" t="str">
        <f>IF(BH47&gt;0,IF(BH47&lt;Capacity!E59,Capacity!F59,Capacity!H59/'Capacity calculation (hide)'!BH47),"")</f>
        <v/>
      </c>
      <c r="BK47" s="314">
        <f>IF($BI47&lt;&gt;"",IF('Capacity summary'!$D$14="Yes",IF(COUNTBLANK('Capacity summary'!$H166:$BG166)&lt;52,IF('Capacity summary'!H166&lt;&gt;"",IF(LOWER('Capacity summary'!H166)="x",$BI47*H47,VALUE('Capacity summary'!H166)),0),H47*$BI47),H47*$BI47),0)</f>
        <v>0</v>
      </c>
      <c r="BL47" s="314">
        <f>IF($BI47&lt;&gt;"",IF('Capacity summary'!$D$14="Yes",IF(COUNTBLANK('Capacity summary'!$H166:$BG166)&lt;52,IF('Capacity summary'!I166&lt;&gt;"",IF(LOWER('Capacity summary'!I166)="x",$BI47*I47,VALUE('Capacity summary'!I166)),0),I47*$BI47),I47*$BI47),0)</f>
        <v>0</v>
      </c>
      <c r="BM47" s="314">
        <f>IF($BI47&lt;&gt;"",IF('Capacity summary'!$D$14="Yes",IF(COUNTBLANK('Capacity summary'!$H166:$BG166)&lt;52,IF('Capacity summary'!J166&lt;&gt;"",IF(LOWER('Capacity summary'!J166)="x",$BI47*J47,VALUE('Capacity summary'!J166)),0),J47*$BI47),J47*$BI47),0)</f>
        <v>0</v>
      </c>
      <c r="BN47" s="314">
        <f>IF($BI47&lt;&gt;"",IF('Capacity summary'!$D$14="Yes",IF(COUNTBLANK('Capacity summary'!$H166:$BG166)&lt;52,IF('Capacity summary'!K166&lt;&gt;"",IF(LOWER('Capacity summary'!K166)="x",$BI47*K47,VALUE('Capacity summary'!K166)),0),K47*$BI47),K47*$BI47),0)</f>
        <v>0</v>
      </c>
      <c r="BO47" s="314">
        <f>IF($BI47&lt;&gt;"",IF('Capacity summary'!$D$14="Yes",IF(COUNTBLANK('Capacity summary'!$H166:$BG166)&lt;52,IF('Capacity summary'!L166&lt;&gt;"",IF(LOWER('Capacity summary'!L166)="x",$BI47*L47,VALUE('Capacity summary'!L166)),0),L47*$BI47),L47*$BI47),0)</f>
        <v>0</v>
      </c>
      <c r="BP47" s="314">
        <f>IF($BI47&lt;&gt;"",IF('Capacity summary'!$D$14="Yes",IF(COUNTBLANK('Capacity summary'!$H166:$BG166)&lt;52,IF('Capacity summary'!M166&lt;&gt;"",IF(LOWER('Capacity summary'!M166)="x",$BI47*M47,VALUE('Capacity summary'!M166)),0),M47*$BI47),M47*$BI47),0)</f>
        <v>0</v>
      </c>
      <c r="BQ47" s="314">
        <f>IF($BI47&lt;&gt;"",IF('Capacity summary'!$D$14="Yes",IF(COUNTBLANK('Capacity summary'!$H166:$BG166)&lt;52,IF('Capacity summary'!N166&lt;&gt;"",IF(LOWER('Capacity summary'!N166)="x",$BI47*N47,VALUE('Capacity summary'!N166)),0),N47*$BI47),N47*$BI47),0)</f>
        <v>0</v>
      </c>
      <c r="BR47" s="314">
        <f>IF($BI47&lt;&gt;"",IF('Capacity summary'!$D$14="Yes",IF(COUNTBLANK('Capacity summary'!$H166:$BG166)&lt;52,IF('Capacity summary'!O166&lt;&gt;"",IF(LOWER('Capacity summary'!O166)="x",$BI47*O47,VALUE('Capacity summary'!O166)),0),O47*$BI47),O47*$BI47),0)</f>
        <v>0</v>
      </c>
      <c r="BS47" s="314">
        <f>IF($BI47&lt;&gt;"",IF('Capacity summary'!$D$14="Yes",IF(COUNTBLANK('Capacity summary'!$H166:$BG166)&lt;52,IF('Capacity summary'!P166&lt;&gt;"",IF(LOWER('Capacity summary'!P166)="x",$BI47*P47,VALUE('Capacity summary'!P166)),0),P47*$BI47),P47*$BI47),0)</f>
        <v>0</v>
      </c>
      <c r="BT47" s="314">
        <f>IF($BI47&lt;&gt;"",IF('Capacity summary'!$D$14="Yes",IF(COUNTBLANK('Capacity summary'!$H166:$BG166)&lt;52,IF('Capacity summary'!Q166&lt;&gt;"",IF(LOWER('Capacity summary'!Q166)="x",$BI47*Q47,VALUE('Capacity summary'!Q166)),0),Q47*$BI47),Q47*$BI47),0)</f>
        <v>0</v>
      </c>
      <c r="BU47" s="314">
        <f>IF($BI47&lt;&gt;"",IF('Capacity summary'!$D$14="Yes",IF(COUNTBLANK('Capacity summary'!$H166:$BG166)&lt;52,IF('Capacity summary'!R166&lt;&gt;"",IF(LOWER('Capacity summary'!R166)="x",$BI47*R47,VALUE('Capacity summary'!R166)),0),R47*$BI47),R47*$BI47),0)</f>
        <v>0</v>
      </c>
      <c r="BV47" s="314">
        <f>IF($BI47&lt;&gt;"",IF('Capacity summary'!$D$14="Yes",IF(COUNTBLANK('Capacity summary'!$H166:$BG166)&lt;52,IF('Capacity summary'!S166&lt;&gt;"",IF(LOWER('Capacity summary'!S166)="x",$BI47*S47,VALUE('Capacity summary'!S166)),0),S47*$BI47),S47*$BI47),0)</f>
        <v>0</v>
      </c>
      <c r="BW47" s="314">
        <f>IF($BI47&lt;&gt;"",IF('Capacity summary'!$D$14="Yes",IF(COUNTBLANK('Capacity summary'!$H166:$BG166)&lt;52,IF('Capacity summary'!T166&lt;&gt;"",IF(LOWER('Capacity summary'!T166)="x",$BI47*T47,VALUE('Capacity summary'!T166)),0),T47*$BI47),T47*$BI47),0)</f>
        <v>0</v>
      </c>
      <c r="BX47" s="314">
        <f>IF($BI47&lt;&gt;"",IF('Capacity summary'!$D$14="Yes",IF(COUNTBLANK('Capacity summary'!$H166:$BG166)&lt;52,IF('Capacity summary'!U166&lt;&gt;"",IF(LOWER('Capacity summary'!U166)="x",$BI47*U47,VALUE('Capacity summary'!U166)),0),U47*$BI47),U47*$BI47),0)</f>
        <v>0</v>
      </c>
      <c r="BY47" s="314">
        <f>IF($BI47&lt;&gt;"",IF('Capacity summary'!$D$14="Yes",IF(COUNTBLANK('Capacity summary'!$H166:$BG166)&lt;52,IF('Capacity summary'!V166&lt;&gt;"",IF(LOWER('Capacity summary'!V166)="x",$BI47*V47,VALUE('Capacity summary'!V166)),0),V47*$BI47),V47*$BI47),0)</f>
        <v>0</v>
      </c>
      <c r="BZ47" s="314">
        <f>IF($BI47&lt;&gt;"",IF('Capacity summary'!$D$14="Yes",IF(COUNTBLANK('Capacity summary'!$H166:$BG166)&lt;52,IF('Capacity summary'!W166&lt;&gt;"",IF(LOWER('Capacity summary'!W166)="x",$BI47*W47,VALUE('Capacity summary'!W166)),0),W47*$BI47),W47*$BI47),0)</f>
        <v>0</v>
      </c>
      <c r="CA47" s="314">
        <f>IF($BI47&lt;&gt;"",IF('Capacity summary'!$D$14="Yes",IF(COUNTBLANK('Capacity summary'!$H166:$BG166)&lt;52,IF('Capacity summary'!X166&lt;&gt;"",IF(LOWER('Capacity summary'!X166)="x",$BI47*X47,VALUE('Capacity summary'!X166)),0),X47*$BI47),X47*$BI47),0)</f>
        <v>0</v>
      </c>
      <c r="CB47" s="314">
        <f>IF($BI47&lt;&gt;"",IF('Capacity summary'!$D$14="Yes",IF(COUNTBLANK('Capacity summary'!$H166:$BG166)&lt;52,IF('Capacity summary'!Y166&lt;&gt;"",IF(LOWER('Capacity summary'!Y166)="x",$BI47*Y47,VALUE('Capacity summary'!Y166)),0),Y47*$BI47),Y47*$BI47),0)</f>
        <v>0</v>
      </c>
      <c r="CC47" s="314">
        <f>IF($BI47&lt;&gt;"",IF('Capacity summary'!$D$14="Yes",IF(COUNTBLANK('Capacity summary'!$H166:$BG166)&lt;52,IF('Capacity summary'!Z166&lt;&gt;"",IF(LOWER('Capacity summary'!Z166)="x",$BI47*Z47,VALUE('Capacity summary'!Z166)),0),Z47*$BI47),Z47*$BI47),0)</f>
        <v>0</v>
      </c>
      <c r="CD47" s="314">
        <f>IF($BI47&lt;&gt;"",IF('Capacity summary'!$D$14="Yes",IF(COUNTBLANK('Capacity summary'!$H166:$BG166)&lt;52,IF('Capacity summary'!AA166&lt;&gt;"",IF(LOWER('Capacity summary'!AA166)="x",$BI47*AA47,VALUE('Capacity summary'!AA166)),0),AA47*$BI47),AA47*$BI47),0)</f>
        <v>0</v>
      </c>
      <c r="CE47" s="314">
        <f>IF($BI47&lt;&gt;"",IF('Capacity summary'!$D$14="Yes",IF(COUNTBLANK('Capacity summary'!$H166:$BG166)&lt;52,IF('Capacity summary'!AB166&lt;&gt;"",IF(LOWER('Capacity summary'!AB166)="x",$BI47*AB47,VALUE('Capacity summary'!AB166)),0),AB47*$BI47),AB47*$BI47),0)</f>
        <v>0</v>
      </c>
      <c r="CF47" s="314">
        <f>IF($BI47&lt;&gt;"",IF('Capacity summary'!$D$14="Yes",IF(COUNTBLANK('Capacity summary'!$H166:$BG166)&lt;52,IF('Capacity summary'!AC166&lt;&gt;"",IF(LOWER('Capacity summary'!AC166)="x",$BI47*AC47,VALUE('Capacity summary'!AC166)),0),AC47*$BI47),AC47*$BI47),0)</f>
        <v>0</v>
      </c>
      <c r="CG47" s="314">
        <f>IF($BI47&lt;&gt;"",IF('Capacity summary'!$D$14="Yes",IF(COUNTBLANK('Capacity summary'!$H166:$BG166)&lt;52,IF('Capacity summary'!AD166&lt;&gt;"",IF(LOWER('Capacity summary'!AD166)="x",$BI47*AD47,VALUE('Capacity summary'!AD166)),0),AD47*$BI47),AD47*$BI47),0)</f>
        <v>0</v>
      </c>
      <c r="CH47" s="314">
        <f>IF($BI47&lt;&gt;"",IF('Capacity summary'!$D$14="Yes",IF(COUNTBLANK('Capacity summary'!$H166:$BG166)&lt;52,IF('Capacity summary'!AE166&lt;&gt;"",IF(LOWER('Capacity summary'!AE166)="x",$BI47*AE47,VALUE('Capacity summary'!AE166)),0),AE47*$BI47),AE47*$BI47),0)</f>
        <v>0</v>
      </c>
      <c r="CI47" s="314">
        <f>IF($BI47&lt;&gt;"",IF('Capacity summary'!$D$14="Yes",IF(COUNTBLANK('Capacity summary'!$H166:$BG166)&lt;52,IF('Capacity summary'!AF166&lt;&gt;"",IF(LOWER('Capacity summary'!AF166)="x",$BI47*AF47,VALUE('Capacity summary'!AF166)),0),AF47*$BI47),AF47*$BI47),0)</f>
        <v>0</v>
      </c>
      <c r="CJ47" s="314">
        <f>IF($BI47&lt;&gt;"",IF('Capacity summary'!$D$14="Yes",IF(COUNTBLANK('Capacity summary'!$H166:$BG166)&lt;52,IF('Capacity summary'!AG166&lt;&gt;"",IF(LOWER('Capacity summary'!AG166)="x",$BI47*AG47,VALUE('Capacity summary'!AG166)),0),AG47*$BI47),AG47*$BI47),0)</f>
        <v>0</v>
      </c>
      <c r="CK47" s="314">
        <f>IF($BI47&lt;&gt;"",IF('Capacity summary'!$D$14="Yes",IF(COUNTBLANK('Capacity summary'!$H166:$BG166)&lt;52,IF('Capacity summary'!AH166&lt;&gt;"",IF(LOWER('Capacity summary'!AH166)="x",$BI47*AH47,VALUE('Capacity summary'!AH166)),0),AH47*$BI47),AH47*$BI47),0)</f>
        <v>0</v>
      </c>
      <c r="CL47" s="314">
        <f>IF($BI47&lt;&gt;"",IF('Capacity summary'!$D$14="Yes",IF(COUNTBLANK('Capacity summary'!$H166:$BG166)&lt;52,IF('Capacity summary'!AI166&lt;&gt;"",IF(LOWER('Capacity summary'!AI166)="x",$BI47*AI47,VALUE('Capacity summary'!AI166)),0),AI47*$BI47),AI47*$BI47),0)</f>
        <v>0</v>
      </c>
      <c r="CM47" s="314">
        <f>IF($BI47&lt;&gt;"",IF('Capacity summary'!$D$14="Yes",IF(COUNTBLANK('Capacity summary'!$H166:$BG166)&lt;52,IF('Capacity summary'!AJ166&lt;&gt;"",IF(LOWER('Capacity summary'!AJ166)="x",$BI47*AJ47,VALUE('Capacity summary'!AJ166)),0),AJ47*$BI47),AJ47*$BI47),0)</f>
        <v>0</v>
      </c>
      <c r="CN47" s="314">
        <f>IF($BI47&lt;&gt;"",IF('Capacity summary'!$D$14="Yes",IF(COUNTBLANK('Capacity summary'!$H166:$BG166)&lt;52,IF('Capacity summary'!AK166&lt;&gt;"",IF(LOWER('Capacity summary'!AK166)="x",$BI47*AK47,VALUE('Capacity summary'!AK166)),0),AK47*$BI47),AK47*$BI47),0)</f>
        <v>0</v>
      </c>
      <c r="CO47" s="314">
        <f>IF($BI47&lt;&gt;"",IF('Capacity summary'!$D$14="Yes",IF(COUNTBLANK('Capacity summary'!$H166:$BG166)&lt;52,IF('Capacity summary'!AL166&lt;&gt;"",IF(LOWER('Capacity summary'!AL166)="x",$BI47*AL47,VALUE('Capacity summary'!AL166)),0),AL47*$BI47),AL47*$BI47),0)</f>
        <v>0</v>
      </c>
      <c r="CP47" s="314">
        <f>IF($BI47&lt;&gt;"",IF('Capacity summary'!$D$14="Yes",IF(COUNTBLANK('Capacity summary'!$H166:$BG166)&lt;52,IF('Capacity summary'!AM166&lt;&gt;"",IF(LOWER('Capacity summary'!AM166)="x",$BI47*AM47,VALUE('Capacity summary'!AM166)),0),AM47*$BI47),AM47*$BI47),0)</f>
        <v>0</v>
      </c>
      <c r="CQ47" s="314">
        <f>IF($BI47&lt;&gt;"",IF('Capacity summary'!$D$14="Yes",IF(COUNTBLANK('Capacity summary'!$H166:$BG166)&lt;52,IF('Capacity summary'!AN166&lt;&gt;"",IF(LOWER('Capacity summary'!AN166)="x",$BI47*AN47,VALUE('Capacity summary'!AN166)),0),AN47*$BI47),AN47*$BI47),0)</f>
        <v>0</v>
      </c>
      <c r="CR47" s="314">
        <f>IF($BI47&lt;&gt;"",IF('Capacity summary'!$D$14="Yes",IF(COUNTBLANK('Capacity summary'!$H166:$BG166)&lt;52,IF('Capacity summary'!AO166&lt;&gt;"",IF(LOWER('Capacity summary'!AO166)="x",$BI47*AO47,VALUE('Capacity summary'!AO166)),0),AO47*$BI47),AO47*$BI47),0)</f>
        <v>0</v>
      </c>
      <c r="CS47" s="314">
        <f>IF($BI47&lt;&gt;"",IF('Capacity summary'!$D$14="Yes",IF(COUNTBLANK('Capacity summary'!$H166:$BG166)&lt;52,IF('Capacity summary'!AP166&lt;&gt;"",IF(LOWER('Capacity summary'!AP166)="x",$BI47*AP47,VALUE('Capacity summary'!AP166)),0),AP47*$BI47),AP47*$BI47),0)</f>
        <v>0</v>
      </c>
      <c r="CT47" s="314">
        <f>IF($BI47&lt;&gt;"",IF('Capacity summary'!$D$14="Yes",IF(COUNTBLANK('Capacity summary'!$H166:$BG166)&lt;52,IF('Capacity summary'!AQ166&lt;&gt;"",IF(LOWER('Capacity summary'!AQ166)="x",$BI47*AQ47,VALUE('Capacity summary'!AQ166)),0),AQ47*$BI47),AQ47*$BI47),0)</f>
        <v>0</v>
      </c>
      <c r="CU47" s="314">
        <f>IF($BI47&lt;&gt;"",IF('Capacity summary'!$D$14="Yes",IF(COUNTBLANK('Capacity summary'!$H166:$BG166)&lt;52,IF('Capacity summary'!AR166&lt;&gt;"",IF(LOWER('Capacity summary'!AR166)="x",$BI47*AR47,VALUE('Capacity summary'!AR166)),0),AR47*$BI47),AR47*$BI47),0)</f>
        <v>0</v>
      </c>
      <c r="CV47" s="314">
        <f>IF($BI47&lt;&gt;"",IF('Capacity summary'!$D$14="Yes",IF(COUNTBLANK('Capacity summary'!$H166:$BG166)&lt;52,IF('Capacity summary'!AS166&lt;&gt;"",IF(LOWER('Capacity summary'!AS166)="x",$BI47*AS47,VALUE('Capacity summary'!AS166)),0),AS47*$BI47),AS47*$BI47),0)</f>
        <v>0</v>
      </c>
      <c r="CW47" s="314">
        <f>IF($BI47&lt;&gt;"",IF('Capacity summary'!$D$14="Yes",IF(COUNTBLANK('Capacity summary'!$H166:$BG166)&lt;52,IF('Capacity summary'!AT166&lt;&gt;"",IF(LOWER('Capacity summary'!AT166)="x",$BI47*AT47,VALUE('Capacity summary'!AT166)),0),AT47*$BI47),AT47*$BI47),0)</f>
        <v>0</v>
      </c>
      <c r="CX47" s="314">
        <f>IF($BI47&lt;&gt;"",IF('Capacity summary'!$D$14="Yes",IF(COUNTBLANK('Capacity summary'!$H166:$BG166)&lt;52,IF('Capacity summary'!AU166&lt;&gt;"",IF(LOWER('Capacity summary'!AU166)="x",$BI47*AU47,VALUE('Capacity summary'!AU166)),0),AU47*$BI47),AU47*$BI47),0)</f>
        <v>0</v>
      </c>
      <c r="CY47" s="314">
        <f>IF($BI47&lt;&gt;"",IF('Capacity summary'!$D$14="Yes",IF(COUNTBLANK('Capacity summary'!$H166:$BG166)&lt;52,IF('Capacity summary'!AV166&lt;&gt;"",IF(LOWER('Capacity summary'!AV166)="x",$BI47*AV47,VALUE('Capacity summary'!AV166)),0),AV47*$BI47),AV47*$BI47),0)</f>
        <v>0</v>
      </c>
      <c r="CZ47" s="314">
        <f>IF($BI47&lt;&gt;"",IF('Capacity summary'!$D$14="Yes",IF(COUNTBLANK('Capacity summary'!$H166:$BG166)&lt;52,IF('Capacity summary'!AW166&lt;&gt;"",IF(LOWER('Capacity summary'!AW166)="x",$BI47*AW47,VALUE('Capacity summary'!AW166)),0),AW47*$BI47),AW47*$BI47),0)</f>
        <v>0</v>
      </c>
      <c r="DA47" s="314">
        <f>IF($BI47&lt;&gt;"",IF('Capacity summary'!$D$14="Yes",IF(COUNTBLANK('Capacity summary'!$H166:$BG166)&lt;52,IF('Capacity summary'!AX166&lt;&gt;"",IF(LOWER('Capacity summary'!AX166)="x",$BI47*AX47,VALUE('Capacity summary'!AX166)),0),AX47*$BI47),AX47*$BI47),0)</f>
        <v>0</v>
      </c>
      <c r="DB47" s="314">
        <f>IF($BI47&lt;&gt;"",IF('Capacity summary'!$D$14="Yes",IF(COUNTBLANK('Capacity summary'!$H166:$BG166)&lt;52,IF('Capacity summary'!AY166&lt;&gt;"",IF(LOWER('Capacity summary'!AY166)="x",$BI47*AY47,VALUE('Capacity summary'!AY166)),0),AY47*$BI47),AY47*$BI47),0)</f>
        <v>0</v>
      </c>
      <c r="DC47" s="314">
        <f>IF($BI47&lt;&gt;"",IF('Capacity summary'!$D$14="Yes",IF(COUNTBLANK('Capacity summary'!$H166:$BG166)&lt;52,IF('Capacity summary'!AZ166&lt;&gt;"",IF(LOWER('Capacity summary'!AZ166)="x",$BI47*AZ47,VALUE('Capacity summary'!AZ166)),0),AZ47*$BI47),AZ47*$BI47),0)</f>
        <v>0</v>
      </c>
      <c r="DD47" s="314">
        <f>IF($BI47&lt;&gt;"",IF('Capacity summary'!$D$14="Yes",IF(COUNTBLANK('Capacity summary'!$H166:$BG166)&lt;52,IF('Capacity summary'!BA166&lt;&gt;"",IF(LOWER('Capacity summary'!BA166)="x",$BI47*BA47,VALUE('Capacity summary'!BA166)),0),BA47*$BI47),BA47*$BI47),0)</f>
        <v>0</v>
      </c>
      <c r="DE47" s="314">
        <f>IF($BI47&lt;&gt;"",IF('Capacity summary'!$D$14="Yes",IF(COUNTBLANK('Capacity summary'!$H166:$BG166)&lt;52,IF('Capacity summary'!BB166&lt;&gt;"",IF(LOWER('Capacity summary'!BB166)="x",$BI47*BB47,VALUE('Capacity summary'!BB166)),0),BB47*$BI47),BB47*$BI47),0)</f>
        <v>0</v>
      </c>
      <c r="DF47" s="314">
        <f>IF($BI47&lt;&gt;"",IF('Capacity summary'!$D$14="Yes",IF(COUNTBLANK('Capacity summary'!$H166:$BG166)&lt;52,IF('Capacity summary'!BC166&lt;&gt;"",IF(LOWER('Capacity summary'!BC166)="x",$BI47*BC47,VALUE('Capacity summary'!BC166)),0),BC47*$BI47),BC47*$BI47),0)</f>
        <v>0</v>
      </c>
      <c r="DG47" s="314">
        <f>IF($BI47&lt;&gt;"",IF('Capacity summary'!$D$14="Yes",IF(COUNTBLANK('Capacity summary'!$H166:$BG166)&lt;52,IF('Capacity summary'!BD166&lt;&gt;"",IF(LOWER('Capacity summary'!BD166)="x",$BI47*BD47,VALUE('Capacity summary'!BD166)),0),BD47*$BI47),BD47*$BI47),0)</f>
        <v>0</v>
      </c>
      <c r="DH47" s="314">
        <f>IF($BI47&lt;&gt;"",IF('Capacity summary'!$D$14="Yes",IF(COUNTBLANK('Capacity summary'!$H166:$BG166)&lt;52,IF('Capacity summary'!BE166&lt;&gt;"",IF(LOWER('Capacity summary'!BE166)="x",$BI47*BE47,VALUE('Capacity summary'!BE166)),0),BE47*$BI47),BE47*$BI47),0)</f>
        <v>0</v>
      </c>
      <c r="DI47" s="314">
        <f>IF($BI47&lt;&gt;"",IF('Capacity summary'!$D$14="Yes",IF(COUNTBLANK('Capacity summary'!$H166:$BG166)&lt;52,IF('Capacity summary'!BF166&lt;&gt;"",IF(LOWER('Capacity summary'!BF166)="x",$BI47*BF47,VALUE('Capacity summary'!BF166)),0),BF47*$BI47),BF47*$BI47),0)</f>
        <v>0</v>
      </c>
      <c r="DJ47" s="314">
        <f>IF($BI47&lt;&gt;"",IF('Capacity summary'!$D$14="Yes",IF(COUNTBLANK('Capacity summary'!$H166:$BG166)&lt;52,IF('Capacity summary'!BG166&lt;&gt;"",IF(LOWER('Capacity summary'!BG166)="x",$BI47*BG47,VALUE('Capacity summary'!BG166)),0),BG47*$BI47),BG47*$BI47),0)</f>
        <v>0</v>
      </c>
      <c r="DK47" s="137">
        <f t="shared" si="2"/>
        <v>0</v>
      </c>
      <c r="DL47" s="314" t="str">
        <f>Capacity!H59</f>
        <v/>
      </c>
      <c r="DP47" s="5"/>
    </row>
    <row r="48" spans="2:120" x14ac:dyDescent="0.25">
      <c r="B48" s="67"/>
      <c r="C48" s="67" t="str">
        <f>ROW(A44)&amp;". "&amp;Capacity!B60</f>
        <v xml:space="preserve">44. </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IF(ROW(C44)&lt;=Capacity!$A$16,IF('Capacity summary'!$D$14="No",SUM(H48:BG48),'Capacity summary'!$E167),0)</f>
        <v>0</v>
      </c>
      <c r="BI48" s="5" t="str">
        <f>IF(BH48&gt;0,IF(BH48&lt;Capacity!E60,Capacity!F60,Capacity!H60/'Capacity calculation (hide)'!BH48),"")</f>
        <v/>
      </c>
      <c r="BK48" s="314">
        <f>IF($BI48&lt;&gt;"",IF('Capacity summary'!$D$14="Yes",IF(COUNTBLANK('Capacity summary'!$H167:$BG167)&lt;52,IF('Capacity summary'!H167&lt;&gt;"",IF(LOWER('Capacity summary'!H167)="x",$BI48*H48,VALUE('Capacity summary'!H167)),0),H48*$BI48),H48*$BI48),0)</f>
        <v>0</v>
      </c>
      <c r="BL48" s="314">
        <f>IF($BI48&lt;&gt;"",IF('Capacity summary'!$D$14="Yes",IF(COUNTBLANK('Capacity summary'!$H167:$BG167)&lt;52,IF('Capacity summary'!I167&lt;&gt;"",IF(LOWER('Capacity summary'!I167)="x",$BI48*I48,VALUE('Capacity summary'!I167)),0),I48*$BI48),I48*$BI48),0)</f>
        <v>0</v>
      </c>
      <c r="BM48" s="314">
        <f>IF($BI48&lt;&gt;"",IF('Capacity summary'!$D$14="Yes",IF(COUNTBLANK('Capacity summary'!$H167:$BG167)&lt;52,IF('Capacity summary'!J167&lt;&gt;"",IF(LOWER('Capacity summary'!J167)="x",$BI48*J48,VALUE('Capacity summary'!J167)),0),J48*$BI48),J48*$BI48),0)</f>
        <v>0</v>
      </c>
      <c r="BN48" s="314">
        <f>IF($BI48&lt;&gt;"",IF('Capacity summary'!$D$14="Yes",IF(COUNTBLANK('Capacity summary'!$H167:$BG167)&lt;52,IF('Capacity summary'!K167&lt;&gt;"",IF(LOWER('Capacity summary'!K167)="x",$BI48*K48,VALUE('Capacity summary'!K167)),0),K48*$BI48),K48*$BI48),0)</f>
        <v>0</v>
      </c>
      <c r="BO48" s="314">
        <f>IF($BI48&lt;&gt;"",IF('Capacity summary'!$D$14="Yes",IF(COUNTBLANK('Capacity summary'!$H167:$BG167)&lt;52,IF('Capacity summary'!L167&lt;&gt;"",IF(LOWER('Capacity summary'!L167)="x",$BI48*L48,VALUE('Capacity summary'!L167)),0),L48*$BI48),L48*$BI48),0)</f>
        <v>0</v>
      </c>
      <c r="BP48" s="314">
        <f>IF($BI48&lt;&gt;"",IF('Capacity summary'!$D$14="Yes",IF(COUNTBLANK('Capacity summary'!$H167:$BG167)&lt;52,IF('Capacity summary'!M167&lt;&gt;"",IF(LOWER('Capacity summary'!M167)="x",$BI48*M48,VALUE('Capacity summary'!M167)),0),M48*$BI48),M48*$BI48),0)</f>
        <v>0</v>
      </c>
      <c r="BQ48" s="314">
        <f>IF($BI48&lt;&gt;"",IF('Capacity summary'!$D$14="Yes",IF(COUNTBLANK('Capacity summary'!$H167:$BG167)&lt;52,IF('Capacity summary'!N167&lt;&gt;"",IF(LOWER('Capacity summary'!N167)="x",$BI48*N48,VALUE('Capacity summary'!N167)),0),N48*$BI48),N48*$BI48),0)</f>
        <v>0</v>
      </c>
      <c r="BR48" s="314">
        <f>IF($BI48&lt;&gt;"",IF('Capacity summary'!$D$14="Yes",IF(COUNTBLANK('Capacity summary'!$H167:$BG167)&lt;52,IF('Capacity summary'!O167&lt;&gt;"",IF(LOWER('Capacity summary'!O167)="x",$BI48*O48,VALUE('Capacity summary'!O167)),0),O48*$BI48),O48*$BI48),0)</f>
        <v>0</v>
      </c>
      <c r="BS48" s="314">
        <f>IF($BI48&lt;&gt;"",IF('Capacity summary'!$D$14="Yes",IF(COUNTBLANK('Capacity summary'!$H167:$BG167)&lt;52,IF('Capacity summary'!P167&lt;&gt;"",IF(LOWER('Capacity summary'!P167)="x",$BI48*P48,VALUE('Capacity summary'!P167)),0),P48*$BI48),P48*$BI48),0)</f>
        <v>0</v>
      </c>
      <c r="BT48" s="314">
        <f>IF($BI48&lt;&gt;"",IF('Capacity summary'!$D$14="Yes",IF(COUNTBLANK('Capacity summary'!$H167:$BG167)&lt;52,IF('Capacity summary'!Q167&lt;&gt;"",IF(LOWER('Capacity summary'!Q167)="x",$BI48*Q48,VALUE('Capacity summary'!Q167)),0),Q48*$BI48),Q48*$BI48),0)</f>
        <v>0</v>
      </c>
      <c r="BU48" s="314">
        <f>IF($BI48&lt;&gt;"",IF('Capacity summary'!$D$14="Yes",IF(COUNTBLANK('Capacity summary'!$H167:$BG167)&lt;52,IF('Capacity summary'!R167&lt;&gt;"",IF(LOWER('Capacity summary'!R167)="x",$BI48*R48,VALUE('Capacity summary'!R167)),0),R48*$BI48),R48*$BI48),0)</f>
        <v>0</v>
      </c>
      <c r="BV48" s="314">
        <f>IF($BI48&lt;&gt;"",IF('Capacity summary'!$D$14="Yes",IF(COUNTBLANK('Capacity summary'!$H167:$BG167)&lt;52,IF('Capacity summary'!S167&lt;&gt;"",IF(LOWER('Capacity summary'!S167)="x",$BI48*S48,VALUE('Capacity summary'!S167)),0),S48*$BI48),S48*$BI48),0)</f>
        <v>0</v>
      </c>
      <c r="BW48" s="314">
        <f>IF($BI48&lt;&gt;"",IF('Capacity summary'!$D$14="Yes",IF(COUNTBLANK('Capacity summary'!$H167:$BG167)&lt;52,IF('Capacity summary'!T167&lt;&gt;"",IF(LOWER('Capacity summary'!T167)="x",$BI48*T48,VALUE('Capacity summary'!T167)),0),T48*$BI48),T48*$BI48),0)</f>
        <v>0</v>
      </c>
      <c r="BX48" s="314">
        <f>IF($BI48&lt;&gt;"",IF('Capacity summary'!$D$14="Yes",IF(COUNTBLANK('Capacity summary'!$H167:$BG167)&lt;52,IF('Capacity summary'!U167&lt;&gt;"",IF(LOWER('Capacity summary'!U167)="x",$BI48*U48,VALUE('Capacity summary'!U167)),0),U48*$BI48),U48*$BI48),0)</f>
        <v>0</v>
      </c>
      <c r="BY48" s="314">
        <f>IF($BI48&lt;&gt;"",IF('Capacity summary'!$D$14="Yes",IF(COUNTBLANK('Capacity summary'!$H167:$BG167)&lt;52,IF('Capacity summary'!V167&lt;&gt;"",IF(LOWER('Capacity summary'!V167)="x",$BI48*V48,VALUE('Capacity summary'!V167)),0),V48*$BI48),V48*$BI48),0)</f>
        <v>0</v>
      </c>
      <c r="BZ48" s="314">
        <f>IF($BI48&lt;&gt;"",IF('Capacity summary'!$D$14="Yes",IF(COUNTBLANK('Capacity summary'!$H167:$BG167)&lt;52,IF('Capacity summary'!W167&lt;&gt;"",IF(LOWER('Capacity summary'!W167)="x",$BI48*W48,VALUE('Capacity summary'!W167)),0),W48*$BI48),W48*$BI48),0)</f>
        <v>0</v>
      </c>
      <c r="CA48" s="314">
        <f>IF($BI48&lt;&gt;"",IF('Capacity summary'!$D$14="Yes",IF(COUNTBLANK('Capacity summary'!$H167:$BG167)&lt;52,IF('Capacity summary'!X167&lt;&gt;"",IF(LOWER('Capacity summary'!X167)="x",$BI48*X48,VALUE('Capacity summary'!X167)),0),X48*$BI48),X48*$BI48),0)</f>
        <v>0</v>
      </c>
      <c r="CB48" s="314">
        <f>IF($BI48&lt;&gt;"",IF('Capacity summary'!$D$14="Yes",IF(COUNTBLANK('Capacity summary'!$H167:$BG167)&lt;52,IF('Capacity summary'!Y167&lt;&gt;"",IF(LOWER('Capacity summary'!Y167)="x",$BI48*Y48,VALUE('Capacity summary'!Y167)),0),Y48*$BI48),Y48*$BI48),0)</f>
        <v>0</v>
      </c>
      <c r="CC48" s="314">
        <f>IF($BI48&lt;&gt;"",IF('Capacity summary'!$D$14="Yes",IF(COUNTBLANK('Capacity summary'!$H167:$BG167)&lt;52,IF('Capacity summary'!Z167&lt;&gt;"",IF(LOWER('Capacity summary'!Z167)="x",$BI48*Z48,VALUE('Capacity summary'!Z167)),0),Z48*$BI48),Z48*$BI48),0)</f>
        <v>0</v>
      </c>
      <c r="CD48" s="314">
        <f>IF($BI48&lt;&gt;"",IF('Capacity summary'!$D$14="Yes",IF(COUNTBLANK('Capacity summary'!$H167:$BG167)&lt;52,IF('Capacity summary'!AA167&lt;&gt;"",IF(LOWER('Capacity summary'!AA167)="x",$BI48*AA48,VALUE('Capacity summary'!AA167)),0),AA48*$BI48),AA48*$BI48),0)</f>
        <v>0</v>
      </c>
      <c r="CE48" s="314">
        <f>IF($BI48&lt;&gt;"",IF('Capacity summary'!$D$14="Yes",IF(COUNTBLANK('Capacity summary'!$H167:$BG167)&lt;52,IF('Capacity summary'!AB167&lt;&gt;"",IF(LOWER('Capacity summary'!AB167)="x",$BI48*AB48,VALUE('Capacity summary'!AB167)),0),AB48*$BI48),AB48*$BI48),0)</f>
        <v>0</v>
      </c>
      <c r="CF48" s="314">
        <f>IF($BI48&lt;&gt;"",IF('Capacity summary'!$D$14="Yes",IF(COUNTBLANK('Capacity summary'!$H167:$BG167)&lt;52,IF('Capacity summary'!AC167&lt;&gt;"",IF(LOWER('Capacity summary'!AC167)="x",$BI48*AC48,VALUE('Capacity summary'!AC167)),0),AC48*$BI48),AC48*$BI48),0)</f>
        <v>0</v>
      </c>
      <c r="CG48" s="314">
        <f>IF($BI48&lt;&gt;"",IF('Capacity summary'!$D$14="Yes",IF(COUNTBLANK('Capacity summary'!$H167:$BG167)&lt;52,IF('Capacity summary'!AD167&lt;&gt;"",IF(LOWER('Capacity summary'!AD167)="x",$BI48*AD48,VALUE('Capacity summary'!AD167)),0),AD48*$BI48),AD48*$BI48),0)</f>
        <v>0</v>
      </c>
      <c r="CH48" s="314">
        <f>IF($BI48&lt;&gt;"",IF('Capacity summary'!$D$14="Yes",IF(COUNTBLANK('Capacity summary'!$H167:$BG167)&lt;52,IF('Capacity summary'!AE167&lt;&gt;"",IF(LOWER('Capacity summary'!AE167)="x",$BI48*AE48,VALUE('Capacity summary'!AE167)),0),AE48*$BI48),AE48*$BI48),0)</f>
        <v>0</v>
      </c>
      <c r="CI48" s="314">
        <f>IF($BI48&lt;&gt;"",IF('Capacity summary'!$D$14="Yes",IF(COUNTBLANK('Capacity summary'!$H167:$BG167)&lt;52,IF('Capacity summary'!AF167&lt;&gt;"",IF(LOWER('Capacity summary'!AF167)="x",$BI48*AF48,VALUE('Capacity summary'!AF167)),0),AF48*$BI48),AF48*$BI48),0)</f>
        <v>0</v>
      </c>
      <c r="CJ48" s="314">
        <f>IF($BI48&lt;&gt;"",IF('Capacity summary'!$D$14="Yes",IF(COUNTBLANK('Capacity summary'!$H167:$BG167)&lt;52,IF('Capacity summary'!AG167&lt;&gt;"",IF(LOWER('Capacity summary'!AG167)="x",$BI48*AG48,VALUE('Capacity summary'!AG167)),0),AG48*$BI48),AG48*$BI48),0)</f>
        <v>0</v>
      </c>
      <c r="CK48" s="314">
        <f>IF($BI48&lt;&gt;"",IF('Capacity summary'!$D$14="Yes",IF(COUNTBLANK('Capacity summary'!$H167:$BG167)&lt;52,IF('Capacity summary'!AH167&lt;&gt;"",IF(LOWER('Capacity summary'!AH167)="x",$BI48*AH48,VALUE('Capacity summary'!AH167)),0),AH48*$BI48),AH48*$BI48),0)</f>
        <v>0</v>
      </c>
      <c r="CL48" s="314">
        <f>IF($BI48&lt;&gt;"",IF('Capacity summary'!$D$14="Yes",IF(COUNTBLANK('Capacity summary'!$H167:$BG167)&lt;52,IF('Capacity summary'!AI167&lt;&gt;"",IF(LOWER('Capacity summary'!AI167)="x",$BI48*AI48,VALUE('Capacity summary'!AI167)),0),AI48*$BI48),AI48*$BI48),0)</f>
        <v>0</v>
      </c>
      <c r="CM48" s="314">
        <f>IF($BI48&lt;&gt;"",IF('Capacity summary'!$D$14="Yes",IF(COUNTBLANK('Capacity summary'!$H167:$BG167)&lt;52,IF('Capacity summary'!AJ167&lt;&gt;"",IF(LOWER('Capacity summary'!AJ167)="x",$BI48*AJ48,VALUE('Capacity summary'!AJ167)),0),AJ48*$BI48),AJ48*$BI48),0)</f>
        <v>0</v>
      </c>
      <c r="CN48" s="314">
        <f>IF($BI48&lt;&gt;"",IF('Capacity summary'!$D$14="Yes",IF(COUNTBLANK('Capacity summary'!$H167:$BG167)&lt;52,IF('Capacity summary'!AK167&lt;&gt;"",IF(LOWER('Capacity summary'!AK167)="x",$BI48*AK48,VALUE('Capacity summary'!AK167)),0),AK48*$BI48),AK48*$BI48),0)</f>
        <v>0</v>
      </c>
      <c r="CO48" s="314">
        <f>IF($BI48&lt;&gt;"",IF('Capacity summary'!$D$14="Yes",IF(COUNTBLANK('Capacity summary'!$H167:$BG167)&lt;52,IF('Capacity summary'!AL167&lt;&gt;"",IF(LOWER('Capacity summary'!AL167)="x",$BI48*AL48,VALUE('Capacity summary'!AL167)),0),AL48*$BI48),AL48*$BI48),0)</f>
        <v>0</v>
      </c>
      <c r="CP48" s="314">
        <f>IF($BI48&lt;&gt;"",IF('Capacity summary'!$D$14="Yes",IF(COUNTBLANK('Capacity summary'!$H167:$BG167)&lt;52,IF('Capacity summary'!AM167&lt;&gt;"",IF(LOWER('Capacity summary'!AM167)="x",$BI48*AM48,VALUE('Capacity summary'!AM167)),0),AM48*$BI48),AM48*$BI48),0)</f>
        <v>0</v>
      </c>
      <c r="CQ48" s="314">
        <f>IF($BI48&lt;&gt;"",IF('Capacity summary'!$D$14="Yes",IF(COUNTBLANK('Capacity summary'!$H167:$BG167)&lt;52,IF('Capacity summary'!AN167&lt;&gt;"",IF(LOWER('Capacity summary'!AN167)="x",$BI48*AN48,VALUE('Capacity summary'!AN167)),0),AN48*$BI48),AN48*$BI48),0)</f>
        <v>0</v>
      </c>
      <c r="CR48" s="314">
        <f>IF($BI48&lt;&gt;"",IF('Capacity summary'!$D$14="Yes",IF(COUNTBLANK('Capacity summary'!$H167:$BG167)&lt;52,IF('Capacity summary'!AO167&lt;&gt;"",IF(LOWER('Capacity summary'!AO167)="x",$BI48*AO48,VALUE('Capacity summary'!AO167)),0),AO48*$BI48),AO48*$BI48),0)</f>
        <v>0</v>
      </c>
      <c r="CS48" s="314">
        <f>IF($BI48&lt;&gt;"",IF('Capacity summary'!$D$14="Yes",IF(COUNTBLANK('Capacity summary'!$H167:$BG167)&lt;52,IF('Capacity summary'!AP167&lt;&gt;"",IF(LOWER('Capacity summary'!AP167)="x",$BI48*AP48,VALUE('Capacity summary'!AP167)),0),AP48*$BI48),AP48*$BI48),0)</f>
        <v>0</v>
      </c>
      <c r="CT48" s="314">
        <f>IF($BI48&lt;&gt;"",IF('Capacity summary'!$D$14="Yes",IF(COUNTBLANK('Capacity summary'!$H167:$BG167)&lt;52,IF('Capacity summary'!AQ167&lt;&gt;"",IF(LOWER('Capacity summary'!AQ167)="x",$BI48*AQ48,VALUE('Capacity summary'!AQ167)),0),AQ48*$BI48),AQ48*$BI48),0)</f>
        <v>0</v>
      </c>
      <c r="CU48" s="314">
        <f>IF($BI48&lt;&gt;"",IF('Capacity summary'!$D$14="Yes",IF(COUNTBLANK('Capacity summary'!$H167:$BG167)&lt;52,IF('Capacity summary'!AR167&lt;&gt;"",IF(LOWER('Capacity summary'!AR167)="x",$BI48*AR48,VALUE('Capacity summary'!AR167)),0),AR48*$BI48),AR48*$BI48),0)</f>
        <v>0</v>
      </c>
      <c r="CV48" s="314">
        <f>IF($BI48&lt;&gt;"",IF('Capacity summary'!$D$14="Yes",IF(COUNTBLANK('Capacity summary'!$H167:$BG167)&lt;52,IF('Capacity summary'!AS167&lt;&gt;"",IF(LOWER('Capacity summary'!AS167)="x",$BI48*AS48,VALUE('Capacity summary'!AS167)),0),AS48*$BI48),AS48*$BI48),0)</f>
        <v>0</v>
      </c>
      <c r="CW48" s="314">
        <f>IF($BI48&lt;&gt;"",IF('Capacity summary'!$D$14="Yes",IF(COUNTBLANK('Capacity summary'!$H167:$BG167)&lt;52,IF('Capacity summary'!AT167&lt;&gt;"",IF(LOWER('Capacity summary'!AT167)="x",$BI48*AT48,VALUE('Capacity summary'!AT167)),0),AT48*$BI48),AT48*$BI48),0)</f>
        <v>0</v>
      </c>
      <c r="CX48" s="314">
        <f>IF($BI48&lt;&gt;"",IF('Capacity summary'!$D$14="Yes",IF(COUNTBLANK('Capacity summary'!$H167:$BG167)&lt;52,IF('Capacity summary'!AU167&lt;&gt;"",IF(LOWER('Capacity summary'!AU167)="x",$BI48*AU48,VALUE('Capacity summary'!AU167)),0),AU48*$BI48),AU48*$BI48),0)</f>
        <v>0</v>
      </c>
      <c r="CY48" s="314">
        <f>IF($BI48&lt;&gt;"",IF('Capacity summary'!$D$14="Yes",IF(COUNTBLANK('Capacity summary'!$H167:$BG167)&lt;52,IF('Capacity summary'!AV167&lt;&gt;"",IF(LOWER('Capacity summary'!AV167)="x",$BI48*AV48,VALUE('Capacity summary'!AV167)),0),AV48*$BI48),AV48*$BI48),0)</f>
        <v>0</v>
      </c>
      <c r="CZ48" s="314">
        <f>IF($BI48&lt;&gt;"",IF('Capacity summary'!$D$14="Yes",IF(COUNTBLANK('Capacity summary'!$H167:$BG167)&lt;52,IF('Capacity summary'!AW167&lt;&gt;"",IF(LOWER('Capacity summary'!AW167)="x",$BI48*AW48,VALUE('Capacity summary'!AW167)),0),AW48*$BI48),AW48*$BI48),0)</f>
        <v>0</v>
      </c>
      <c r="DA48" s="314">
        <f>IF($BI48&lt;&gt;"",IF('Capacity summary'!$D$14="Yes",IF(COUNTBLANK('Capacity summary'!$H167:$BG167)&lt;52,IF('Capacity summary'!AX167&lt;&gt;"",IF(LOWER('Capacity summary'!AX167)="x",$BI48*AX48,VALUE('Capacity summary'!AX167)),0),AX48*$BI48),AX48*$BI48),0)</f>
        <v>0</v>
      </c>
      <c r="DB48" s="314">
        <f>IF($BI48&lt;&gt;"",IF('Capacity summary'!$D$14="Yes",IF(COUNTBLANK('Capacity summary'!$H167:$BG167)&lt;52,IF('Capacity summary'!AY167&lt;&gt;"",IF(LOWER('Capacity summary'!AY167)="x",$BI48*AY48,VALUE('Capacity summary'!AY167)),0),AY48*$BI48),AY48*$BI48),0)</f>
        <v>0</v>
      </c>
      <c r="DC48" s="314">
        <f>IF($BI48&lt;&gt;"",IF('Capacity summary'!$D$14="Yes",IF(COUNTBLANK('Capacity summary'!$H167:$BG167)&lt;52,IF('Capacity summary'!AZ167&lt;&gt;"",IF(LOWER('Capacity summary'!AZ167)="x",$BI48*AZ48,VALUE('Capacity summary'!AZ167)),0),AZ48*$BI48),AZ48*$BI48),0)</f>
        <v>0</v>
      </c>
      <c r="DD48" s="314">
        <f>IF($BI48&lt;&gt;"",IF('Capacity summary'!$D$14="Yes",IF(COUNTBLANK('Capacity summary'!$H167:$BG167)&lt;52,IF('Capacity summary'!BA167&lt;&gt;"",IF(LOWER('Capacity summary'!BA167)="x",$BI48*BA48,VALUE('Capacity summary'!BA167)),0),BA48*$BI48),BA48*$BI48),0)</f>
        <v>0</v>
      </c>
      <c r="DE48" s="314">
        <f>IF($BI48&lt;&gt;"",IF('Capacity summary'!$D$14="Yes",IF(COUNTBLANK('Capacity summary'!$H167:$BG167)&lt;52,IF('Capacity summary'!BB167&lt;&gt;"",IF(LOWER('Capacity summary'!BB167)="x",$BI48*BB48,VALUE('Capacity summary'!BB167)),0),BB48*$BI48),BB48*$BI48),0)</f>
        <v>0</v>
      </c>
      <c r="DF48" s="314">
        <f>IF($BI48&lt;&gt;"",IF('Capacity summary'!$D$14="Yes",IF(COUNTBLANK('Capacity summary'!$H167:$BG167)&lt;52,IF('Capacity summary'!BC167&lt;&gt;"",IF(LOWER('Capacity summary'!BC167)="x",$BI48*BC48,VALUE('Capacity summary'!BC167)),0),BC48*$BI48),BC48*$BI48),0)</f>
        <v>0</v>
      </c>
      <c r="DG48" s="314">
        <f>IF($BI48&lt;&gt;"",IF('Capacity summary'!$D$14="Yes",IF(COUNTBLANK('Capacity summary'!$H167:$BG167)&lt;52,IF('Capacity summary'!BD167&lt;&gt;"",IF(LOWER('Capacity summary'!BD167)="x",$BI48*BD48,VALUE('Capacity summary'!BD167)),0),BD48*$BI48),BD48*$BI48),0)</f>
        <v>0</v>
      </c>
      <c r="DH48" s="314">
        <f>IF($BI48&lt;&gt;"",IF('Capacity summary'!$D$14="Yes",IF(COUNTBLANK('Capacity summary'!$H167:$BG167)&lt;52,IF('Capacity summary'!BE167&lt;&gt;"",IF(LOWER('Capacity summary'!BE167)="x",$BI48*BE48,VALUE('Capacity summary'!BE167)),0),BE48*$BI48),BE48*$BI48),0)</f>
        <v>0</v>
      </c>
      <c r="DI48" s="314">
        <f>IF($BI48&lt;&gt;"",IF('Capacity summary'!$D$14="Yes",IF(COUNTBLANK('Capacity summary'!$H167:$BG167)&lt;52,IF('Capacity summary'!BF167&lt;&gt;"",IF(LOWER('Capacity summary'!BF167)="x",$BI48*BF48,VALUE('Capacity summary'!BF167)),0),BF48*$BI48),BF48*$BI48),0)</f>
        <v>0</v>
      </c>
      <c r="DJ48" s="314">
        <f>IF($BI48&lt;&gt;"",IF('Capacity summary'!$D$14="Yes",IF(COUNTBLANK('Capacity summary'!$H167:$BG167)&lt;52,IF('Capacity summary'!BG167&lt;&gt;"",IF(LOWER('Capacity summary'!BG167)="x",$BI48*BG48,VALUE('Capacity summary'!BG167)),0),BG48*$BI48),BG48*$BI48),0)</f>
        <v>0</v>
      </c>
      <c r="DK48" s="137">
        <f t="shared" si="2"/>
        <v>0</v>
      </c>
      <c r="DL48" s="314" t="str">
        <f>Capacity!H60</f>
        <v/>
      </c>
      <c r="DP48" s="5"/>
    </row>
    <row r="49" spans="2:120" x14ac:dyDescent="0.25">
      <c r="B49" s="67"/>
      <c r="C49" s="67" t="str">
        <f>ROW(A45)&amp;". "&amp;Capacity!B61</f>
        <v xml:space="preserve">45. </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IF(ROW(C45)&lt;=Capacity!$A$16,IF('Capacity summary'!$D$14="No",SUM(H49:BG49),'Capacity summary'!$E168),0)</f>
        <v>0</v>
      </c>
      <c r="BI49" s="5" t="str">
        <f>IF(BH49&gt;0,IF(BH49&lt;Capacity!E61,Capacity!F61,Capacity!H61/'Capacity calculation (hide)'!BH49),"")</f>
        <v/>
      </c>
      <c r="BK49" s="314">
        <f>IF($BI49&lt;&gt;"",IF('Capacity summary'!$D$14="Yes",IF(COUNTBLANK('Capacity summary'!$H168:$BG168)&lt;52,IF('Capacity summary'!H168&lt;&gt;"",IF(LOWER('Capacity summary'!H168)="x",$BI49*H49,VALUE('Capacity summary'!H168)),0),H49*$BI49),H49*$BI49),0)</f>
        <v>0</v>
      </c>
      <c r="BL49" s="314">
        <f>IF($BI49&lt;&gt;"",IF('Capacity summary'!$D$14="Yes",IF(COUNTBLANK('Capacity summary'!$H168:$BG168)&lt;52,IF('Capacity summary'!I168&lt;&gt;"",IF(LOWER('Capacity summary'!I168)="x",$BI49*I49,VALUE('Capacity summary'!I168)),0),I49*$BI49),I49*$BI49),0)</f>
        <v>0</v>
      </c>
      <c r="BM49" s="314">
        <f>IF($BI49&lt;&gt;"",IF('Capacity summary'!$D$14="Yes",IF(COUNTBLANK('Capacity summary'!$H168:$BG168)&lt;52,IF('Capacity summary'!J168&lt;&gt;"",IF(LOWER('Capacity summary'!J168)="x",$BI49*J49,VALUE('Capacity summary'!J168)),0),J49*$BI49),J49*$BI49),0)</f>
        <v>0</v>
      </c>
      <c r="BN49" s="314">
        <f>IF($BI49&lt;&gt;"",IF('Capacity summary'!$D$14="Yes",IF(COUNTBLANK('Capacity summary'!$H168:$BG168)&lt;52,IF('Capacity summary'!K168&lt;&gt;"",IF(LOWER('Capacity summary'!K168)="x",$BI49*K49,VALUE('Capacity summary'!K168)),0),K49*$BI49),K49*$BI49),0)</f>
        <v>0</v>
      </c>
      <c r="BO49" s="314">
        <f>IF($BI49&lt;&gt;"",IF('Capacity summary'!$D$14="Yes",IF(COUNTBLANK('Capacity summary'!$H168:$BG168)&lt;52,IF('Capacity summary'!L168&lt;&gt;"",IF(LOWER('Capacity summary'!L168)="x",$BI49*L49,VALUE('Capacity summary'!L168)),0),L49*$BI49),L49*$BI49),0)</f>
        <v>0</v>
      </c>
      <c r="BP49" s="314">
        <f>IF($BI49&lt;&gt;"",IF('Capacity summary'!$D$14="Yes",IF(COUNTBLANK('Capacity summary'!$H168:$BG168)&lt;52,IF('Capacity summary'!M168&lt;&gt;"",IF(LOWER('Capacity summary'!M168)="x",$BI49*M49,VALUE('Capacity summary'!M168)),0),M49*$BI49),M49*$BI49),0)</f>
        <v>0</v>
      </c>
      <c r="BQ49" s="314">
        <f>IF($BI49&lt;&gt;"",IF('Capacity summary'!$D$14="Yes",IF(COUNTBLANK('Capacity summary'!$H168:$BG168)&lt;52,IF('Capacity summary'!N168&lt;&gt;"",IF(LOWER('Capacity summary'!N168)="x",$BI49*N49,VALUE('Capacity summary'!N168)),0),N49*$BI49),N49*$BI49),0)</f>
        <v>0</v>
      </c>
      <c r="BR49" s="314">
        <f>IF($BI49&lt;&gt;"",IF('Capacity summary'!$D$14="Yes",IF(COUNTBLANK('Capacity summary'!$H168:$BG168)&lt;52,IF('Capacity summary'!O168&lt;&gt;"",IF(LOWER('Capacity summary'!O168)="x",$BI49*O49,VALUE('Capacity summary'!O168)),0),O49*$BI49),O49*$BI49),0)</f>
        <v>0</v>
      </c>
      <c r="BS49" s="314">
        <f>IF($BI49&lt;&gt;"",IF('Capacity summary'!$D$14="Yes",IF(COUNTBLANK('Capacity summary'!$H168:$BG168)&lt;52,IF('Capacity summary'!P168&lt;&gt;"",IF(LOWER('Capacity summary'!P168)="x",$BI49*P49,VALUE('Capacity summary'!P168)),0),P49*$BI49),P49*$BI49),0)</f>
        <v>0</v>
      </c>
      <c r="BT49" s="314">
        <f>IF($BI49&lt;&gt;"",IF('Capacity summary'!$D$14="Yes",IF(COUNTBLANK('Capacity summary'!$H168:$BG168)&lt;52,IF('Capacity summary'!Q168&lt;&gt;"",IF(LOWER('Capacity summary'!Q168)="x",$BI49*Q49,VALUE('Capacity summary'!Q168)),0),Q49*$BI49),Q49*$BI49),0)</f>
        <v>0</v>
      </c>
      <c r="BU49" s="314">
        <f>IF($BI49&lt;&gt;"",IF('Capacity summary'!$D$14="Yes",IF(COUNTBLANK('Capacity summary'!$H168:$BG168)&lt;52,IF('Capacity summary'!R168&lt;&gt;"",IF(LOWER('Capacity summary'!R168)="x",$BI49*R49,VALUE('Capacity summary'!R168)),0),R49*$BI49),R49*$BI49),0)</f>
        <v>0</v>
      </c>
      <c r="BV49" s="314">
        <f>IF($BI49&lt;&gt;"",IF('Capacity summary'!$D$14="Yes",IF(COUNTBLANK('Capacity summary'!$H168:$BG168)&lt;52,IF('Capacity summary'!S168&lt;&gt;"",IF(LOWER('Capacity summary'!S168)="x",$BI49*S49,VALUE('Capacity summary'!S168)),0),S49*$BI49),S49*$BI49),0)</f>
        <v>0</v>
      </c>
      <c r="BW49" s="314">
        <f>IF($BI49&lt;&gt;"",IF('Capacity summary'!$D$14="Yes",IF(COUNTBLANK('Capacity summary'!$H168:$BG168)&lt;52,IF('Capacity summary'!T168&lt;&gt;"",IF(LOWER('Capacity summary'!T168)="x",$BI49*T49,VALUE('Capacity summary'!T168)),0),T49*$BI49),T49*$BI49),0)</f>
        <v>0</v>
      </c>
      <c r="BX49" s="314">
        <f>IF($BI49&lt;&gt;"",IF('Capacity summary'!$D$14="Yes",IF(COUNTBLANK('Capacity summary'!$H168:$BG168)&lt;52,IF('Capacity summary'!U168&lt;&gt;"",IF(LOWER('Capacity summary'!U168)="x",$BI49*U49,VALUE('Capacity summary'!U168)),0),U49*$BI49),U49*$BI49),0)</f>
        <v>0</v>
      </c>
      <c r="BY49" s="314">
        <f>IF($BI49&lt;&gt;"",IF('Capacity summary'!$D$14="Yes",IF(COUNTBLANK('Capacity summary'!$H168:$BG168)&lt;52,IF('Capacity summary'!V168&lt;&gt;"",IF(LOWER('Capacity summary'!V168)="x",$BI49*V49,VALUE('Capacity summary'!V168)),0),V49*$BI49),V49*$BI49),0)</f>
        <v>0</v>
      </c>
      <c r="BZ49" s="314">
        <f>IF($BI49&lt;&gt;"",IF('Capacity summary'!$D$14="Yes",IF(COUNTBLANK('Capacity summary'!$H168:$BG168)&lt;52,IF('Capacity summary'!W168&lt;&gt;"",IF(LOWER('Capacity summary'!W168)="x",$BI49*W49,VALUE('Capacity summary'!W168)),0),W49*$BI49),W49*$BI49),0)</f>
        <v>0</v>
      </c>
      <c r="CA49" s="314">
        <f>IF($BI49&lt;&gt;"",IF('Capacity summary'!$D$14="Yes",IF(COUNTBLANK('Capacity summary'!$H168:$BG168)&lt;52,IF('Capacity summary'!X168&lt;&gt;"",IF(LOWER('Capacity summary'!X168)="x",$BI49*X49,VALUE('Capacity summary'!X168)),0),X49*$BI49),X49*$BI49),0)</f>
        <v>0</v>
      </c>
      <c r="CB49" s="314">
        <f>IF($BI49&lt;&gt;"",IF('Capacity summary'!$D$14="Yes",IF(COUNTBLANK('Capacity summary'!$H168:$BG168)&lt;52,IF('Capacity summary'!Y168&lt;&gt;"",IF(LOWER('Capacity summary'!Y168)="x",$BI49*Y49,VALUE('Capacity summary'!Y168)),0),Y49*$BI49),Y49*$BI49),0)</f>
        <v>0</v>
      </c>
      <c r="CC49" s="314">
        <f>IF($BI49&lt;&gt;"",IF('Capacity summary'!$D$14="Yes",IF(COUNTBLANK('Capacity summary'!$H168:$BG168)&lt;52,IF('Capacity summary'!Z168&lt;&gt;"",IF(LOWER('Capacity summary'!Z168)="x",$BI49*Z49,VALUE('Capacity summary'!Z168)),0),Z49*$BI49),Z49*$BI49),0)</f>
        <v>0</v>
      </c>
      <c r="CD49" s="314">
        <f>IF($BI49&lt;&gt;"",IF('Capacity summary'!$D$14="Yes",IF(COUNTBLANK('Capacity summary'!$H168:$BG168)&lt;52,IF('Capacity summary'!AA168&lt;&gt;"",IF(LOWER('Capacity summary'!AA168)="x",$BI49*AA49,VALUE('Capacity summary'!AA168)),0),AA49*$BI49),AA49*$BI49),0)</f>
        <v>0</v>
      </c>
      <c r="CE49" s="314">
        <f>IF($BI49&lt;&gt;"",IF('Capacity summary'!$D$14="Yes",IF(COUNTBLANK('Capacity summary'!$H168:$BG168)&lt;52,IF('Capacity summary'!AB168&lt;&gt;"",IF(LOWER('Capacity summary'!AB168)="x",$BI49*AB49,VALUE('Capacity summary'!AB168)),0),AB49*$BI49),AB49*$BI49),0)</f>
        <v>0</v>
      </c>
      <c r="CF49" s="314">
        <f>IF($BI49&lt;&gt;"",IF('Capacity summary'!$D$14="Yes",IF(COUNTBLANK('Capacity summary'!$H168:$BG168)&lt;52,IF('Capacity summary'!AC168&lt;&gt;"",IF(LOWER('Capacity summary'!AC168)="x",$BI49*AC49,VALUE('Capacity summary'!AC168)),0),AC49*$BI49),AC49*$BI49),0)</f>
        <v>0</v>
      </c>
      <c r="CG49" s="314">
        <f>IF($BI49&lt;&gt;"",IF('Capacity summary'!$D$14="Yes",IF(COUNTBLANK('Capacity summary'!$H168:$BG168)&lt;52,IF('Capacity summary'!AD168&lt;&gt;"",IF(LOWER('Capacity summary'!AD168)="x",$BI49*AD49,VALUE('Capacity summary'!AD168)),0),AD49*$BI49),AD49*$BI49),0)</f>
        <v>0</v>
      </c>
      <c r="CH49" s="314">
        <f>IF($BI49&lt;&gt;"",IF('Capacity summary'!$D$14="Yes",IF(COUNTBLANK('Capacity summary'!$H168:$BG168)&lt;52,IF('Capacity summary'!AE168&lt;&gt;"",IF(LOWER('Capacity summary'!AE168)="x",$BI49*AE49,VALUE('Capacity summary'!AE168)),0),AE49*$BI49),AE49*$BI49),0)</f>
        <v>0</v>
      </c>
      <c r="CI49" s="314">
        <f>IF($BI49&lt;&gt;"",IF('Capacity summary'!$D$14="Yes",IF(COUNTBLANK('Capacity summary'!$H168:$BG168)&lt;52,IF('Capacity summary'!AF168&lt;&gt;"",IF(LOWER('Capacity summary'!AF168)="x",$BI49*AF49,VALUE('Capacity summary'!AF168)),0),AF49*$BI49),AF49*$BI49),0)</f>
        <v>0</v>
      </c>
      <c r="CJ49" s="314">
        <f>IF($BI49&lt;&gt;"",IF('Capacity summary'!$D$14="Yes",IF(COUNTBLANK('Capacity summary'!$H168:$BG168)&lt;52,IF('Capacity summary'!AG168&lt;&gt;"",IF(LOWER('Capacity summary'!AG168)="x",$BI49*AG49,VALUE('Capacity summary'!AG168)),0),AG49*$BI49),AG49*$BI49),0)</f>
        <v>0</v>
      </c>
      <c r="CK49" s="314">
        <f>IF($BI49&lt;&gt;"",IF('Capacity summary'!$D$14="Yes",IF(COUNTBLANK('Capacity summary'!$H168:$BG168)&lt;52,IF('Capacity summary'!AH168&lt;&gt;"",IF(LOWER('Capacity summary'!AH168)="x",$BI49*AH49,VALUE('Capacity summary'!AH168)),0),AH49*$BI49),AH49*$BI49),0)</f>
        <v>0</v>
      </c>
      <c r="CL49" s="314">
        <f>IF($BI49&lt;&gt;"",IF('Capacity summary'!$D$14="Yes",IF(COUNTBLANK('Capacity summary'!$H168:$BG168)&lt;52,IF('Capacity summary'!AI168&lt;&gt;"",IF(LOWER('Capacity summary'!AI168)="x",$BI49*AI49,VALUE('Capacity summary'!AI168)),0),AI49*$BI49),AI49*$BI49),0)</f>
        <v>0</v>
      </c>
      <c r="CM49" s="314">
        <f>IF($BI49&lt;&gt;"",IF('Capacity summary'!$D$14="Yes",IF(COUNTBLANK('Capacity summary'!$H168:$BG168)&lt;52,IF('Capacity summary'!AJ168&lt;&gt;"",IF(LOWER('Capacity summary'!AJ168)="x",$BI49*AJ49,VALUE('Capacity summary'!AJ168)),0),AJ49*$BI49),AJ49*$BI49),0)</f>
        <v>0</v>
      </c>
      <c r="CN49" s="314">
        <f>IF($BI49&lt;&gt;"",IF('Capacity summary'!$D$14="Yes",IF(COUNTBLANK('Capacity summary'!$H168:$BG168)&lt;52,IF('Capacity summary'!AK168&lt;&gt;"",IF(LOWER('Capacity summary'!AK168)="x",$BI49*AK49,VALUE('Capacity summary'!AK168)),0),AK49*$BI49),AK49*$BI49),0)</f>
        <v>0</v>
      </c>
      <c r="CO49" s="314">
        <f>IF($BI49&lt;&gt;"",IF('Capacity summary'!$D$14="Yes",IF(COUNTBLANK('Capacity summary'!$H168:$BG168)&lt;52,IF('Capacity summary'!AL168&lt;&gt;"",IF(LOWER('Capacity summary'!AL168)="x",$BI49*AL49,VALUE('Capacity summary'!AL168)),0),AL49*$BI49),AL49*$BI49),0)</f>
        <v>0</v>
      </c>
      <c r="CP49" s="314">
        <f>IF($BI49&lt;&gt;"",IF('Capacity summary'!$D$14="Yes",IF(COUNTBLANK('Capacity summary'!$H168:$BG168)&lt;52,IF('Capacity summary'!AM168&lt;&gt;"",IF(LOWER('Capacity summary'!AM168)="x",$BI49*AM49,VALUE('Capacity summary'!AM168)),0),AM49*$BI49),AM49*$BI49),0)</f>
        <v>0</v>
      </c>
      <c r="CQ49" s="314">
        <f>IF($BI49&lt;&gt;"",IF('Capacity summary'!$D$14="Yes",IF(COUNTBLANK('Capacity summary'!$H168:$BG168)&lt;52,IF('Capacity summary'!AN168&lt;&gt;"",IF(LOWER('Capacity summary'!AN168)="x",$BI49*AN49,VALUE('Capacity summary'!AN168)),0),AN49*$BI49),AN49*$BI49),0)</f>
        <v>0</v>
      </c>
      <c r="CR49" s="314">
        <f>IF($BI49&lt;&gt;"",IF('Capacity summary'!$D$14="Yes",IF(COUNTBLANK('Capacity summary'!$H168:$BG168)&lt;52,IF('Capacity summary'!AO168&lt;&gt;"",IF(LOWER('Capacity summary'!AO168)="x",$BI49*AO49,VALUE('Capacity summary'!AO168)),0),AO49*$BI49),AO49*$BI49),0)</f>
        <v>0</v>
      </c>
      <c r="CS49" s="314">
        <f>IF($BI49&lt;&gt;"",IF('Capacity summary'!$D$14="Yes",IF(COUNTBLANK('Capacity summary'!$H168:$BG168)&lt;52,IF('Capacity summary'!AP168&lt;&gt;"",IF(LOWER('Capacity summary'!AP168)="x",$BI49*AP49,VALUE('Capacity summary'!AP168)),0),AP49*$BI49),AP49*$BI49),0)</f>
        <v>0</v>
      </c>
      <c r="CT49" s="314">
        <f>IF($BI49&lt;&gt;"",IF('Capacity summary'!$D$14="Yes",IF(COUNTBLANK('Capacity summary'!$H168:$BG168)&lt;52,IF('Capacity summary'!AQ168&lt;&gt;"",IF(LOWER('Capacity summary'!AQ168)="x",$BI49*AQ49,VALUE('Capacity summary'!AQ168)),0),AQ49*$BI49),AQ49*$BI49),0)</f>
        <v>0</v>
      </c>
      <c r="CU49" s="314">
        <f>IF($BI49&lt;&gt;"",IF('Capacity summary'!$D$14="Yes",IF(COUNTBLANK('Capacity summary'!$H168:$BG168)&lt;52,IF('Capacity summary'!AR168&lt;&gt;"",IF(LOWER('Capacity summary'!AR168)="x",$BI49*AR49,VALUE('Capacity summary'!AR168)),0),AR49*$BI49),AR49*$BI49),0)</f>
        <v>0</v>
      </c>
      <c r="CV49" s="314">
        <f>IF($BI49&lt;&gt;"",IF('Capacity summary'!$D$14="Yes",IF(COUNTBLANK('Capacity summary'!$H168:$BG168)&lt;52,IF('Capacity summary'!AS168&lt;&gt;"",IF(LOWER('Capacity summary'!AS168)="x",$BI49*AS49,VALUE('Capacity summary'!AS168)),0),AS49*$BI49),AS49*$BI49),0)</f>
        <v>0</v>
      </c>
      <c r="CW49" s="314">
        <f>IF($BI49&lt;&gt;"",IF('Capacity summary'!$D$14="Yes",IF(COUNTBLANK('Capacity summary'!$H168:$BG168)&lt;52,IF('Capacity summary'!AT168&lt;&gt;"",IF(LOWER('Capacity summary'!AT168)="x",$BI49*AT49,VALUE('Capacity summary'!AT168)),0),AT49*$BI49),AT49*$BI49),0)</f>
        <v>0</v>
      </c>
      <c r="CX49" s="314">
        <f>IF($BI49&lt;&gt;"",IF('Capacity summary'!$D$14="Yes",IF(COUNTBLANK('Capacity summary'!$H168:$BG168)&lt;52,IF('Capacity summary'!AU168&lt;&gt;"",IF(LOWER('Capacity summary'!AU168)="x",$BI49*AU49,VALUE('Capacity summary'!AU168)),0),AU49*$BI49),AU49*$BI49),0)</f>
        <v>0</v>
      </c>
      <c r="CY49" s="314">
        <f>IF($BI49&lt;&gt;"",IF('Capacity summary'!$D$14="Yes",IF(COUNTBLANK('Capacity summary'!$H168:$BG168)&lt;52,IF('Capacity summary'!AV168&lt;&gt;"",IF(LOWER('Capacity summary'!AV168)="x",$BI49*AV49,VALUE('Capacity summary'!AV168)),0),AV49*$BI49),AV49*$BI49),0)</f>
        <v>0</v>
      </c>
      <c r="CZ49" s="314">
        <f>IF($BI49&lt;&gt;"",IF('Capacity summary'!$D$14="Yes",IF(COUNTBLANK('Capacity summary'!$H168:$BG168)&lt;52,IF('Capacity summary'!AW168&lt;&gt;"",IF(LOWER('Capacity summary'!AW168)="x",$BI49*AW49,VALUE('Capacity summary'!AW168)),0),AW49*$BI49),AW49*$BI49),0)</f>
        <v>0</v>
      </c>
      <c r="DA49" s="314">
        <f>IF($BI49&lt;&gt;"",IF('Capacity summary'!$D$14="Yes",IF(COUNTBLANK('Capacity summary'!$H168:$BG168)&lt;52,IF('Capacity summary'!AX168&lt;&gt;"",IF(LOWER('Capacity summary'!AX168)="x",$BI49*AX49,VALUE('Capacity summary'!AX168)),0),AX49*$BI49),AX49*$BI49),0)</f>
        <v>0</v>
      </c>
      <c r="DB49" s="314">
        <f>IF($BI49&lt;&gt;"",IF('Capacity summary'!$D$14="Yes",IF(COUNTBLANK('Capacity summary'!$H168:$BG168)&lt;52,IF('Capacity summary'!AY168&lt;&gt;"",IF(LOWER('Capacity summary'!AY168)="x",$BI49*AY49,VALUE('Capacity summary'!AY168)),0),AY49*$BI49),AY49*$BI49),0)</f>
        <v>0</v>
      </c>
      <c r="DC49" s="314">
        <f>IF($BI49&lt;&gt;"",IF('Capacity summary'!$D$14="Yes",IF(COUNTBLANK('Capacity summary'!$H168:$BG168)&lt;52,IF('Capacity summary'!AZ168&lt;&gt;"",IF(LOWER('Capacity summary'!AZ168)="x",$BI49*AZ49,VALUE('Capacity summary'!AZ168)),0),AZ49*$BI49),AZ49*$BI49),0)</f>
        <v>0</v>
      </c>
      <c r="DD49" s="314">
        <f>IF($BI49&lt;&gt;"",IF('Capacity summary'!$D$14="Yes",IF(COUNTBLANK('Capacity summary'!$H168:$BG168)&lt;52,IF('Capacity summary'!BA168&lt;&gt;"",IF(LOWER('Capacity summary'!BA168)="x",$BI49*BA49,VALUE('Capacity summary'!BA168)),0),BA49*$BI49),BA49*$BI49),0)</f>
        <v>0</v>
      </c>
      <c r="DE49" s="314">
        <f>IF($BI49&lt;&gt;"",IF('Capacity summary'!$D$14="Yes",IF(COUNTBLANK('Capacity summary'!$H168:$BG168)&lt;52,IF('Capacity summary'!BB168&lt;&gt;"",IF(LOWER('Capacity summary'!BB168)="x",$BI49*BB49,VALUE('Capacity summary'!BB168)),0),BB49*$BI49),BB49*$BI49),0)</f>
        <v>0</v>
      </c>
      <c r="DF49" s="314">
        <f>IF($BI49&lt;&gt;"",IF('Capacity summary'!$D$14="Yes",IF(COUNTBLANK('Capacity summary'!$H168:$BG168)&lt;52,IF('Capacity summary'!BC168&lt;&gt;"",IF(LOWER('Capacity summary'!BC168)="x",$BI49*BC49,VALUE('Capacity summary'!BC168)),0),BC49*$BI49),BC49*$BI49),0)</f>
        <v>0</v>
      </c>
      <c r="DG49" s="314">
        <f>IF($BI49&lt;&gt;"",IF('Capacity summary'!$D$14="Yes",IF(COUNTBLANK('Capacity summary'!$H168:$BG168)&lt;52,IF('Capacity summary'!BD168&lt;&gt;"",IF(LOWER('Capacity summary'!BD168)="x",$BI49*BD49,VALUE('Capacity summary'!BD168)),0),BD49*$BI49),BD49*$BI49),0)</f>
        <v>0</v>
      </c>
      <c r="DH49" s="314">
        <f>IF($BI49&lt;&gt;"",IF('Capacity summary'!$D$14="Yes",IF(COUNTBLANK('Capacity summary'!$H168:$BG168)&lt;52,IF('Capacity summary'!BE168&lt;&gt;"",IF(LOWER('Capacity summary'!BE168)="x",$BI49*BE49,VALUE('Capacity summary'!BE168)),0),BE49*$BI49),BE49*$BI49),0)</f>
        <v>0</v>
      </c>
      <c r="DI49" s="314">
        <f>IF($BI49&lt;&gt;"",IF('Capacity summary'!$D$14="Yes",IF(COUNTBLANK('Capacity summary'!$H168:$BG168)&lt;52,IF('Capacity summary'!BF168&lt;&gt;"",IF(LOWER('Capacity summary'!BF168)="x",$BI49*BF49,VALUE('Capacity summary'!BF168)),0),BF49*$BI49),BF49*$BI49),0)</f>
        <v>0</v>
      </c>
      <c r="DJ49" s="314">
        <f>IF($BI49&lt;&gt;"",IF('Capacity summary'!$D$14="Yes",IF(COUNTBLANK('Capacity summary'!$H168:$BG168)&lt;52,IF('Capacity summary'!BG168&lt;&gt;"",IF(LOWER('Capacity summary'!BG168)="x",$BI49*BG49,VALUE('Capacity summary'!BG168)),0),BG49*$BI49),BG49*$BI49),0)</f>
        <v>0</v>
      </c>
      <c r="DK49" s="137">
        <f t="shared" si="2"/>
        <v>0</v>
      </c>
      <c r="DL49" s="314" t="str">
        <f>Capacity!H61</f>
        <v/>
      </c>
      <c r="DP49" s="5"/>
    </row>
    <row r="50" spans="2:120" x14ac:dyDescent="0.25">
      <c r="B50" s="67"/>
      <c r="C50" s="67" t="str">
        <f>ROW(A46)&amp;". "&amp;Capacity!B62</f>
        <v xml:space="preserve">46. </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IF(ROW(C46)&lt;=Capacity!$A$16,IF('Capacity summary'!$D$14="No",SUM(H50:BG50),'Capacity summary'!$E169),0)</f>
        <v>0</v>
      </c>
      <c r="BI50" s="5" t="str">
        <f>IF(BH50&gt;0,IF(BH50&lt;Capacity!E62,Capacity!F62,Capacity!H62/'Capacity calculation (hide)'!BH50),"")</f>
        <v/>
      </c>
      <c r="BK50" s="314">
        <f>IF($BI50&lt;&gt;"",IF('Capacity summary'!$D$14="Yes",IF(COUNTBLANK('Capacity summary'!$H169:$BG169)&lt;52,IF('Capacity summary'!H169&lt;&gt;"",IF(LOWER('Capacity summary'!H169)="x",$BI50*H50,VALUE('Capacity summary'!H169)),0),H50*$BI50),H50*$BI50),0)</f>
        <v>0</v>
      </c>
      <c r="BL50" s="314">
        <f>IF($BI50&lt;&gt;"",IF('Capacity summary'!$D$14="Yes",IF(COUNTBLANK('Capacity summary'!$H169:$BG169)&lt;52,IF('Capacity summary'!I169&lt;&gt;"",IF(LOWER('Capacity summary'!I169)="x",$BI50*I50,VALUE('Capacity summary'!I169)),0),I50*$BI50),I50*$BI50),0)</f>
        <v>0</v>
      </c>
      <c r="BM50" s="314">
        <f>IF($BI50&lt;&gt;"",IF('Capacity summary'!$D$14="Yes",IF(COUNTBLANK('Capacity summary'!$H169:$BG169)&lt;52,IF('Capacity summary'!J169&lt;&gt;"",IF(LOWER('Capacity summary'!J169)="x",$BI50*J50,VALUE('Capacity summary'!J169)),0),J50*$BI50),J50*$BI50),0)</f>
        <v>0</v>
      </c>
      <c r="BN50" s="314">
        <f>IF($BI50&lt;&gt;"",IF('Capacity summary'!$D$14="Yes",IF(COUNTBLANK('Capacity summary'!$H169:$BG169)&lt;52,IF('Capacity summary'!K169&lt;&gt;"",IF(LOWER('Capacity summary'!K169)="x",$BI50*K50,VALUE('Capacity summary'!K169)),0),K50*$BI50),K50*$BI50),0)</f>
        <v>0</v>
      </c>
      <c r="BO50" s="314">
        <f>IF($BI50&lt;&gt;"",IF('Capacity summary'!$D$14="Yes",IF(COUNTBLANK('Capacity summary'!$H169:$BG169)&lt;52,IF('Capacity summary'!L169&lt;&gt;"",IF(LOWER('Capacity summary'!L169)="x",$BI50*L50,VALUE('Capacity summary'!L169)),0),L50*$BI50),L50*$BI50),0)</f>
        <v>0</v>
      </c>
      <c r="BP50" s="314">
        <f>IF($BI50&lt;&gt;"",IF('Capacity summary'!$D$14="Yes",IF(COUNTBLANK('Capacity summary'!$H169:$BG169)&lt;52,IF('Capacity summary'!M169&lt;&gt;"",IF(LOWER('Capacity summary'!M169)="x",$BI50*M50,VALUE('Capacity summary'!M169)),0),M50*$BI50),M50*$BI50),0)</f>
        <v>0</v>
      </c>
      <c r="BQ50" s="314">
        <f>IF($BI50&lt;&gt;"",IF('Capacity summary'!$D$14="Yes",IF(COUNTBLANK('Capacity summary'!$H169:$BG169)&lt;52,IF('Capacity summary'!N169&lt;&gt;"",IF(LOWER('Capacity summary'!N169)="x",$BI50*N50,VALUE('Capacity summary'!N169)),0),N50*$BI50),N50*$BI50),0)</f>
        <v>0</v>
      </c>
      <c r="BR50" s="314">
        <f>IF($BI50&lt;&gt;"",IF('Capacity summary'!$D$14="Yes",IF(COUNTBLANK('Capacity summary'!$H169:$BG169)&lt;52,IF('Capacity summary'!O169&lt;&gt;"",IF(LOWER('Capacity summary'!O169)="x",$BI50*O50,VALUE('Capacity summary'!O169)),0),O50*$BI50),O50*$BI50),0)</f>
        <v>0</v>
      </c>
      <c r="BS50" s="314">
        <f>IF($BI50&lt;&gt;"",IF('Capacity summary'!$D$14="Yes",IF(COUNTBLANK('Capacity summary'!$H169:$BG169)&lt;52,IF('Capacity summary'!P169&lt;&gt;"",IF(LOWER('Capacity summary'!P169)="x",$BI50*P50,VALUE('Capacity summary'!P169)),0),P50*$BI50),P50*$BI50),0)</f>
        <v>0</v>
      </c>
      <c r="BT50" s="314">
        <f>IF($BI50&lt;&gt;"",IF('Capacity summary'!$D$14="Yes",IF(COUNTBLANK('Capacity summary'!$H169:$BG169)&lt;52,IF('Capacity summary'!Q169&lt;&gt;"",IF(LOWER('Capacity summary'!Q169)="x",$BI50*Q50,VALUE('Capacity summary'!Q169)),0),Q50*$BI50),Q50*$BI50),0)</f>
        <v>0</v>
      </c>
      <c r="BU50" s="314">
        <f>IF($BI50&lt;&gt;"",IF('Capacity summary'!$D$14="Yes",IF(COUNTBLANK('Capacity summary'!$H169:$BG169)&lt;52,IF('Capacity summary'!R169&lt;&gt;"",IF(LOWER('Capacity summary'!R169)="x",$BI50*R50,VALUE('Capacity summary'!R169)),0),R50*$BI50),R50*$BI50),0)</f>
        <v>0</v>
      </c>
      <c r="BV50" s="314">
        <f>IF($BI50&lt;&gt;"",IF('Capacity summary'!$D$14="Yes",IF(COUNTBLANK('Capacity summary'!$H169:$BG169)&lt;52,IF('Capacity summary'!S169&lt;&gt;"",IF(LOWER('Capacity summary'!S169)="x",$BI50*S50,VALUE('Capacity summary'!S169)),0),S50*$BI50),S50*$BI50),0)</f>
        <v>0</v>
      </c>
      <c r="BW50" s="314">
        <f>IF($BI50&lt;&gt;"",IF('Capacity summary'!$D$14="Yes",IF(COUNTBLANK('Capacity summary'!$H169:$BG169)&lt;52,IF('Capacity summary'!T169&lt;&gt;"",IF(LOWER('Capacity summary'!T169)="x",$BI50*T50,VALUE('Capacity summary'!T169)),0),T50*$BI50),T50*$BI50),0)</f>
        <v>0</v>
      </c>
      <c r="BX50" s="314">
        <f>IF($BI50&lt;&gt;"",IF('Capacity summary'!$D$14="Yes",IF(COUNTBLANK('Capacity summary'!$H169:$BG169)&lt;52,IF('Capacity summary'!U169&lt;&gt;"",IF(LOWER('Capacity summary'!U169)="x",$BI50*U50,VALUE('Capacity summary'!U169)),0),U50*$BI50),U50*$BI50),0)</f>
        <v>0</v>
      </c>
      <c r="BY50" s="314">
        <f>IF($BI50&lt;&gt;"",IF('Capacity summary'!$D$14="Yes",IF(COUNTBLANK('Capacity summary'!$H169:$BG169)&lt;52,IF('Capacity summary'!V169&lt;&gt;"",IF(LOWER('Capacity summary'!V169)="x",$BI50*V50,VALUE('Capacity summary'!V169)),0),V50*$BI50),V50*$BI50),0)</f>
        <v>0</v>
      </c>
      <c r="BZ50" s="314">
        <f>IF($BI50&lt;&gt;"",IF('Capacity summary'!$D$14="Yes",IF(COUNTBLANK('Capacity summary'!$H169:$BG169)&lt;52,IF('Capacity summary'!W169&lt;&gt;"",IF(LOWER('Capacity summary'!W169)="x",$BI50*W50,VALUE('Capacity summary'!W169)),0),W50*$BI50),W50*$BI50),0)</f>
        <v>0</v>
      </c>
      <c r="CA50" s="314">
        <f>IF($BI50&lt;&gt;"",IF('Capacity summary'!$D$14="Yes",IF(COUNTBLANK('Capacity summary'!$H169:$BG169)&lt;52,IF('Capacity summary'!X169&lt;&gt;"",IF(LOWER('Capacity summary'!X169)="x",$BI50*X50,VALUE('Capacity summary'!X169)),0),X50*$BI50),X50*$BI50),0)</f>
        <v>0</v>
      </c>
      <c r="CB50" s="314">
        <f>IF($BI50&lt;&gt;"",IF('Capacity summary'!$D$14="Yes",IF(COUNTBLANK('Capacity summary'!$H169:$BG169)&lt;52,IF('Capacity summary'!Y169&lt;&gt;"",IF(LOWER('Capacity summary'!Y169)="x",$BI50*Y50,VALUE('Capacity summary'!Y169)),0),Y50*$BI50),Y50*$BI50),0)</f>
        <v>0</v>
      </c>
      <c r="CC50" s="314">
        <f>IF($BI50&lt;&gt;"",IF('Capacity summary'!$D$14="Yes",IF(COUNTBLANK('Capacity summary'!$H169:$BG169)&lt;52,IF('Capacity summary'!Z169&lt;&gt;"",IF(LOWER('Capacity summary'!Z169)="x",$BI50*Z50,VALUE('Capacity summary'!Z169)),0),Z50*$BI50),Z50*$BI50),0)</f>
        <v>0</v>
      </c>
      <c r="CD50" s="314">
        <f>IF($BI50&lt;&gt;"",IF('Capacity summary'!$D$14="Yes",IF(COUNTBLANK('Capacity summary'!$H169:$BG169)&lt;52,IF('Capacity summary'!AA169&lt;&gt;"",IF(LOWER('Capacity summary'!AA169)="x",$BI50*AA50,VALUE('Capacity summary'!AA169)),0),AA50*$BI50),AA50*$BI50),0)</f>
        <v>0</v>
      </c>
      <c r="CE50" s="314">
        <f>IF($BI50&lt;&gt;"",IF('Capacity summary'!$D$14="Yes",IF(COUNTBLANK('Capacity summary'!$H169:$BG169)&lt;52,IF('Capacity summary'!AB169&lt;&gt;"",IF(LOWER('Capacity summary'!AB169)="x",$BI50*AB50,VALUE('Capacity summary'!AB169)),0),AB50*$BI50),AB50*$BI50),0)</f>
        <v>0</v>
      </c>
      <c r="CF50" s="314">
        <f>IF($BI50&lt;&gt;"",IF('Capacity summary'!$D$14="Yes",IF(COUNTBLANK('Capacity summary'!$H169:$BG169)&lt;52,IF('Capacity summary'!AC169&lt;&gt;"",IF(LOWER('Capacity summary'!AC169)="x",$BI50*AC50,VALUE('Capacity summary'!AC169)),0),AC50*$BI50),AC50*$BI50),0)</f>
        <v>0</v>
      </c>
      <c r="CG50" s="314">
        <f>IF($BI50&lt;&gt;"",IF('Capacity summary'!$D$14="Yes",IF(COUNTBLANK('Capacity summary'!$H169:$BG169)&lt;52,IF('Capacity summary'!AD169&lt;&gt;"",IF(LOWER('Capacity summary'!AD169)="x",$BI50*AD50,VALUE('Capacity summary'!AD169)),0),AD50*$BI50),AD50*$BI50),0)</f>
        <v>0</v>
      </c>
      <c r="CH50" s="314">
        <f>IF($BI50&lt;&gt;"",IF('Capacity summary'!$D$14="Yes",IF(COUNTBLANK('Capacity summary'!$H169:$BG169)&lt;52,IF('Capacity summary'!AE169&lt;&gt;"",IF(LOWER('Capacity summary'!AE169)="x",$BI50*AE50,VALUE('Capacity summary'!AE169)),0),AE50*$BI50),AE50*$BI50),0)</f>
        <v>0</v>
      </c>
      <c r="CI50" s="314">
        <f>IF($BI50&lt;&gt;"",IF('Capacity summary'!$D$14="Yes",IF(COUNTBLANK('Capacity summary'!$H169:$BG169)&lt;52,IF('Capacity summary'!AF169&lt;&gt;"",IF(LOWER('Capacity summary'!AF169)="x",$BI50*AF50,VALUE('Capacity summary'!AF169)),0),AF50*$BI50),AF50*$BI50),0)</f>
        <v>0</v>
      </c>
      <c r="CJ50" s="314">
        <f>IF($BI50&lt;&gt;"",IF('Capacity summary'!$D$14="Yes",IF(COUNTBLANK('Capacity summary'!$H169:$BG169)&lt;52,IF('Capacity summary'!AG169&lt;&gt;"",IF(LOWER('Capacity summary'!AG169)="x",$BI50*AG50,VALUE('Capacity summary'!AG169)),0),AG50*$BI50),AG50*$BI50),0)</f>
        <v>0</v>
      </c>
      <c r="CK50" s="314">
        <f>IF($BI50&lt;&gt;"",IF('Capacity summary'!$D$14="Yes",IF(COUNTBLANK('Capacity summary'!$H169:$BG169)&lt;52,IF('Capacity summary'!AH169&lt;&gt;"",IF(LOWER('Capacity summary'!AH169)="x",$BI50*AH50,VALUE('Capacity summary'!AH169)),0),AH50*$BI50),AH50*$BI50),0)</f>
        <v>0</v>
      </c>
      <c r="CL50" s="314">
        <f>IF($BI50&lt;&gt;"",IF('Capacity summary'!$D$14="Yes",IF(COUNTBLANK('Capacity summary'!$H169:$BG169)&lt;52,IF('Capacity summary'!AI169&lt;&gt;"",IF(LOWER('Capacity summary'!AI169)="x",$BI50*AI50,VALUE('Capacity summary'!AI169)),0),AI50*$BI50),AI50*$BI50),0)</f>
        <v>0</v>
      </c>
      <c r="CM50" s="314">
        <f>IF($BI50&lt;&gt;"",IF('Capacity summary'!$D$14="Yes",IF(COUNTBLANK('Capacity summary'!$H169:$BG169)&lt;52,IF('Capacity summary'!AJ169&lt;&gt;"",IF(LOWER('Capacity summary'!AJ169)="x",$BI50*AJ50,VALUE('Capacity summary'!AJ169)),0),AJ50*$BI50),AJ50*$BI50),0)</f>
        <v>0</v>
      </c>
      <c r="CN50" s="314">
        <f>IF($BI50&lt;&gt;"",IF('Capacity summary'!$D$14="Yes",IF(COUNTBLANK('Capacity summary'!$H169:$BG169)&lt;52,IF('Capacity summary'!AK169&lt;&gt;"",IF(LOWER('Capacity summary'!AK169)="x",$BI50*AK50,VALUE('Capacity summary'!AK169)),0),AK50*$BI50),AK50*$BI50),0)</f>
        <v>0</v>
      </c>
      <c r="CO50" s="314">
        <f>IF($BI50&lt;&gt;"",IF('Capacity summary'!$D$14="Yes",IF(COUNTBLANK('Capacity summary'!$H169:$BG169)&lt;52,IF('Capacity summary'!AL169&lt;&gt;"",IF(LOWER('Capacity summary'!AL169)="x",$BI50*AL50,VALUE('Capacity summary'!AL169)),0),AL50*$BI50),AL50*$BI50),0)</f>
        <v>0</v>
      </c>
      <c r="CP50" s="314">
        <f>IF($BI50&lt;&gt;"",IF('Capacity summary'!$D$14="Yes",IF(COUNTBLANK('Capacity summary'!$H169:$BG169)&lt;52,IF('Capacity summary'!AM169&lt;&gt;"",IF(LOWER('Capacity summary'!AM169)="x",$BI50*AM50,VALUE('Capacity summary'!AM169)),0),AM50*$BI50),AM50*$BI50),0)</f>
        <v>0</v>
      </c>
      <c r="CQ50" s="314">
        <f>IF($BI50&lt;&gt;"",IF('Capacity summary'!$D$14="Yes",IF(COUNTBLANK('Capacity summary'!$H169:$BG169)&lt;52,IF('Capacity summary'!AN169&lt;&gt;"",IF(LOWER('Capacity summary'!AN169)="x",$BI50*AN50,VALUE('Capacity summary'!AN169)),0),AN50*$BI50),AN50*$BI50),0)</f>
        <v>0</v>
      </c>
      <c r="CR50" s="314">
        <f>IF($BI50&lt;&gt;"",IF('Capacity summary'!$D$14="Yes",IF(COUNTBLANK('Capacity summary'!$H169:$BG169)&lt;52,IF('Capacity summary'!AO169&lt;&gt;"",IF(LOWER('Capacity summary'!AO169)="x",$BI50*AO50,VALUE('Capacity summary'!AO169)),0),AO50*$BI50),AO50*$BI50),0)</f>
        <v>0</v>
      </c>
      <c r="CS50" s="314">
        <f>IF($BI50&lt;&gt;"",IF('Capacity summary'!$D$14="Yes",IF(COUNTBLANK('Capacity summary'!$H169:$BG169)&lt;52,IF('Capacity summary'!AP169&lt;&gt;"",IF(LOWER('Capacity summary'!AP169)="x",$BI50*AP50,VALUE('Capacity summary'!AP169)),0),AP50*$BI50),AP50*$BI50),0)</f>
        <v>0</v>
      </c>
      <c r="CT50" s="314">
        <f>IF($BI50&lt;&gt;"",IF('Capacity summary'!$D$14="Yes",IF(COUNTBLANK('Capacity summary'!$H169:$BG169)&lt;52,IF('Capacity summary'!AQ169&lt;&gt;"",IF(LOWER('Capacity summary'!AQ169)="x",$BI50*AQ50,VALUE('Capacity summary'!AQ169)),0),AQ50*$BI50),AQ50*$BI50),0)</f>
        <v>0</v>
      </c>
      <c r="CU50" s="314">
        <f>IF($BI50&lt;&gt;"",IF('Capacity summary'!$D$14="Yes",IF(COUNTBLANK('Capacity summary'!$H169:$BG169)&lt;52,IF('Capacity summary'!AR169&lt;&gt;"",IF(LOWER('Capacity summary'!AR169)="x",$BI50*AR50,VALUE('Capacity summary'!AR169)),0),AR50*$BI50),AR50*$BI50),0)</f>
        <v>0</v>
      </c>
      <c r="CV50" s="314">
        <f>IF($BI50&lt;&gt;"",IF('Capacity summary'!$D$14="Yes",IF(COUNTBLANK('Capacity summary'!$H169:$BG169)&lt;52,IF('Capacity summary'!AS169&lt;&gt;"",IF(LOWER('Capacity summary'!AS169)="x",$BI50*AS50,VALUE('Capacity summary'!AS169)),0),AS50*$BI50),AS50*$BI50),0)</f>
        <v>0</v>
      </c>
      <c r="CW50" s="314">
        <f>IF($BI50&lt;&gt;"",IF('Capacity summary'!$D$14="Yes",IF(COUNTBLANK('Capacity summary'!$H169:$BG169)&lt;52,IF('Capacity summary'!AT169&lt;&gt;"",IF(LOWER('Capacity summary'!AT169)="x",$BI50*AT50,VALUE('Capacity summary'!AT169)),0),AT50*$BI50),AT50*$BI50),0)</f>
        <v>0</v>
      </c>
      <c r="CX50" s="314">
        <f>IF($BI50&lt;&gt;"",IF('Capacity summary'!$D$14="Yes",IF(COUNTBLANK('Capacity summary'!$H169:$BG169)&lt;52,IF('Capacity summary'!AU169&lt;&gt;"",IF(LOWER('Capacity summary'!AU169)="x",$BI50*AU50,VALUE('Capacity summary'!AU169)),0),AU50*$BI50),AU50*$BI50),0)</f>
        <v>0</v>
      </c>
      <c r="CY50" s="314">
        <f>IF($BI50&lt;&gt;"",IF('Capacity summary'!$D$14="Yes",IF(COUNTBLANK('Capacity summary'!$H169:$BG169)&lt;52,IF('Capacity summary'!AV169&lt;&gt;"",IF(LOWER('Capacity summary'!AV169)="x",$BI50*AV50,VALUE('Capacity summary'!AV169)),0),AV50*$BI50),AV50*$BI50),0)</f>
        <v>0</v>
      </c>
      <c r="CZ50" s="314">
        <f>IF($BI50&lt;&gt;"",IF('Capacity summary'!$D$14="Yes",IF(COUNTBLANK('Capacity summary'!$H169:$BG169)&lt;52,IF('Capacity summary'!AW169&lt;&gt;"",IF(LOWER('Capacity summary'!AW169)="x",$BI50*AW50,VALUE('Capacity summary'!AW169)),0),AW50*$BI50),AW50*$BI50),0)</f>
        <v>0</v>
      </c>
      <c r="DA50" s="314">
        <f>IF($BI50&lt;&gt;"",IF('Capacity summary'!$D$14="Yes",IF(COUNTBLANK('Capacity summary'!$H169:$BG169)&lt;52,IF('Capacity summary'!AX169&lt;&gt;"",IF(LOWER('Capacity summary'!AX169)="x",$BI50*AX50,VALUE('Capacity summary'!AX169)),0),AX50*$BI50),AX50*$BI50),0)</f>
        <v>0</v>
      </c>
      <c r="DB50" s="314">
        <f>IF($BI50&lt;&gt;"",IF('Capacity summary'!$D$14="Yes",IF(COUNTBLANK('Capacity summary'!$H169:$BG169)&lt;52,IF('Capacity summary'!AY169&lt;&gt;"",IF(LOWER('Capacity summary'!AY169)="x",$BI50*AY50,VALUE('Capacity summary'!AY169)),0),AY50*$BI50),AY50*$BI50),0)</f>
        <v>0</v>
      </c>
      <c r="DC50" s="314">
        <f>IF($BI50&lt;&gt;"",IF('Capacity summary'!$D$14="Yes",IF(COUNTBLANK('Capacity summary'!$H169:$BG169)&lt;52,IF('Capacity summary'!AZ169&lt;&gt;"",IF(LOWER('Capacity summary'!AZ169)="x",$BI50*AZ50,VALUE('Capacity summary'!AZ169)),0),AZ50*$BI50),AZ50*$BI50),0)</f>
        <v>0</v>
      </c>
      <c r="DD50" s="314">
        <f>IF($BI50&lt;&gt;"",IF('Capacity summary'!$D$14="Yes",IF(COUNTBLANK('Capacity summary'!$H169:$BG169)&lt;52,IF('Capacity summary'!BA169&lt;&gt;"",IF(LOWER('Capacity summary'!BA169)="x",$BI50*BA50,VALUE('Capacity summary'!BA169)),0),BA50*$BI50),BA50*$BI50),0)</f>
        <v>0</v>
      </c>
      <c r="DE50" s="314">
        <f>IF($BI50&lt;&gt;"",IF('Capacity summary'!$D$14="Yes",IF(COUNTBLANK('Capacity summary'!$H169:$BG169)&lt;52,IF('Capacity summary'!BB169&lt;&gt;"",IF(LOWER('Capacity summary'!BB169)="x",$BI50*BB50,VALUE('Capacity summary'!BB169)),0),BB50*$BI50),BB50*$BI50),0)</f>
        <v>0</v>
      </c>
      <c r="DF50" s="314">
        <f>IF($BI50&lt;&gt;"",IF('Capacity summary'!$D$14="Yes",IF(COUNTBLANK('Capacity summary'!$H169:$BG169)&lt;52,IF('Capacity summary'!BC169&lt;&gt;"",IF(LOWER('Capacity summary'!BC169)="x",$BI50*BC50,VALUE('Capacity summary'!BC169)),0),BC50*$BI50),BC50*$BI50),0)</f>
        <v>0</v>
      </c>
      <c r="DG50" s="314">
        <f>IF($BI50&lt;&gt;"",IF('Capacity summary'!$D$14="Yes",IF(COUNTBLANK('Capacity summary'!$H169:$BG169)&lt;52,IF('Capacity summary'!BD169&lt;&gt;"",IF(LOWER('Capacity summary'!BD169)="x",$BI50*BD50,VALUE('Capacity summary'!BD169)),0),BD50*$BI50),BD50*$BI50),0)</f>
        <v>0</v>
      </c>
      <c r="DH50" s="314">
        <f>IF($BI50&lt;&gt;"",IF('Capacity summary'!$D$14="Yes",IF(COUNTBLANK('Capacity summary'!$H169:$BG169)&lt;52,IF('Capacity summary'!BE169&lt;&gt;"",IF(LOWER('Capacity summary'!BE169)="x",$BI50*BE50,VALUE('Capacity summary'!BE169)),0),BE50*$BI50),BE50*$BI50),0)</f>
        <v>0</v>
      </c>
      <c r="DI50" s="314">
        <f>IF($BI50&lt;&gt;"",IF('Capacity summary'!$D$14="Yes",IF(COUNTBLANK('Capacity summary'!$H169:$BG169)&lt;52,IF('Capacity summary'!BF169&lt;&gt;"",IF(LOWER('Capacity summary'!BF169)="x",$BI50*BF50,VALUE('Capacity summary'!BF169)),0),BF50*$BI50),BF50*$BI50),0)</f>
        <v>0</v>
      </c>
      <c r="DJ50" s="314">
        <f>IF($BI50&lt;&gt;"",IF('Capacity summary'!$D$14="Yes",IF(COUNTBLANK('Capacity summary'!$H169:$BG169)&lt;52,IF('Capacity summary'!BG169&lt;&gt;"",IF(LOWER('Capacity summary'!BG169)="x",$BI50*BG50,VALUE('Capacity summary'!BG169)),0),BG50*$BI50),BG50*$BI50),0)</f>
        <v>0</v>
      </c>
      <c r="DK50" s="137">
        <f t="shared" si="2"/>
        <v>0</v>
      </c>
      <c r="DL50" s="314" t="str">
        <f>Capacity!H62</f>
        <v/>
      </c>
      <c r="DP50" s="5"/>
    </row>
    <row r="51" spans="2:120" x14ac:dyDescent="0.25">
      <c r="B51" s="67"/>
      <c r="C51" s="67" t="str">
        <f>ROW(A47)&amp;". "&amp;Capacity!B63</f>
        <v xml:space="preserve">47. </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IF(ROW(C47)&lt;=Capacity!$A$16,IF('Capacity summary'!$D$14="No",SUM(H51:BG51),'Capacity summary'!$E170),0)</f>
        <v>0</v>
      </c>
      <c r="BI51" s="5" t="str">
        <f>IF(BH51&gt;0,IF(BH51&lt;Capacity!E63,Capacity!F63,Capacity!H63/'Capacity calculation (hide)'!BH51),"")</f>
        <v/>
      </c>
      <c r="BK51" s="314">
        <f>IF($BI51&lt;&gt;"",IF('Capacity summary'!$D$14="Yes",IF(COUNTBLANK('Capacity summary'!$H170:$BG170)&lt;52,IF('Capacity summary'!H170&lt;&gt;"",IF(LOWER('Capacity summary'!H170)="x",$BI51*H51,VALUE('Capacity summary'!H170)),0),H51*$BI51),H51*$BI51),0)</f>
        <v>0</v>
      </c>
      <c r="BL51" s="314">
        <f>IF($BI51&lt;&gt;"",IF('Capacity summary'!$D$14="Yes",IF(COUNTBLANK('Capacity summary'!$H170:$BG170)&lt;52,IF('Capacity summary'!I170&lt;&gt;"",IF(LOWER('Capacity summary'!I170)="x",$BI51*I51,VALUE('Capacity summary'!I170)),0),I51*$BI51),I51*$BI51),0)</f>
        <v>0</v>
      </c>
      <c r="BM51" s="314">
        <f>IF($BI51&lt;&gt;"",IF('Capacity summary'!$D$14="Yes",IF(COUNTBLANK('Capacity summary'!$H170:$BG170)&lt;52,IF('Capacity summary'!J170&lt;&gt;"",IF(LOWER('Capacity summary'!J170)="x",$BI51*J51,VALUE('Capacity summary'!J170)),0),J51*$BI51),J51*$BI51),0)</f>
        <v>0</v>
      </c>
      <c r="BN51" s="314">
        <f>IF($BI51&lt;&gt;"",IF('Capacity summary'!$D$14="Yes",IF(COUNTBLANK('Capacity summary'!$H170:$BG170)&lt;52,IF('Capacity summary'!K170&lt;&gt;"",IF(LOWER('Capacity summary'!K170)="x",$BI51*K51,VALUE('Capacity summary'!K170)),0),K51*$BI51),K51*$BI51),0)</f>
        <v>0</v>
      </c>
      <c r="BO51" s="314">
        <f>IF($BI51&lt;&gt;"",IF('Capacity summary'!$D$14="Yes",IF(COUNTBLANK('Capacity summary'!$H170:$BG170)&lt;52,IF('Capacity summary'!L170&lt;&gt;"",IF(LOWER('Capacity summary'!L170)="x",$BI51*L51,VALUE('Capacity summary'!L170)),0),L51*$BI51),L51*$BI51),0)</f>
        <v>0</v>
      </c>
      <c r="BP51" s="314">
        <f>IF($BI51&lt;&gt;"",IF('Capacity summary'!$D$14="Yes",IF(COUNTBLANK('Capacity summary'!$H170:$BG170)&lt;52,IF('Capacity summary'!M170&lt;&gt;"",IF(LOWER('Capacity summary'!M170)="x",$BI51*M51,VALUE('Capacity summary'!M170)),0),M51*$BI51),M51*$BI51),0)</f>
        <v>0</v>
      </c>
      <c r="BQ51" s="314">
        <f>IF($BI51&lt;&gt;"",IF('Capacity summary'!$D$14="Yes",IF(COUNTBLANK('Capacity summary'!$H170:$BG170)&lt;52,IF('Capacity summary'!N170&lt;&gt;"",IF(LOWER('Capacity summary'!N170)="x",$BI51*N51,VALUE('Capacity summary'!N170)),0),N51*$BI51),N51*$BI51),0)</f>
        <v>0</v>
      </c>
      <c r="BR51" s="314">
        <f>IF($BI51&lt;&gt;"",IF('Capacity summary'!$D$14="Yes",IF(COUNTBLANK('Capacity summary'!$H170:$BG170)&lt;52,IF('Capacity summary'!O170&lt;&gt;"",IF(LOWER('Capacity summary'!O170)="x",$BI51*O51,VALUE('Capacity summary'!O170)),0),O51*$BI51),O51*$BI51),0)</f>
        <v>0</v>
      </c>
      <c r="BS51" s="314">
        <f>IF($BI51&lt;&gt;"",IF('Capacity summary'!$D$14="Yes",IF(COUNTBLANK('Capacity summary'!$H170:$BG170)&lt;52,IF('Capacity summary'!P170&lt;&gt;"",IF(LOWER('Capacity summary'!P170)="x",$BI51*P51,VALUE('Capacity summary'!P170)),0),P51*$BI51),P51*$BI51),0)</f>
        <v>0</v>
      </c>
      <c r="BT51" s="314">
        <f>IF($BI51&lt;&gt;"",IF('Capacity summary'!$D$14="Yes",IF(COUNTBLANK('Capacity summary'!$H170:$BG170)&lt;52,IF('Capacity summary'!Q170&lt;&gt;"",IF(LOWER('Capacity summary'!Q170)="x",$BI51*Q51,VALUE('Capacity summary'!Q170)),0),Q51*$BI51),Q51*$BI51),0)</f>
        <v>0</v>
      </c>
      <c r="BU51" s="314">
        <f>IF($BI51&lt;&gt;"",IF('Capacity summary'!$D$14="Yes",IF(COUNTBLANK('Capacity summary'!$H170:$BG170)&lt;52,IF('Capacity summary'!R170&lt;&gt;"",IF(LOWER('Capacity summary'!R170)="x",$BI51*R51,VALUE('Capacity summary'!R170)),0),R51*$BI51),R51*$BI51),0)</f>
        <v>0</v>
      </c>
      <c r="BV51" s="314">
        <f>IF($BI51&lt;&gt;"",IF('Capacity summary'!$D$14="Yes",IF(COUNTBLANK('Capacity summary'!$H170:$BG170)&lt;52,IF('Capacity summary'!S170&lt;&gt;"",IF(LOWER('Capacity summary'!S170)="x",$BI51*S51,VALUE('Capacity summary'!S170)),0),S51*$BI51),S51*$BI51),0)</f>
        <v>0</v>
      </c>
      <c r="BW51" s="314">
        <f>IF($BI51&lt;&gt;"",IF('Capacity summary'!$D$14="Yes",IF(COUNTBLANK('Capacity summary'!$H170:$BG170)&lt;52,IF('Capacity summary'!T170&lt;&gt;"",IF(LOWER('Capacity summary'!T170)="x",$BI51*T51,VALUE('Capacity summary'!T170)),0),T51*$BI51),T51*$BI51),0)</f>
        <v>0</v>
      </c>
      <c r="BX51" s="314">
        <f>IF($BI51&lt;&gt;"",IF('Capacity summary'!$D$14="Yes",IF(COUNTBLANK('Capacity summary'!$H170:$BG170)&lt;52,IF('Capacity summary'!U170&lt;&gt;"",IF(LOWER('Capacity summary'!U170)="x",$BI51*U51,VALUE('Capacity summary'!U170)),0),U51*$BI51),U51*$BI51),0)</f>
        <v>0</v>
      </c>
      <c r="BY51" s="314">
        <f>IF($BI51&lt;&gt;"",IF('Capacity summary'!$D$14="Yes",IF(COUNTBLANK('Capacity summary'!$H170:$BG170)&lt;52,IF('Capacity summary'!V170&lt;&gt;"",IF(LOWER('Capacity summary'!V170)="x",$BI51*V51,VALUE('Capacity summary'!V170)),0),V51*$BI51),V51*$BI51),0)</f>
        <v>0</v>
      </c>
      <c r="BZ51" s="314">
        <f>IF($BI51&lt;&gt;"",IF('Capacity summary'!$D$14="Yes",IF(COUNTBLANK('Capacity summary'!$H170:$BG170)&lt;52,IF('Capacity summary'!W170&lt;&gt;"",IF(LOWER('Capacity summary'!W170)="x",$BI51*W51,VALUE('Capacity summary'!W170)),0),W51*$BI51),W51*$BI51),0)</f>
        <v>0</v>
      </c>
      <c r="CA51" s="314">
        <f>IF($BI51&lt;&gt;"",IF('Capacity summary'!$D$14="Yes",IF(COUNTBLANK('Capacity summary'!$H170:$BG170)&lt;52,IF('Capacity summary'!X170&lt;&gt;"",IF(LOWER('Capacity summary'!X170)="x",$BI51*X51,VALUE('Capacity summary'!X170)),0),X51*$BI51),X51*$BI51),0)</f>
        <v>0</v>
      </c>
      <c r="CB51" s="314">
        <f>IF($BI51&lt;&gt;"",IF('Capacity summary'!$D$14="Yes",IF(COUNTBLANK('Capacity summary'!$H170:$BG170)&lt;52,IF('Capacity summary'!Y170&lt;&gt;"",IF(LOWER('Capacity summary'!Y170)="x",$BI51*Y51,VALUE('Capacity summary'!Y170)),0),Y51*$BI51),Y51*$BI51),0)</f>
        <v>0</v>
      </c>
      <c r="CC51" s="314">
        <f>IF($BI51&lt;&gt;"",IF('Capacity summary'!$D$14="Yes",IF(COUNTBLANK('Capacity summary'!$H170:$BG170)&lt;52,IF('Capacity summary'!Z170&lt;&gt;"",IF(LOWER('Capacity summary'!Z170)="x",$BI51*Z51,VALUE('Capacity summary'!Z170)),0),Z51*$BI51),Z51*$BI51),0)</f>
        <v>0</v>
      </c>
      <c r="CD51" s="314">
        <f>IF($BI51&lt;&gt;"",IF('Capacity summary'!$D$14="Yes",IF(COUNTBLANK('Capacity summary'!$H170:$BG170)&lt;52,IF('Capacity summary'!AA170&lt;&gt;"",IF(LOWER('Capacity summary'!AA170)="x",$BI51*AA51,VALUE('Capacity summary'!AA170)),0),AA51*$BI51),AA51*$BI51),0)</f>
        <v>0</v>
      </c>
      <c r="CE51" s="314">
        <f>IF($BI51&lt;&gt;"",IF('Capacity summary'!$D$14="Yes",IF(COUNTBLANK('Capacity summary'!$H170:$BG170)&lt;52,IF('Capacity summary'!AB170&lt;&gt;"",IF(LOWER('Capacity summary'!AB170)="x",$BI51*AB51,VALUE('Capacity summary'!AB170)),0),AB51*$BI51),AB51*$BI51),0)</f>
        <v>0</v>
      </c>
      <c r="CF51" s="314">
        <f>IF($BI51&lt;&gt;"",IF('Capacity summary'!$D$14="Yes",IF(COUNTBLANK('Capacity summary'!$H170:$BG170)&lt;52,IF('Capacity summary'!AC170&lt;&gt;"",IF(LOWER('Capacity summary'!AC170)="x",$BI51*AC51,VALUE('Capacity summary'!AC170)),0),AC51*$BI51),AC51*$BI51),0)</f>
        <v>0</v>
      </c>
      <c r="CG51" s="314">
        <f>IF($BI51&lt;&gt;"",IF('Capacity summary'!$D$14="Yes",IF(COUNTBLANK('Capacity summary'!$H170:$BG170)&lt;52,IF('Capacity summary'!AD170&lt;&gt;"",IF(LOWER('Capacity summary'!AD170)="x",$BI51*AD51,VALUE('Capacity summary'!AD170)),0),AD51*$BI51),AD51*$BI51),0)</f>
        <v>0</v>
      </c>
      <c r="CH51" s="314">
        <f>IF($BI51&lt;&gt;"",IF('Capacity summary'!$D$14="Yes",IF(COUNTBLANK('Capacity summary'!$H170:$BG170)&lt;52,IF('Capacity summary'!AE170&lt;&gt;"",IF(LOWER('Capacity summary'!AE170)="x",$BI51*AE51,VALUE('Capacity summary'!AE170)),0),AE51*$BI51),AE51*$BI51),0)</f>
        <v>0</v>
      </c>
      <c r="CI51" s="314">
        <f>IF($BI51&lt;&gt;"",IF('Capacity summary'!$D$14="Yes",IF(COUNTBLANK('Capacity summary'!$H170:$BG170)&lt;52,IF('Capacity summary'!AF170&lt;&gt;"",IF(LOWER('Capacity summary'!AF170)="x",$BI51*AF51,VALUE('Capacity summary'!AF170)),0),AF51*$BI51),AF51*$BI51),0)</f>
        <v>0</v>
      </c>
      <c r="CJ51" s="314">
        <f>IF($BI51&lt;&gt;"",IF('Capacity summary'!$D$14="Yes",IF(COUNTBLANK('Capacity summary'!$H170:$BG170)&lt;52,IF('Capacity summary'!AG170&lt;&gt;"",IF(LOWER('Capacity summary'!AG170)="x",$BI51*AG51,VALUE('Capacity summary'!AG170)),0),AG51*$BI51),AG51*$BI51),0)</f>
        <v>0</v>
      </c>
      <c r="CK51" s="314">
        <f>IF($BI51&lt;&gt;"",IF('Capacity summary'!$D$14="Yes",IF(COUNTBLANK('Capacity summary'!$H170:$BG170)&lt;52,IF('Capacity summary'!AH170&lt;&gt;"",IF(LOWER('Capacity summary'!AH170)="x",$BI51*AH51,VALUE('Capacity summary'!AH170)),0),AH51*$BI51),AH51*$BI51),0)</f>
        <v>0</v>
      </c>
      <c r="CL51" s="314">
        <f>IF($BI51&lt;&gt;"",IF('Capacity summary'!$D$14="Yes",IF(COUNTBLANK('Capacity summary'!$H170:$BG170)&lt;52,IF('Capacity summary'!AI170&lt;&gt;"",IF(LOWER('Capacity summary'!AI170)="x",$BI51*AI51,VALUE('Capacity summary'!AI170)),0),AI51*$BI51),AI51*$BI51),0)</f>
        <v>0</v>
      </c>
      <c r="CM51" s="314">
        <f>IF($BI51&lt;&gt;"",IF('Capacity summary'!$D$14="Yes",IF(COUNTBLANK('Capacity summary'!$H170:$BG170)&lt;52,IF('Capacity summary'!AJ170&lt;&gt;"",IF(LOWER('Capacity summary'!AJ170)="x",$BI51*AJ51,VALUE('Capacity summary'!AJ170)),0),AJ51*$BI51),AJ51*$BI51),0)</f>
        <v>0</v>
      </c>
      <c r="CN51" s="314">
        <f>IF($BI51&lt;&gt;"",IF('Capacity summary'!$D$14="Yes",IF(COUNTBLANK('Capacity summary'!$H170:$BG170)&lt;52,IF('Capacity summary'!AK170&lt;&gt;"",IF(LOWER('Capacity summary'!AK170)="x",$BI51*AK51,VALUE('Capacity summary'!AK170)),0),AK51*$BI51),AK51*$BI51),0)</f>
        <v>0</v>
      </c>
      <c r="CO51" s="314">
        <f>IF($BI51&lt;&gt;"",IF('Capacity summary'!$D$14="Yes",IF(COUNTBLANK('Capacity summary'!$H170:$BG170)&lt;52,IF('Capacity summary'!AL170&lt;&gt;"",IF(LOWER('Capacity summary'!AL170)="x",$BI51*AL51,VALUE('Capacity summary'!AL170)),0),AL51*$BI51),AL51*$BI51),0)</f>
        <v>0</v>
      </c>
      <c r="CP51" s="314">
        <f>IF($BI51&lt;&gt;"",IF('Capacity summary'!$D$14="Yes",IF(COUNTBLANK('Capacity summary'!$H170:$BG170)&lt;52,IF('Capacity summary'!AM170&lt;&gt;"",IF(LOWER('Capacity summary'!AM170)="x",$BI51*AM51,VALUE('Capacity summary'!AM170)),0),AM51*$BI51),AM51*$BI51),0)</f>
        <v>0</v>
      </c>
      <c r="CQ51" s="314">
        <f>IF($BI51&lt;&gt;"",IF('Capacity summary'!$D$14="Yes",IF(COUNTBLANK('Capacity summary'!$H170:$BG170)&lt;52,IF('Capacity summary'!AN170&lt;&gt;"",IF(LOWER('Capacity summary'!AN170)="x",$BI51*AN51,VALUE('Capacity summary'!AN170)),0),AN51*$BI51),AN51*$BI51),0)</f>
        <v>0</v>
      </c>
      <c r="CR51" s="314">
        <f>IF($BI51&lt;&gt;"",IF('Capacity summary'!$D$14="Yes",IF(COUNTBLANK('Capacity summary'!$H170:$BG170)&lt;52,IF('Capacity summary'!AO170&lt;&gt;"",IF(LOWER('Capacity summary'!AO170)="x",$BI51*AO51,VALUE('Capacity summary'!AO170)),0),AO51*$BI51),AO51*$BI51),0)</f>
        <v>0</v>
      </c>
      <c r="CS51" s="314">
        <f>IF($BI51&lt;&gt;"",IF('Capacity summary'!$D$14="Yes",IF(COUNTBLANK('Capacity summary'!$H170:$BG170)&lt;52,IF('Capacity summary'!AP170&lt;&gt;"",IF(LOWER('Capacity summary'!AP170)="x",$BI51*AP51,VALUE('Capacity summary'!AP170)),0),AP51*$BI51),AP51*$BI51),0)</f>
        <v>0</v>
      </c>
      <c r="CT51" s="314">
        <f>IF($BI51&lt;&gt;"",IF('Capacity summary'!$D$14="Yes",IF(COUNTBLANK('Capacity summary'!$H170:$BG170)&lt;52,IF('Capacity summary'!AQ170&lt;&gt;"",IF(LOWER('Capacity summary'!AQ170)="x",$BI51*AQ51,VALUE('Capacity summary'!AQ170)),0),AQ51*$BI51),AQ51*$BI51),0)</f>
        <v>0</v>
      </c>
      <c r="CU51" s="314">
        <f>IF($BI51&lt;&gt;"",IF('Capacity summary'!$D$14="Yes",IF(COUNTBLANK('Capacity summary'!$H170:$BG170)&lt;52,IF('Capacity summary'!AR170&lt;&gt;"",IF(LOWER('Capacity summary'!AR170)="x",$BI51*AR51,VALUE('Capacity summary'!AR170)),0),AR51*$BI51),AR51*$BI51),0)</f>
        <v>0</v>
      </c>
      <c r="CV51" s="314">
        <f>IF($BI51&lt;&gt;"",IF('Capacity summary'!$D$14="Yes",IF(COUNTBLANK('Capacity summary'!$H170:$BG170)&lt;52,IF('Capacity summary'!AS170&lt;&gt;"",IF(LOWER('Capacity summary'!AS170)="x",$BI51*AS51,VALUE('Capacity summary'!AS170)),0),AS51*$BI51),AS51*$BI51),0)</f>
        <v>0</v>
      </c>
      <c r="CW51" s="314">
        <f>IF($BI51&lt;&gt;"",IF('Capacity summary'!$D$14="Yes",IF(COUNTBLANK('Capacity summary'!$H170:$BG170)&lt;52,IF('Capacity summary'!AT170&lt;&gt;"",IF(LOWER('Capacity summary'!AT170)="x",$BI51*AT51,VALUE('Capacity summary'!AT170)),0),AT51*$BI51),AT51*$BI51),0)</f>
        <v>0</v>
      </c>
      <c r="CX51" s="314">
        <f>IF($BI51&lt;&gt;"",IF('Capacity summary'!$D$14="Yes",IF(COUNTBLANK('Capacity summary'!$H170:$BG170)&lt;52,IF('Capacity summary'!AU170&lt;&gt;"",IF(LOWER('Capacity summary'!AU170)="x",$BI51*AU51,VALUE('Capacity summary'!AU170)),0),AU51*$BI51),AU51*$BI51),0)</f>
        <v>0</v>
      </c>
      <c r="CY51" s="314">
        <f>IF($BI51&lt;&gt;"",IF('Capacity summary'!$D$14="Yes",IF(COUNTBLANK('Capacity summary'!$H170:$BG170)&lt;52,IF('Capacity summary'!AV170&lt;&gt;"",IF(LOWER('Capacity summary'!AV170)="x",$BI51*AV51,VALUE('Capacity summary'!AV170)),0),AV51*$BI51),AV51*$BI51),0)</f>
        <v>0</v>
      </c>
      <c r="CZ51" s="314">
        <f>IF($BI51&lt;&gt;"",IF('Capacity summary'!$D$14="Yes",IF(COUNTBLANK('Capacity summary'!$H170:$BG170)&lt;52,IF('Capacity summary'!AW170&lt;&gt;"",IF(LOWER('Capacity summary'!AW170)="x",$BI51*AW51,VALUE('Capacity summary'!AW170)),0),AW51*$BI51),AW51*$BI51),0)</f>
        <v>0</v>
      </c>
      <c r="DA51" s="314">
        <f>IF($BI51&lt;&gt;"",IF('Capacity summary'!$D$14="Yes",IF(COUNTBLANK('Capacity summary'!$H170:$BG170)&lt;52,IF('Capacity summary'!AX170&lt;&gt;"",IF(LOWER('Capacity summary'!AX170)="x",$BI51*AX51,VALUE('Capacity summary'!AX170)),0),AX51*$BI51),AX51*$BI51),0)</f>
        <v>0</v>
      </c>
      <c r="DB51" s="314">
        <f>IF($BI51&lt;&gt;"",IF('Capacity summary'!$D$14="Yes",IF(COUNTBLANK('Capacity summary'!$H170:$BG170)&lt;52,IF('Capacity summary'!AY170&lt;&gt;"",IF(LOWER('Capacity summary'!AY170)="x",$BI51*AY51,VALUE('Capacity summary'!AY170)),0),AY51*$BI51),AY51*$BI51),0)</f>
        <v>0</v>
      </c>
      <c r="DC51" s="314">
        <f>IF($BI51&lt;&gt;"",IF('Capacity summary'!$D$14="Yes",IF(COUNTBLANK('Capacity summary'!$H170:$BG170)&lt;52,IF('Capacity summary'!AZ170&lt;&gt;"",IF(LOWER('Capacity summary'!AZ170)="x",$BI51*AZ51,VALUE('Capacity summary'!AZ170)),0),AZ51*$BI51),AZ51*$BI51),0)</f>
        <v>0</v>
      </c>
      <c r="DD51" s="314">
        <f>IF($BI51&lt;&gt;"",IF('Capacity summary'!$D$14="Yes",IF(COUNTBLANK('Capacity summary'!$H170:$BG170)&lt;52,IF('Capacity summary'!BA170&lt;&gt;"",IF(LOWER('Capacity summary'!BA170)="x",$BI51*BA51,VALUE('Capacity summary'!BA170)),0),BA51*$BI51),BA51*$BI51),0)</f>
        <v>0</v>
      </c>
      <c r="DE51" s="314">
        <f>IF($BI51&lt;&gt;"",IF('Capacity summary'!$D$14="Yes",IF(COUNTBLANK('Capacity summary'!$H170:$BG170)&lt;52,IF('Capacity summary'!BB170&lt;&gt;"",IF(LOWER('Capacity summary'!BB170)="x",$BI51*BB51,VALUE('Capacity summary'!BB170)),0),BB51*$BI51),BB51*$BI51),0)</f>
        <v>0</v>
      </c>
      <c r="DF51" s="314">
        <f>IF($BI51&lt;&gt;"",IF('Capacity summary'!$D$14="Yes",IF(COUNTBLANK('Capacity summary'!$H170:$BG170)&lt;52,IF('Capacity summary'!BC170&lt;&gt;"",IF(LOWER('Capacity summary'!BC170)="x",$BI51*BC51,VALUE('Capacity summary'!BC170)),0),BC51*$BI51),BC51*$BI51),0)</f>
        <v>0</v>
      </c>
      <c r="DG51" s="314">
        <f>IF($BI51&lt;&gt;"",IF('Capacity summary'!$D$14="Yes",IF(COUNTBLANK('Capacity summary'!$H170:$BG170)&lt;52,IF('Capacity summary'!BD170&lt;&gt;"",IF(LOWER('Capacity summary'!BD170)="x",$BI51*BD51,VALUE('Capacity summary'!BD170)),0),BD51*$BI51),BD51*$BI51),0)</f>
        <v>0</v>
      </c>
      <c r="DH51" s="314">
        <f>IF($BI51&lt;&gt;"",IF('Capacity summary'!$D$14="Yes",IF(COUNTBLANK('Capacity summary'!$H170:$BG170)&lt;52,IF('Capacity summary'!BE170&lt;&gt;"",IF(LOWER('Capacity summary'!BE170)="x",$BI51*BE51,VALUE('Capacity summary'!BE170)),0),BE51*$BI51),BE51*$BI51),0)</f>
        <v>0</v>
      </c>
      <c r="DI51" s="314">
        <f>IF($BI51&lt;&gt;"",IF('Capacity summary'!$D$14="Yes",IF(COUNTBLANK('Capacity summary'!$H170:$BG170)&lt;52,IF('Capacity summary'!BF170&lt;&gt;"",IF(LOWER('Capacity summary'!BF170)="x",$BI51*BF51,VALUE('Capacity summary'!BF170)),0),BF51*$BI51),BF51*$BI51),0)</f>
        <v>0</v>
      </c>
      <c r="DJ51" s="314">
        <f>IF($BI51&lt;&gt;"",IF('Capacity summary'!$D$14="Yes",IF(COUNTBLANK('Capacity summary'!$H170:$BG170)&lt;52,IF('Capacity summary'!BG170&lt;&gt;"",IF(LOWER('Capacity summary'!BG170)="x",$BI51*BG51,VALUE('Capacity summary'!BG170)),0),BG51*$BI51),BG51*$BI51),0)</f>
        <v>0</v>
      </c>
      <c r="DK51" s="137">
        <f t="shared" si="2"/>
        <v>0</v>
      </c>
      <c r="DL51" s="314" t="str">
        <f>Capacity!H63</f>
        <v/>
      </c>
      <c r="DP51" s="5"/>
    </row>
    <row r="52" spans="2:120" x14ac:dyDescent="0.25">
      <c r="B52" s="67"/>
      <c r="C52" s="67" t="str">
        <f>ROW(A48)&amp;". "&amp;Capacity!B64</f>
        <v xml:space="preserve">48. </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IF(ROW(C48)&lt;=Capacity!$A$16,IF('Capacity summary'!$D$14="No",SUM(H52:BG52),'Capacity summary'!$E171),0)</f>
        <v>0</v>
      </c>
      <c r="BI52" s="5" t="str">
        <f>IF(BH52&gt;0,IF(BH52&lt;Capacity!E64,Capacity!F64,Capacity!H64/'Capacity calculation (hide)'!BH52),"")</f>
        <v/>
      </c>
      <c r="BK52" s="314">
        <f>IF($BI52&lt;&gt;"",IF('Capacity summary'!$D$14="Yes",IF(COUNTBLANK('Capacity summary'!$H171:$BG171)&lt;52,IF('Capacity summary'!H171&lt;&gt;"",IF(LOWER('Capacity summary'!H171)="x",$BI52*H52,VALUE('Capacity summary'!H171)),0),H52*$BI52),H52*$BI52),0)</f>
        <v>0</v>
      </c>
      <c r="BL52" s="314">
        <f>IF($BI52&lt;&gt;"",IF('Capacity summary'!$D$14="Yes",IF(COUNTBLANK('Capacity summary'!$H171:$BG171)&lt;52,IF('Capacity summary'!I171&lt;&gt;"",IF(LOWER('Capacity summary'!I171)="x",$BI52*I52,VALUE('Capacity summary'!I171)),0),I52*$BI52),I52*$BI52),0)</f>
        <v>0</v>
      </c>
      <c r="BM52" s="314">
        <f>IF($BI52&lt;&gt;"",IF('Capacity summary'!$D$14="Yes",IF(COUNTBLANK('Capacity summary'!$H171:$BG171)&lt;52,IF('Capacity summary'!J171&lt;&gt;"",IF(LOWER('Capacity summary'!J171)="x",$BI52*J52,VALUE('Capacity summary'!J171)),0),J52*$BI52),J52*$BI52),0)</f>
        <v>0</v>
      </c>
      <c r="BN52" s="314">
        <f>IF($BI52&lt;&gt;"",IF('Capacity summary'!$D$14="Yes",IF(COUNTBLANK('Capacity summary'!$H171:$BG171)&lt;52,IF('Capacity summary'!K171&lt;&gt;"",IF(LOWER('Capacity summary'!K171)="x",$BI52*K52,VALUE('Capacity summary'!K171)),0),K52*$BI52),K52*$BI52),0)</f>
        <v>0</v>
      </c>
      <c r="BO52" s="314">
        <f>IF($BI52&lt;&gt;"",IF('Capacity summary'!$D$14="Yes",IF(COUNTBLANK('Capacity summary'!$H171:$BG171)&lt;52,IF('Capacity summary'!L171&lt;&gt;"",IF(LOWER('Capacity summary'!L171)="x",$BI52*L52,VALUE('Capacity summary'!L171)),0),L52*$BI52),L52*$BI52),0)</f>
        <v>0</v>
      </c>
      <c r="BP52" s="314">
        <f>IF($BI52&lt;&gt;"",IF('Capacity summary'!$D$14="Yes",IF(COUNTBLANK('Capacity summary'!$H171:$BG171)&lt;52,IF('Capacity summary'!M171&lt;&gt;"",IF(LOWER('Capacity summary'!M171)="x",$BI52*M52,VALUE('Capacity summary'!M171)),0),M52*$BI52),M52*$BI52),0)</f>
        <v>0</v>
      </c>
      <c r="BQ52" s="314">
        <f>IF($BI52&lt;&gt;"",IF('Capacity summary'!$D$14="Yes",IF(COUNTBLANK('Capacity summary'!$H171:$BG171)&lt;52,IF('Capacity summary'!N171&lt;&gt;"",IF(LOWER('Capacity summary'!N171)="x",$BI52*N52,VALUE('Capacity summary'!N171)),0),N52*$BI52),N52*$BI52),0)</f>
        <v>0</v>
      </c>
      <c r="BR52" s="314">
        <f>IF($BI52&lt;&gt;"",IF('Capacity summary'!$D$14="Yes",IF(COUNTBLANK('Capacity summary'!$H171:$BG171)&lt;52,IF('Capacity summary'!O171&lt;&gt;"",IF(LOWER('Capacity summary'!O171)="x",$BI52*O52,VALUE('Capacity summary'!O171)),0),O52*$BI52),O52*$BI52),0)</f>
        <v>0</v>
      </c>
      <c r="BS52" s="314">
        <f>IF($BI52&lt;&gt;"",IF('Capacity summary'!$D$14="Yes",IF(COUNTBLANK('Capacity summary'!$H171:$BG171)&lt;52,IF('Capacity summary'!P171&lt;&gt;"",IF(LOWER('Capacity summary'!P171)="x",$BI52*P52,VALUE('Capacity summary'!P171)),0),P52*$BI52),P52*$BI52),0)</f>
        <v>0</v>
      </c>
      <c r="BT52" s="314">
        <f>IF($BI52&lt;&gt;"",IF('Capacity summary'!$D$14="Yes",IF(COUNTBLANK('Capacity summary'!$H171:$BG171)&lt;52,IF('Capacity summary'!Q171&lt;&gt;"",IF(LOWER('Capacity summary'!Q171)="x",$BI52*Q52,VALUE('Capacity summary'!Q171)),0),Q52*$BI52),Q52*$BI52),0)</f>
        <v>0</v>
      </c>
      <c r="BU52" s="314">
        <f>IF($BI52&lt;&gt;"",IF('Capacity summary'!$D$14="Yes",IF(COUNTBLANK('Capacity summary'!$H171:$BG171)&lt;52,IF('Capacity summary'!R171&lt;&gt;"",IF(LOWER('Capacity summary'!R171)="x",$BI52*R52,VALUE('Capacity summary'!R171)),0),R52*$BI52),R52*$BI52),0)</f>
        <v>0</v>
      </c>
      <c r="BV52" s="314">
        <f>IF($BI52&lt;&gt;"",IF('Capacity summary'!$D$14="Yes",IF(COUNTBLANK('Capacity summary'!$H171:$BG171)&lt;52,IF('Capacity summary'!S171&lt;&gt;"",IF(LOWER('Capacity summary'!S171)="x",$BI52*S52,VALUE('Capacity summary'!S171)),0),S52*$BI52),S52*$BI52),0)</f>
        <v>0</v>
      </c>
      <c r="BW52" s="314">
        <f>IF($BI52&lt;&gt;"",IF('Capacity summary'!$D$14="Yes",IF(COUNTBLANK('Capacity summary'!$H171:$BG171)&lt;52,IF('Capacity summary'!T171&lt;&gt;"",IF(LOWER('Capacity summary'!T171)="x",$BI52*T52,VALUE('Capacity summary'!T171)),0),T52*$BI52),T52*$BI52),0)</f>
        <v>0</v>
      </c>
      <c r="BX52" s="314">
        <f>IF($BI52&lt;&gt;"",IF('Capacity summary'!$D$14="Yes",IF(COUNTBLANK('Capacity summary'!$H171:$BG171)&lt;52,IF('Capacity summary'!U171&lt;&gt;"",IF(LOWER('Capacity summary'!U171)="x",$BI52*U52,VALUE('Capacity summary'!U171)),0),U52*$BI52),U52*$BI52),0)</f>
        <v>0</v>
      </c>
      <c r="BY52" s="314">
        <f>IF($BI52&lt;&gt;"",IF('Capacity summary'!$D$14="Yes",IF(COUNTBLANK('Capacity summary'!$H171:$BG171)&lt;52,IF('Capacity summary'!V171&lt;&gt;"",IF(LOWER('Capacity summary'!V171)="x",$BI52*V52,VALUE('Capacity summary'!V171)),0),V52*$BI52),V52*$BI52),0)</f>
        <v>0</v>
      </c>
      <c r="BZ52" s="314">
        <f>IF($BI52&lt;&gt;"",IF('Capacity summary'!$D$14="Yes",IF(COUNTBLANK('Capacity summary'!$H171:$BG171)&lt;52,IF('Capacity summary'!W171&lt;&gt;"",IF(LOWER('Capacity summary'!W171)="x",$BI52*W52,VALUE('Capacity summary'!W171)),0),W52*$BI52),W52*$BI52),0)</f>
        <v>0</v>
      </c>
      <c r="CA52" s="314">
        <f>IF($BI52&lt;&gt;"",IF('Capacity summary'!$D$14="Yes",IF(COUNTBLANK('Capacity summary'!$H171:$BG171)&lt;52,IF('Capacity summary'!X171&lt;&gt;"",IF(LOWER('Capacity summary'!X171)="x",$BI52*X52,VALUE('Capacity summary'!X171)),0),X52*$BI52),X52*$BI52),0)</f>
        <v>0</v>
      </c>
      <c r="CB52" s="314">
        <f>IF($BI52&lt;&gt;"",IF('Capacity summary'!$D$14="Yes",IF(COUNTBLANK('Capacity summary'!$H171:$BG171)&lt;52,IF('Capacity summary'!Y171&lt;&gt;"",IF(LOWER('Capacity summary'!Y171)="x",$BI52*Y52,VALUE('Capacity summary'!Y171)),0),Y52*$BI52),Y52*$BI52),0)</f>
        <v>0</v>
      </c>
      <c r="CC52" s="314">
        <f>IF($BI52&lt;&gt;"",IF('Capacity summary'!$D$14="Yes",IF(COUNTBLANK('Capacity summary'!$H171:$BG171)&lt;52,IF('Capacity summary'!Z171&lt;&gt;"",IF(LOWER('Capacity summary'!Z171)="x",$BI52*Z52,VALUE('Capacity summary'!Z171)),0),Z52*$BI52),Z52*$BI52),0)</f>
        <v>0</v>
      </c>
      <c r="CD52" s="314">
        <f>IF($BI52&lt;&gt;"",IF('Capacity summary'!$D$14="Yes",IF(COUNTBLANK('Capacity summary'!$H171:$BG171)&lt;52,IF('Capacity summary'!AA171&lt;&gt;"",IF(LOWER('Capacity summary'!AA171)="x",$BI52*AA52,VALUE('Capacity summary'!AA171)),0),AA52*$BI52),AA52*$BI52),0)</f>
        <v>0</v>
      </c>
      <c r="CE52" s="314">
        <f>IF($BI52&lt;&gt;"",IF('Capacity summary'!$D$14="Yes",IF(COUNTBLANK('Capacity summary'!$H171:$BG171)&lt;52,IF('Capacity summary'!AB171&lt;&gt;"",IF(LOWER('Capacity summary'!AB171)="x",$BI52*AB52,VALUE('Capacity summary'!AB171)),0),AB52*$BI52),AB52*$BI52),0)</f>
        <v>0</v>
      </c>
      <c r="CF52" s="314">
        <f>IF($BI52&lt;&gt;"",IF('Capacity summary'!$D$14="Yes",IF(COUNTBLANK('Capacity summary'!$H171:$BG171)&lt;52,IF('Capacity summary'!AC171&lt;&gt;"",IF(LOWER('Capacity summary'!AC171)="x",$BI52*AC52,VALUE('Capacity summary'!AC171)),0),AC52*$BI52),AC52*$BI52),0)</f>
        <v>0</v>
      </c>
      <c r="CG52" s="314">
        <f>IF($BI52&lt;&gt;"",IF('Capacity summary'!$D$14="Yes",IF(COUNTBLANK('Capacity summary'!$H171:$BG171)&lt;52,IF('Capacity summary'!AD171&lt;&gt;"",IF(LOWER('Capacity summary'!AD171)="x",$BI52*AD52,VALUE('Capacity summary'!AD171)),0),AD52*$BI52),AD52*$BI52),0)</f>
        <v>0</v>
      </c>
      <c r="CH52" s="314">
        <f>IF($BI52&lt;&gt;"",IF('Capacity summary'!$D$14="Yes",IF(COUNTBLANK('Capacity summary'!$H171:$BG171)&lt;52,IF('Capacity summary'!AE171&lt;&gt;"",IF(LOWER('Capacity summary'!AE171)="x",$BI52*AE52,VALUE('Capacity summary'!AE171)),0),AE52*$BI52),AE52*$BI52),0)</f>
        <v>0</v>
      </c>
      <c r="CI52" s="314">
        <f>IF($BI52&lt;&gt;"",IF('Capacity summary'!$D$14="Yes",IF(COUNTBLANK('Capacity summary'!$H171:$BG171)&lt;52,IF('Capacity summary'!AF171&lt;&gt;"",IF(LOWER('Capacity summary'!AF171)="x",$BI52*AF52,VALUE('Capacity summary'!AF171)),0),AF52*$BI52),AF52*$BI52),0)</f>
        <v>0</v>
      </c>
      <c r="CJ52" s="314">
        <f>IF($BI52&lt;&gt;"",IF('Capacity summary'!$D$14="Yes",IF(COUNTBLANK('Capacity summary'!$H171:$BG171)&lt;52,IF('Capacity summary'!AG171&lt;&gt;"",IF(LOWER('Capacity summary'!AG171)="x",$BI52*AG52,VALUE('Capacity summary'!AG171)),0),AG52*$BI52),AG52*$BI52),0)</f>
        <v>0</v>
      </c>
      <c r="CK52" s="314">
        <f>IF($BI52&lt;&gt;"",IF('Capacity summary'!$D$14="Yes",IF(COUNTBLANK('Capacity summary'!$H171:$BG171)&lt;52,IF('Capacity summary'!AH171&lt;&gt;"",IF(LOWER('Capacity summary'!AH171)="x",$BI52*AH52,VALUE('Capacity summary'!AH171)),0),AH52*$BI52),AH52*$BI52),0)</f>
        <v>0</v>
      </c>
      <c r="CL52" s="314">
        <f>IF($BI52&lt;&gt;"",IF('Capacity summary'!$D$14="Yes",IF(COUNTBLANK('Capacity summary'!$H171:$BG171)&lt;52,IF('Capacity summary'!AI171&lt;&gt;"",IF(LOWER('Capacity summary'!AI171)="x",$BI52*AI52,VALUE('Capacity summary'!AI171)),0),AI52*$BI52),AI52*$BI52),0)</f>
        <v>0</v>
      </c>
      <c r="CM52" s="314">
        <f>IF($BI52&lt;&gt;"",IF('Capacity summary'!$D$14="Yes",IF(COUNTBLANK('Capacity summary'!$H171:$BG171)&lt;52,IF('Capacity summary'!AJ171&lt;&gt;"",IF(LOWER('Capacity summary'!AJ171)="x",$BI52*AJ52,VALUE('Capacity summary'!AJ171)),0),AJ52*$BI52),AJ52*$BI52),0)</f>
        <v>0</v>
      </c>
      <c r="CN52" s="314">
        <f>IF($BI52&lt;&gt;"",IF('Capacity summary'!$D$14="Yes",IF(COUNTBLANK('Capacity summary'!$H171:$BG171)&lt;52,IF('Capacity summary'!AK171&lt;&gt;"",IF(LOWER('Capacity summary'!AK171)="x",$BI52*AK52,VALUE('Capacity summary'!AK171)),0),AK52*$BI52),AK52*$BI52),0)</f>
        <v>0</v>
      </c>
      <c r="CO52" s="314">
        <f>IF($BI52&lt;&gt;"",IF('Capacity summary'!$D$14="Yes",IF(COUNTBLANK('Capacity summary'!$H171:$BG171)&lt;52,IF('Capacity summary'!AL171&lt;&gt;"",IF(LOWER('Capacity summary'!AL171)="x",$BI52*AL52,VALUE('Capacity summary'!AL171)),0),AL52*$BI52),AL52*$BI52),0)</f>
        <v>0</v>
      </c>
      <c r="CP52" s="314">
        <f>IF($BI52&lt;&gt;"",IF('Capacity summary'!$D$14="Yes",IF(COUNTBLANK('Capacity summary'!$H171:$BG171)&lt;52,IF('Capacity summary'!AM171&lt;&gt;"",IF(LOWER('Capacity summary'!AM171)="x",$BI52*AM52,VALUE('Capacity summary'!AM171)),0),AM52*$BI52),AM52*$BI52),0)</f>
        <v>0</v>
      </c>
      <c r="CQ52" s="314">
        <f>IF($BI52&lt;&gt;"",IF('Capacity summary'!$D$14="Yes",IF(COUNTBLANK('Capacity summary'!$H171:$BG171)&lt;52,IF('Capacity summary'!AN171&lt;&gt;"",IF(LOWER('Capacity summary'!AN171)="x",$BI52*AN52,VALUE('Capacity summary'!AN171)),0),AN52*$BI52),AN52*$BI52),0)</f>
        <v>0</v>
      </c>
      <c r="CR52" s="314">
        <f>IF($BI52&lt;&gt;"",IF('Capacity summary'!$D$14="Yes",IF(COUNTBLANK('Capacity summary'!$H171:$BG171)&lt;52,IF('Capacity summary'!AO171&lt;&gt;"",IF(LOWER('Capacity summary'!AO171)="x",$BI52*AO52,VALUE('Capacity summary'!AO171)),0),AO52*$BI52),AO52*$BI52),0)</f>
        <v>0</v>
      </c>
      <c r="CS52" s="314">
        <f>IF($BI52&lt;&gt;"",IF('Capacity summary'!$D$14="Yes",IF(COUNTBLANK('Capacity summary'!$H171:$BG171)&lt;52,IF('Capacity summary'!AP171&lt;&gt;"",IF(LOWER('Capacity summary'!AP171)="x",$BI52*AP52,VALUE('Capacity summary'!AP171)),0),AP52*$BI52),AP52*$BI52),0)</f>
        <v>0</v>
      </c>
      <c r="CT52" s="314">
        <f>IF($BI52&lt;&gt;"",IF('Capacity summary'!$D$14="Yes",IF(COUNTBLANK('Capacity summary'!$H171:$BG171)&lt;52,IF('Capacity summary'!AQ171&lt;&gt;"",IF(LOWER('Capacity summary'!AQ171)="x",$BI52*AQ52,VALUE('Capacity summary'!AQ171)),0),AQ52*$BI52),AQ52*$BI52),0)</f>
        <v>0</v>
      </c>
      <c r="CU52" s="314">
        <f>IF($BI52&lt;&gt;"",IF('Capacity summary'!$D$14="Yes",IF(COUNTBLANK('Capacity summary'!$H171:$BG171)&lt;52,IF('Capacity summary'!AR171&lt;&gt;"",IF(LOWER('Capacity summary'!AR171)="x",$BI52*AR52,VALUE('Capacity summary'!AR171)),0),AR52*$BI52),AR52*$BI52),0)</f>
        <v>0</v>
      </c>
      <c r="CV52" s="314">
        <f>IF($BI52&lt;&gt;"",IF('Capacity summary'!$D$14="Yes",IF(COUNTBLANK('Capacity summary'!$H171:$BG171)&lt;52,IF('Capacity summary'!AS171&lt;&gt;"",IF(LOWER('Capacity summary'!AS171)="x",$BI52*AS52,VALUE('Capacity summary'!AS171)),0),AS52*$BI52),AS52*$BI52),0)</f>
        <v>0</v>
      </c>
      <c r="CW52" s="314">
        <f>IF($BI52&lt;&gt;"",IF('Capacity summary'!$D$14="Yes",IF(COUNTBLANK('Capacity summary'!$H171:$BG171)&lt;52,IF('Capacity summary'!AT171&lt;&gt;"",IF(LOWER('Capacity summary'!AT171)="x",$BI52*AT52,VALUE('Capacity summary'!AT171)),0),AT52*$BI52),AT52*$BI52),0)</f>
        <v>0</v>
      </c>
      <c r="CX52" s="314">
        <f>IF($BI52&lt;&gt;"",IF('Capacity summary'!$D$14="Yes",IF(COUNTBLANK('Capacity summary'!$H171:$BG171)&lt;52,IF('Capacity summary'!AU171&lt;&gt;"",IF(LOWER('Capacity summary'!AU171)="x",$BI52*AU52,VALUE('Capacity summary'!AU171)),0),AU52*$BI52),AU52*$BI52),0)</f>
        <v>0</v>
      </c>
      <c r="CY52" s="314">
        <f>IF($BI52&lt;&gt;"",IF('Capacity summary'!$D$14="Yes",IF(COUNTBLANK('Capacity summary'!$H171:$BG171)&lt;52,IF('Capacity summary'!AV171&lt;&gt;"",IF(LOWER('Capacity summary'!AV171)="x",$BI52*AV52,VALUE('Capacity summary'!AV171)),0),AV52*$BI52),AV52*$BI52),0)</f>
        <v>0</v>
      </c>
      <c r="CZ52" s="314">
        <f>IF($BI52&lt;&gt;"",IF('Capacity summary'!$D$14="Yes",IF(COUNTBLANK('Capacity summary'!$H171:$BG171)&lt;52,IF('Capacity summary'!AW171&lt;&gt;"",IF(LOWER('Capacity summary'!AW171)="x",$BI52*AW52,VALUE('Capacity summary'!AW171)),0),AW52*$BI52),AW52*$BI52),0)</f>
        <v>0</v>
      </c>
      <c r="DA52" s="314">
        <f>IF($BI52&lt;&gt;"",IF('Capacity summary'!$D$14="Yes",IF(COUNTBLANK('Capacity summary'!$H171:$BG171)&lt;52,IF('Capacity summary'!AX171&lt;&gt;"",IF(LOWER('Capacity summary'!AX171)="x",$BI52*AX52,VALUE('Capacity summary'!AX171)),0),AX52*$BI52),AX52*$BI52),0)</f>
        <v>0</v>
      </c>
      <c r="DB52" s="314">
        <f>IF($BI52&lt;&gt;"",IF('Capacity summary'!$D$14="Yes",IF(COUNTBLANK('Capacity summary'!$H171:$BG171)&lt;52,IF('Capacity summary'!AY171&lt;&gt;"",IF(LOWER('Capacity summary'!AY171)="x",$BI52*AY52,VALUE('Capacity summary'!AY171)),0),AY52*$BI52),AY52*$BI52),0)</f>
        <v>0</v>
      </c>
      <c r="DC52" s="314">
        <f>IF($BI52&lt;&gt;"",IF('Capacity summary'!$D$14="Yes",IF(COUNTBLANK('Capacity summary'!$H171:$BG171)&lt;52,IF('Capacity summary'!AZ171&lt;&gt;"",IF(LOWER('Capacity summary'!AZ171)="x",$BI52*AZ52,VALUE('Capacity summary'!AZ171)),0),AZ52*$BI52),AZ52*$BI52),0)</f>
        <v>0</v>
      </c>
      <c r="DD52" s="314">
        <f>IF($BI52&lt;&gt;"",IF('Capacity summary'!$D$14="Yes",IF(COUNTBLANK('Capacity summary'!$H171:$BG171)&lt;52,IF('Capacity summary'!BA171&lt;&gt;"",IF(LOWER('Capacity summary'!BA171)="x",$BI52*BA52,VALUE('Capacity summary'!BA171)),0),BA52*$BI52),BA52*$BI52),0)</f>
        <v>0</v>
      </c>
      <c r="DE52" s="314">
        <f>IF($BI52&lt;&gt;"",IF('Capacity summary'!$D$14="Yes",IF(COUNTBLANK('Capacity summary'!$H171:$BG171)&lt;52,IF('Capacity summary'!BB171&lt;&gt;"",IF(LOWER('Capacity summary'!BB171)="x",$BI52*BB52,VALUE('Capacity summary'!BB171)),0),BB52*$BI52),BB52*$BI52),0)</f>
        <v>0</v>
      </c>
      <c r="DF52" s="314">
        <f>IF($BI52&lt;&gt;"",IF('Capacity summary'!$D$14="Yes",IF(COUNTBLANK('Capacity summary'!$H171:$BG171)&lt;52,IF('Capacity summary'!BC171&lt;&gt;"",IF(LOWER('Capacity summary'!BC171)="x",$BI52*BC52,VALUE('Capacity summary'!BC171)),0),BC52*$BI52),BC52*$BI52),0)</f>
        <v>0</v>
      </c>
      <c r="DG52" s="314">
        <f>IF($BI52&lt;&gt;"",IF('Capacity summary'!$D$14="Yes",IF(COUNTBLANK('Capacity summary'!$H171:$BG171)&lt;52,IF('Capacity summary'!BD171&lt;&gt;"",IF(LOWER('Capacity summary'!BD171)="x",$BI52*BD52,VALUE('Capacity summary'!BD171)),0),BD52*$BI52),BD52*$BI52),0)</f>
        <v>0</v>
      </c>
      <c r="DH52" s="314">
        <f>IF($BI52&lt;&gt;"",IF('Capacity summary'!$D$14="Yes",IF(COUNTBLANK('Capacity summary'!$H171:$BG171)&lt;52,IF('Capacity summary'!BE171&lt;&gt;"",IF(LOWER('Capacity summary'!BE171)="x",$BI52*BE52,VALUE('Capacity summary'!BE171)),0),BE52*$BI52),BE52*$BI52),0)</f>
        <v>0</v>
      </c>
      <c r="DI52" s="314">
        <f>IF($BI52&lt;&gt;"",IF('Capacity summary'!$D$14="Yes",IF(COUNTBLANK('Capacity summary'!$H171:$BG171)&lt;52,IF('Capacity summary'!BF171&lt;&gt;"",IF(LOWER('Capacity summary'!BF171)="x",$BI52*BF52,VALUE('Capacity summary'!BF171)),0),BF52*$BI52),BF52*$BI52),0)</f>
        <v>0</v>
      </c>
      <c r="DJ52" s="314">
        <f>IF($BI52&lt;&gt;"",IF('Capacity summary'!$D$14="Yes",IF(COUNTBLANK('Capacity summary'!$H171:$BG171)&lt;52,IF('Capacity summary'!BG171&lt;&gt;"",IF(LOWER('Capacity summary'!BG171)="x",$BI52*BG52,VALUE('Capacity summary'!BG171)),0),BG52*$BI52),BG52*$BI52),0)</f>
        <v>0</v>
      </c>
      <c r="DK52" s="137">
        <f t="shared" si="2"/>
        <v>0</v>
      </c>
      <c r="DL52" s="314" t="str">
        <f>Capacity!H64</f>
        <v/>
      </c>
      <c r="DP52" s="5"/>
    </row>
    <row r="53" spans="2:120" x14ac:dyDescent="0.25">
      <c r="B53" s="67"/>
      <c r="C53" s="67" t="str">
        <f>ROW(A49)&amp;". "&amp;Capacity!B65</f>
        <v xml:space="preserve">49. </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IF(ROW(C49)&lt;=Capacity!$A$16,IF('Capacity summary'!$D$14="No",SUM(H53:BG53),'Capacity summary'!$E172),0)</f>
        <v>0</v>
      </c>
      <c r="BI53" s="5" t="str">
        <f>IF(BH53&gt;0,IF(BH53&lt;Capacity!E65,Capacity!F65,Capacity!H65/'Capacity calculation (hide)'!BH53),"")</f>
        <v/>
      </c>
      <c r="BK53" s="314">
        <f>IF($BI53&lt;&gt;"",IF('Capacity summary'!$D$14="Yes",IF(COUNTBLANK('Capacity summary'!$H172:$BG172)&lt;52,IF('Capacity summary'!H172&lt;&gt;"",IF(LOWER('Capacity summary'!H172)="x",$BI53*H53,VALUE('Capacity summary'!H172)),0),H53*$BI53),H53*$BI53),0)</f>
        <v>0</v>
      </c>
      <c r="BL53" s="314">
        <f>IF($BI53&lt;&gt;"",IF('Capacity summary'!$D$14="Yes",IF(COUNTBLANK('Capacity summary'!$H172:$BG172)&lt;52,IF('Capacity summary'!I172&lt;&gt;"",IF(LOWER('Capacity summary'!I172)="x",$BI53*I53,VALUE('Capacity summary'!I172)),0),I53*$BI53),I53*$BI53),0)</f>
        <v>0</v>
      </c>
      <c r="BM53" s="314">
        <f>IF($BI53&lt;&gt;"",IF('Capacity summary'!$D$14="Yes",IF(COUNTBLANK('Capacity summary'!$H172:$BG172)&lt;52,IF('Capacity summary'!J172&lt;&gt;"",IF(LOWER('Capacity summary'!J172)="x",$BI53*J53,VALUE('Capacity summary'!J172)),0),J53*$BI53),J53*$BI53),0)</f>
        <v>0</v>
      </c>
      <c r="BN53" s="314">
        <f>IF($BI53&lt;&gt;"",IF('Capacity summary'!$D$14="Yes",IF(COUNTBLANK('Capacity summary'!$H172:$BG172)&lt;52,IF('Capacity summary'!K172&lt;&gt;"",IF(LOWER('Capacity summary'!K172)="x",$BI53*K53,VALUE('Capacity summary'!K172)),0),K53*$BI53),K53*$BI53),0)</f>
        <v>0</v>
      </c>
      <c r="BO53" s="314">
        <f>IF($BI53&lt;&gt;"",IF('Capacity summary'!$D$14="Yes",IF(COUNTBLANK('Capacity summary'!$H172:$BG172)&lt;52,IF('Capacity summary'!L172&lt;&gt;"",IF(LOWER('Capacity summary'!L172)="x",$BI53*L53,VALUE('Capacity summary'!L172)),0),L53*$BI53),L53*$BI53),0)</f>
        <v>0</v>
      </c>
      <c r="BP53" s="314">
        <f>IF($BI53&lt;&gt;"",IF('Capacity summary'!$D$14="Yes",IF(COUNTBLANK('Capacity summary'!$H172:$BG172)&lt;52,IF('Capacity summary'!M172&lt;&gt;"",IF(LOWER('Capacity summary'!M172)="x",$BI53*M53,VALUE('Capacity summary'!M172)),0),M53*$BI53),M53*$BI53),0)</f>
        <v>0</v>
      </c>
      <c r="BQ53" s="314">
        <f>IF($BI53&lt;&gt;"",IF('Capacity summary'!$D$14="Yes",IF(COUNTBLANK('Capacity summary'!$H172:$BG172)&lt;52,IF('Capacity summary'!N172&lt;&gt;"",IF(LOWER('Capacity summary'!N172)="x",$BI53*N53,VALUE('Capacity summary'!N172)),0),N53*$BI53),N53*$BI53),0)</f>
        <v>0</v>
      </c>
      <c r="BR53" s="314">
        <f>IF($BI53&lt;&gt;"",IF('Capacity summary'!$D$14="Yes",IF(COUNTBLANK('Capacity summary'!$H172:$BG172)&lt;52,IF('Capacity summary'!O172&lt;&gt;"",IF(LOWER('Capacity summary'!O172)="x",$BI53*O53,VALUE('Capacity summary'!O172)),0),O53*$BI53),O53*$BI53),0)</f>
        <v>0</v>
      </c>
      <c r="BS53" s="314">
        <f>IF($BI53&lt;&gt;"",IF('Capacity summary'!$D$14="Yes",IF(COUNTBLANK('Capacity summary'!$H172:$BG172)&lt;52,IF('Capacity summary'!P172&lt;&gt;"",IF(LOWER('Capacity summary'!P172)="x",$BI53*P53,VALUE('Capacity summary'!P172)),0),P53*$BI53),P53*$BI53),0)</f>
        <v>0</v>
      </c>
      <c r="BT53" s="314">
        <f>IF($BI53&lt;&gt;"",IF('Capacity summary'!$D$14="Yes",IF(COUNTBLANK('Capacity summary'!$H172:$BG172)&lt;52,IF('Capacity summary'!Q172&lt;&gt;"",IF(LOWER('Capacity summary'!Q172)="x",$BI53*Q53,VALUE('Capacity summary'!Q172)),0),Q53*$BI53),Q53*$BI53),0)</f>
        <v>0</v>
      </c>
      <c r="BU53" s="314">
        <f>IF($BI53&lt;&gt;"",IF('Capacity summary'!$D$14="Yes",IF(COUNTBLANK('Capacity summary'!$H172:$BG172)&lt;52,IF('Capacity summary'!R172&lt;&gt;"",IF(LOWER('Capacity summary'!R172)="x",$BI53*R53,VALUE('Capacity summary'!R172)),0),R53*$BI53),R53*$BI53),0)</f>
        <v>0</v>
      </c>
      <c r="BV53" s="314">
        <f>IF($BI53&lt;&gt;"",IF('Capacity summary'!$D$14="Yes",IF(COUNTBLANK('Capacity summary'!$H172:$BG172)&lt;52,IF('Capacity summary'!S172&lt;&gt;"",IF(LOWER('Capacity summary'!S172)="x",$BI53*S53,VALUE('Capacity summary'!S172)),0),S53*$BI53),S53*$BI53),0)</f>
        <v>0</v>
      </c>
      <c r="BW53" s="314">
        <f>IF($BI53&lt;&gt;"",IF('Capacity summary'!$D$14="Yes",IF(COUNTBLANK('Capacity summary'!$H172:$BG172)&lt;52,IF('Capacity summary'!T172&lt;&gt;"",IF(LOWER('Capacity summary'!T172)="x",$BI53*T53,VALUE('Capacity summary'!T172)),0),T53*$BI53),T53*$BI53),0)</f>
        <v>0</v>
      </c>
      <c r="BX53" s="314">
        <f>IF($BI53&lt;&gt;"",IF('Capacity summary'!$D$14="Yes",IF(COUNTBLANK('Capacity summary'!$H172:$BG172)&lt;52,IF('Capacity summary'!U172&lt;&gt;"",IF(LOWER('Capacity summary'!U172)="x",$BI53*U53,VALUE('Capacity summary'!U172)),0),U53*$BI53),U53*$BI53),0)</f>
        <v>0</v>
      </c>
      <c r="BY53" s="314">
        <f>IF($BI53&lt;&gt;"",IF('Capacity summary'!$D$14="Yes",IF(COUNTBLANK('Capacity summary'!$H172:$BG172)&lt;52,IF('Capacity summary'!V172&lt;&gt;"",IF(LOWER('Capacity summary'!V172)="x",$BI53*V53,VALUE('Capacity summary'!V172)),0),V53*$BI53),V53*$BI53),0)</f>
        <v>0</v>
      </c>
      <c r="BZ53" s="314">
        <f>IF($BI53&lt;&gt;"",IF('Capacity summary'!$D$14="Yes",IF(COUNTBLANK('Capacity summary'!$H172:$BG172)&lt;52,IF('Capacity summary'!W172&lt;&gt;"",IF(LOWER('Capacity summary'!W172)="x",$BI53*W53,VALUE('Capacity summary'!W172)),0),W53*$BI53),W53*$BI53),0)</f>
        <v>0</v>
      </c>
      <c r="CA53" s="314">
        <f>IF($BI53&lt;&gt;"",IF('Capacity summary'!$D$14="Yes",IF(COUNTBLANK('Capacity summary'!$H172:$BG172)&lt;52,IF('Capacity summary'!X172&lt;&gt;"",IF(LOWER('Capacity summary'!X172)="x",$BI53*X53,VALUE('Capacity summary'!X172)),0),X53*$BI53),X53*$BI53),0)</f>
        <v>0</v>
      </c>
      <c r="CB53" s="314">
        <f>IF($BI53&lt;&gt;"",IF('Capacity summary'!$D$14="Yes",IF(COUNTBLANK('Capacity summary'!$H172:$BG172)&lt;52,IF('Capacity summary'!Y172&lt;&gt;"",IF(LOWER('Capacity summary'!Y172)="x",$BI53*Y53,VALUE('Capacity summary'!Y172)),0),Y53*$BI53),Y53*$BI53),0)</f>
        <v>0</v>
      </c>
      <c r="CC53" s="314">
        <f>IF($BI53&lt;&gt;"",IF('Capacity summary'!$D$14="Yes",IF(COUNTBLANK('Capacity summary'!$H172:$BG172)&lt;52,IF('Capacity summary'!Z172&lt;&gt;"",IF(LOWER('Capacity summary'!Z172)="x",$BI53*Z53,VALUE('Capacity summary'!Z172)),0),Z53*$BI53),Z53*$BI53),0)</f>
        <v>0</v>
      </c>
      <c r="CD53" s="314">
        <f>IF($BI53&lt;&gt;"",IF('Capacity summary'!$D$14="Yes",IF(COUNTBLANK('Capacity summary'!$H172:$BG172)&lt;52,IF('Capacity summary'!AA172&lt;&gt;"",IF(LOWER('Capacity summary'!AA172)="x",$BI53*AA53,VALUE('Capacity summary'!AA172)),0),AA53*$BI53),AA53*$BI53),0)</f>
        <v>0</v>
      </c>
      <c r="CE53" s="314">
        <f>IF($BI53&lt;&gt;"",IF('Capacity summary'!$D$14="Yes",IF(COUNTBLANK('Capacity summary'!$H172:$BG172)&lt;52,IF('Capacity summary'!AB172&lt;&gt;"",IF(LOWER('Capacity summary'!AB172)="x",$BI53*AB53,VALUE('Capacity summary'!AB172)),0),AB53*$BI53),AB53*$BI53),0)</f>
        <v>0</v>
      </c>
      <c r="CF53" s="314">
        <f>IF($BI53&lt;&gt;"",IF('Capacity summary'!$D$14="Yes",IF(COUNTBLANK('Capacity summary'!$H172:$BG172)&lt;52,IF('Capacity summary'!AC172&lt;&gt;"",IF(LOWER('Capacity summary'!AC172)="x",$BI53*AC53,VALUE('Capacity summary'!AC172)),0),AC53*$BI53),AC53*$BI53),0)</f>
        <v>0</v>
      </c>
      <c r="CG53" s="314">
        <f>IF($BI53&lt;&gt;"",IF('Capacity summary'!$D$14="Yes",IF(COUNTBLANK('Capacity summary'!$H172:$BG172)&lt;52,IF('Capacity summary'!AD172&lt;&gt;"",IF(LOWER('Capacity summary'!AD172)="x",$BI53*AD53,VALUE('Capacity summary'!AD172)),0),AD53*$BI53),AD53*$BI53),0)</f>
        <v>0</v>
      </c>
      <c r="CH53" s="314">
        <f>IF($BI53&lt;&gt;"",IF('Capacity summary'!$D$14="Yes",IF(COUNTBLANK('Capacity summary'!$H172:$BG172)&lt;52,IF('Capacity summary'!AE172&lt;&gt;"",IF(LOWER('Capacity summary'!AE172)="x",$BI53*AE53,VALUE('Capacity summary'!AE172)),0),AE53*$BI53),AE53*$BI53),0)</f>
        <v>0</v>
      </c>
      <c r="CI53" s="314">
        <f>IF($BI53&lt;&gt;"",IF('Capacity summary'!$D$14="Yes",IF(COUNTBLANK('Capacity summary'!$H172:$BG172)&lt;52,IF('Capacity summary'!AF172&lt;&gt;"",IF(LOWER('Capacity summary'!AF172)="x",$BI53*AF53,VALUE('Capacity summary'!AF172)),0),AF53*$BI53),AF53*$BI53),0)</f>
        <v>0</v>
      </c>
      <c r="CJ53" s="314">
        <f>IF($BI53&lt;&gt;"",IF('Capacity summary'!$D$14="Yes",IF(COUNTBLANK('Capacity summary'!$H172:$BG172)&lt;52,IF('Capacity summary'!AG172&lt;&gt;"",IF(LOWER('Capacity summary'!AG172)="x",$BI53*AG53,VALUE('Capacity summary'!AG172)),0),AG53*$BI53),AG53*$BI53),0)</f>
        <v>0</v>
      </c>
      <c r="CK53" s="314">
        <f>IF($BI53&lt;&gt;"",IF('Capacity summary'!$D$14="Yes",IF(COUNTBLANK('Capacity summary'!$H172:$BG172)&lt;52,IF('Capacity summary'!AH172&lt;&gt;"",IF(LOWER('Capacity summary'!AH172)="x",$BI53*AH53,VALUE('Capacity summary'!AH172)),0),AH53*$BI53),AH53*$BI53),0)</f>
        <v>0</v>
      </c>
      <c r="CL53" s="314">
        <f>IF($BI53&lt;&gt;"",IF('Capacity summary'!$D$14="Yes",IF(COUNTBLANK('Capacity summary'!$H172:$BG172)&lt;52,IF('Capacity summary'!AI172&lt;&gt;"",IF(LOWER('Capacity summary'!AI172)="x",$BI53*AI53,VALUE('Capacity summary'!AI172)),0),AI53*$BI53),AI53*$BI53),0)</f>
        <v>0</v>
      </c>
      <c r="CM53" s="314">
        <f>IF($BI53&lt;&gt;"",IF('Capacity summary'!$D$14="Yes",IF(COUNTBLANK('Capacity summary'!$H172:$BG172)&lt;52,IF('Capacity summary'!AJ172&lt;&gt;"",IF(LOWER('Capacity summary'!AJ172)="x",$BI53*AJ53,VALUE('Capacity summary'!AJ172)),0),AJ53*$BI53),AJ53*$BI53),0)</f>
        <v>0</v>
      </c>
      <c r="CN53" s="314">
        <f>IF($BI53&lt;&gt;"",IF('Capacity summary'!$D$14="Yes",IF(COUNTBLANK('Capacity summary'!$H172:$BG172)&lt;52,IF('Capacity summary'!AK172&lt;&gt;"",IF(LOWER('Capacity summary'!AK172)="x",$BI53*AK53,VALUE('Capacity summary'!AK172)),0),AK53*$BI53),AK53*$BI53),0)</f>
        <v>0</v>
      </c>
      <c r="CO53" s="314">
        <f>IF($BI53&lt;&gt;"",IF('Capacity summary'!$D$14="Yes",IF(COUNTBLANK('Capacity summary'!$H172:$BG172)&lt;52,IF('Capacity summary'!AL172&lt;&gt;"",IF(LOWER('Capacity summary'!AL172)="x",$BI53*AL53,VALUE('Capacity summary'!AL172)),0),AL53*$BI53),AL53*$BI53),0)</f>
        <v>0</v>
      </c>
      <c r="CP53" s="314">
        <f>IF($BI53&lt;&gt;"",IF('Capacity summary'!$D$14="Yes",IF(COUNTBLANK('Capacity summary'!$H172:$BG172)&lt;52,IF('Capacity summary'!AM172&lt;&gt;"",IF(LOWER('Capacity summary'!AM172)="x",$BI53*AM53,VALUE('Capacity summary'!AM172)),0),AM53*$BI53),AM53*$BI53),0)</f>
        <v>0</v>
      </c>
      <c r="CQ53" s="314">
        <f>IF($BI53&lt;&gt;"",IF('Capacity summary'!$D$14="Yes",IF(COUNTBLANK('Capacity summary'!$H172:$BG172)&lt;52,IF('Capacity summary'!AN172&lt;&gt;"",IF(LOWER('Capacity summary'!AN172)="x",$BI53*AN53,VALUE('Capacity summary'!AN172)),0),AN53*$BI53),AN53*$BI53),0)</f>
        <v>0</v>
      </c>
      <c r="CR53" s="314">
        <f>IF($BI53&lt;&gt;"",IF('Capacity summary'!$D$14="Yes",IF(COUNTBLANK('Capacity summary'!$H172:$BG172)&lt;52,IF('Capacity summary'!AO172&lt;&gt;"",IF(LOWER('Capacity summary'!AO172)="x",$BI53*AO53,VALUE('Capacity summary'!AO172)),0),AO53*$BI53),AO53*$BI53),0)</f>
        <v>0</v>
      </c>
      <c r="CS53" s="314">
        <f>IF($BI53&lt;&gt;"",IF('Capacity summary'!$D$14="Yes",IF(COUNTBLANK('Capacity summary'!$H172:$BG172)&lt;52,IF('Capacity summary'!AP172&lt;&gt;"",IF(LOWER('Capacity summary'!AP172)="x",$BI53*AP53,VALUE('Capacity summary'!AP172)),0),AP53*$BI53),AP53*$BI53),0)</f>
        <v>0</v>
      </c>
      <c r="CT53" s="314">
        <f>IF($BI53&lt;&gt;"",IF('Capacity summary'!$D$14="Yes",IF(COUNTBLANK('Capacity summary'!$H172:$BG172)&lt;52,IF('Capacity summary'!AQ172&lt;&gt;"",IF(LOWER('Capacity summary'!AQ172)="x",$BI53*AQ53,VALUE('Capacity summary'!AQ172)),0),AQ53*$BI53),AQ53*$BI53),0)</f>
        <v>0</v>
      </c>
      <c r="CU53" s="314">
        <f>IF($BI53&lt;&gt;"",IF('Capacity summary'!$D$14="Yes",IF(COUNTBLANK('Capacity summary'!$H172:$BG172)&lt;52,IF('Capacity summary'!AR172&lt;&gt;"",IF(LOWER('Capacity summary'!AR172)="x",$BI53*AR53,VALUE('Capacity summary'!AR172)),0),AR53*$BI53),AR53*$BI53),0)</f>
        <v>0</v>
      </c>
      <c r="CV53" s="314">
        <f>IF($BI53&lt;&gt;"",IF('Capacity summary'!$D$14="Yes",IF(COUNTBLANK('Capacity summary'!$H172:$BG172)&lt;52,IF('Capacity summary'!AS172&lt;&gt;"",IF(LOWER('Capacity summary'!AS172)="x",$BI53*AS53,VALUE('Capacity summary'!AS172)),0),AS53*$BI53),AS53*$BI53),0)</f>
        <v>0</v>
      </c>
      <c r="CW53" s="314">
        <f>IF($BI53&lt;&gt;"",IF('Capacity summary'!$D$14="Yes",IF(COUNTBLANK('Capacity summary'!$H172:$BG172)&lt;52,IF('Capacity summary'!AT172&lt;&gt;"",IF(LOWER('Capacity summary'!AT172)="x",$BI53*AT53,VALUE('Capacity summary'!AT172)),0),AT53*$BI53),AT53*$BI53),0)</f>
        <v>0</v>
      </c>
      <c r="CX53" s="314">
        <f>IF($BI53&lt;&gt;"",IF('Capacity summary'!$D$14="Yes",IF(COUNTBLANK('Capacity summary'!$H172:$BG172)&lt;52,IF('Capacity summary'!AU172&lt;&gt;"",IF(LOWER('Capacity summary'!AU172)="x",$BI53*AU53,VALUE('Capacity summary'!AU172)),0),AU53*$BI53),AU53*$BI53),0)</f>
        <v>0</v>
      </c>
      <c r="CY53" s="314">
        <f>IF($BI53&lt;&gt;"",IF('Capacity summary'!$D$14="Yes",IF(COUNTBLANK('Capacity summary'!$H172:$BG172)&lt;52,IF('Capacity summary'!AV172&lt;&gt;"",IF(LOWER('Capacity summary'!AV172)="x",$BI53*AV53,VALUE('Capacity summary'!AV172)),0),AV53*$BI53),AV53*$BI53),0)</f>
        <v>0</v>
      </c>
      <c r="CZ53" s="314">
        <f>IF($BI53&lt;&gt;"",IF('Capacity summary'!$D$14="Yes",IF(COUNTBLANK('Capacity summary'!$H172:$BG172)&lt;52,IF('Capacity summary'!AW172&lt;&gt;"",IF(LOWER('Capacity summary'!AW172)="x",$BI53*AW53,VALUE('Capacity summary'!AW172)),0),AW53*$BI53),AW53*$BI53),0)</f>
        <v>0</v>
      </c>
      <c r="DA53" s="314">
        <f>IF($BI53&lt;&gt;"",IF('Capacity summary'!$D$14="Yes",IF(COUNTBLANK('Capacity summary'!$H172:$BG172)&lt;52,IF('Capacity summary'!AX172&lt;&gt;"",IF(LOWER('Capacity summary'!AX172)="x",$BI53*AX53,VALUE('Capacity summary'!AX172)),0),AX53*$BI53),AX53*$BI53),0)</f>
        <v>0</v>
      </c>
      <c r="DB53" s="314">
        <f>IF($BI53&lt;&gt;"",IF('Capacity summary'!$D$14="Yes",IF(COUNTBLANK('Capacity summary'!$H172:$BG172)&lt;52,IF('Capacity summary'!AY172&lt;&gt;"",IF(LOWER('Capacity summary'!AY172)="x",$BI53*AY53,VALUE('Capacity summary'!AY172)),0),AY53*$BI53),AY53*$BI53),0)</f>
        <v>0</v>
      </c>
      <c r="DC53" s="314">
        <f>IF($BI53&lt;&gt;"",IF('Capacity summary'!$D$14="Yes",IF(COUNTBLANK('Capacity summary'!$H172:$BG172)&lt;52,IF('Capacity summary'!AZ172&lt;&gt;"",IF(LOWER('Capacity summary'!AZ172)="x",$BI53*AZ53,VALUE('Capacity summary'!AZ172)),0),AZ53*$BI53),AZ53*$BI53),0)</f>
        <v>0</v>
      </c>
      <c r="DD53" s="314">
        <f>IF($BI53&lt;&gt;"",IF('Capacity summary'!$D$14="Yes",IF(COUNTBLANK('Capacity summary'!$H172:$BG172)&lt;52,IF('Capacity summary'!BA172&lt;&gt;"",IF(LOWER('Capacity summary'!BA172)="x",$BI53*BA53,VALUE('Capacity summary'!BA172)),0),BA53*$BI53),BA53*$BI53),0)</f>
        <v>0</v>
      </c>
      <c r="DE53" s="314">
        <f>IF($BI53&lt;&gt;"",IF('Capacity summary'!$D$14="Yes",IF(COUNTBLANK('Capacity summary'!$H172:$BG172)&lt;52,IF('Capacity summary'!BB172&lt;&gt;"",IF(LOWER('Capacity summary'!BB172)="x",$BI53*BB53,VALUE('Capacity summary'!BB172)),0),BB53*$BI53),BB53*$BI53),0)</f>
        <v>0</v>
      </c>
      <c r="DF53" s="314">
        <f>IF($BI53&lt;&gt;"",IF('Capacity summary'!$D$14="Yes",IF(COUNTBLANK('Capacity summary'!$H172:$BG172)&lt;52,IF('Capacity summary'!BC172&lt;&gt;"",IF(LOWER('Capacity summary'!BC172)="x",$BI53*BC53,VALUE('Capacity summary'!BC172)),0),BC53*$BI53),BC53*$BI53),0)</f>
        <v>0</v>
      </c>
      <c r="DG53" s="314">
        <f>IF($BI53&lt;&gt;"",IF('Capacity summary'!$D$14="Yes",IF(COUNTBLANK('Capacity summary'!$H172:$BG172)&lt;52,IF('Capacity summary'!BD172&lt;&gt;"",IF(LOWER('Capacity summary'!BD172)="x",$BI53*BD53,VALUE('Capacity summary'!BD172)),0),BD53*$BI53),BD53*$BI53),0)</f>
        <v>0</v>
      </c>
      <c r="DH53" s="314">
        <f>IF($BI53&lt;&gt;"",IF('Capacity summary'!$D$14="Yes",IF(COUNTBLANK('Capacity summary'!$H172:$BG172)&lt;52,IF('Capacity summary'!BE172&lt;&gt;"",IF(LOWER('Capacity summary'!BE172)="x",$BI53*BE53,VALUE('Capacity summary'!BE172)),0),BE53*$BI53),BE53*$BI53),0)</f>
        <v>0</v>
      </c>
      <c r="DI53" s="314">
        <f>IF($BI53&lt;&gt;"",IF('Capacity summary'!$D$14="Yes",IF(COUNTBLANK('Capacity summary'!$H172:$BG172)&lt;52,IF('Capacity summary'!BF172&lt;&gt;"",IF(LOWER('Capacity summary'!BF172)="x",$BI53*BF53,VALUE('Capacity summary'!BF172)),0),BF53*$BI53),BF53*$BI53),0)</f>
        <v>0</v>
      </c>
      <c r="DJ53" s="314">
        <f>IF($BI53&lt;&gt;"",IF('Capacity summary'!$D$14="Yes",IF(COUNTBLANK('Capacity summary'!$H172:$BG172)&lt;52,IF('Capacity summary'!BG172&lt;&gt;"",IF(LOWER('Capacity summary'!BG172)="x",$BI53*BG53,VALUE('Capacity summary'!BG172)),0),BG53*$BI53),BG53*$BI53),0)</f>
        <v>0</v>
      </c>
      <c r="DK53" s="137">
        <f t="shared" si="2"/>
        <v>0</v>
      </c>
      <c r="DL53" s="314" t="str">
        <f>Capacity!H65</f>
        <v/>
      </c>
      <c r="DP53" s="5"/>
    </row>
    <row r="54" spans="2:120" x14ac:dyDescent="0.25">
      <c r="B54" s="67"/>
      <c r="C54" s="67" t="str">
        <f>ROW(A50)&amp;". "&amp;Capacity!B66</f>
        <v xml:space="preserve">50. </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IF(ROW(C50)&lt;=Capacity!$A$16,IF('Capacity summary'!$D$14="No",SUM(H54:BG54),'Capacity summary'!$E173),0)</f>
        <v>0</v>
      </c>
      <c r="BI54" s="5" t="str">
        <f>IF(BH54&gt;0,IF(BH54&lt;Capacity!E66,Capacity!F66,Capacity!H66/'Capacity calculation (hide)'!BH54),"")</f>
        <v/>
      </c>
      <c r="BK54" s="314">
        <f>IF($BI54&lt;&gt;"",IF('Capacity summary'!$D$14="Yes",IF(COUNTBLANK('Capacity summary'!$H173:$BG173)&lt;52,IF('Capacity summary'!H173&lt;&gt;"",IF(LOWER('Capacity summary'!H173)="x",$BI54*H54,VALUE('Capacity summary'!H173)),0),H54*$BI54),H54*$BI54),0)</f>
        <v>0</v>
      </c>
      <c r="BL54" s="314">
        <f>IF($BI54&lt;&gt;"",IF('Capacity summary'!$D$14="Yes",IF(COUNTBLANK('Capacity summary'!$H173:$BG173)&lt;52,IF('Capacity summary'!I173&lt;&gt;"",IF(LOWER('Capacity summary'!I173)="x",$BI54*I54,VALUE('Capacity summary'!I173)),0),I54*$BI54),I54*$BI54),0)</f>
        <v>0</v>
      </c>
      <c r="BM54" s="314">
        <f>IF($BI54&lt;&gt;"",IF('Capacity summary'!$D$14="Yes",IF(COUNTBLANK('Capacity summary'!$H173:$BG173)&lt;52,IF('Capacity summary'!J173&lt;&gt;"",IF(LOWER('Capacity summary'!J173)="x",$BI54*J54,VALUE('Capacity summary'!J173)),0),J54*$BI54),J54*$BI54),0)</f>
        <v>0</v>
      </c>
      <c r="BN54" s="314">
        <f>IF($BI54&lt;&gt;"",IF('Capacity summary'!$D$14="Yes",IF(COUNTBLANK('Capacity summary'!$H173:$BG173)&lt;52,IF('Capacity summary'!K173&lt;&gt;"",IF(LOWER('Capacity summary'!K173)="x",$BI54*K54,VALUE('Capacity summary'!K173)),0),K54*$BI54),K54*$BI54),0)</f>
        <v>0</v>
      </c>
      <c r="BO54" s="314">
        <f>IF($BI54&lt;&gt;"",IF('Capacity summary'!$D$14="Yes",IF(COUNTBLANK('Capacity summary'!$H173:$BG173)&lt;52,IF('Capacity summary'!L173&lt;&gt;"",IF(LOWER('Capacity summary'!L173)="x",$BI54*L54,VALUE('Capacity summary'!L173)),0),L54*$BI54),L54*$BI54),0)</f>
        <v>0</v>
      </c>
      <c r="BP54" s="314">
        <f>IF($BI54&lt;&gt;"",IF('Capacity summary'!$D$14="Yes",IF(COUNTBLANK('Capacity summary'!$H173:$BG173)&lt;52,IF('Capacity summary'!M173&lt;&gt;"",IF(LOWER('Capacity summary'!M173)="x",$BI54*M54,VALUE('Capacity summary'!M173)),0),M54*$BI54),M54*$BI54),0)</f>
        <v>0</v>
      </c>
      <c r="BQ54" s="314">
        <f>IF($BI54&lt;&gt;"",IF('Capacity summary'!$D$14="Yes",IF(COUNTBLANK('Capacity summary'!$H173:$BG173)&lt;52,IF('Capacity summary'!N173&lt;&gt;"",IF(LOWER('Capacity summary'!N173)="x",$BI54*N54,VALUE('Capacity summary'!N173)),0),N54*$BI54),N54*$BI54),0)</f>
        <v>0</v>
      </c>
      <c r="BR54" s="314">
        <f>IF($BI54&lt;&gt;"",IF('Capacity summary'!$D$14="Yes",IF(COUNTBLANK('Capacity summary'!$H173:$BG173)&lt;52,IF('Capacity summary'!O173&lt;&gt;"",IF(LOWER('Capacity summary'!O173)="x",$BI54*O54,VALUE('Capacity summary'!O173)),0),O54*$BI54),O54*$BI54),0)</f>
        <v>0</v>
      </c>
      <c r="BS54" s="314">
        <f>IF($BI54&lt;&gt;"",IF('Capacity summary'!$D$14="Yes",IF(COUNTBLANK('Capacity summary'!$H173:$BG173)&lt;52,IF('Capacity summary'!P173&lt;&gt;"",IF(LOWER('Capacity summary'!P173)="x",$BI54*P54,VALUE('Capacity summary'!P173)),0),P54*$BI54),P54*$BI54),0)</f>
        <v>0</v>
      </c>
      <c r="BT54" s="314">
        <f>IF($BI54&lt;&gt;"",IF('Capacity summary'!$D$14="Yes",IF(COUNTBLANK('Capacity summary'!$H173:$BG173)&lt;52,IF('Capacity summary'!Q173&lt;&gt;"",IF(LOWER('Capacity summary'!Q173)="x",$BI54*Q54,VALUE('Capacity summary'!Q173)),0),Q54*$BI54),Q54*$BI54),0)</f>
        <v>0</v>
      </c>
      <c r="BU54" s="314">
        <f>IF($BI54&lt;&gt;"",IF('Capacity summary'!$D$14="Yes",IF(COUNTBLANK('Capacity summary'!$H173:$BG173)&lt;52,IF('Capacity summary'!R173&lt;&gt;"",IF(LOWER('Capacity summary'!R173)="x",$BI54*R54,VALUE('Capacity summary'!R173)),0),R54*$BI54),R54*$BI54),0)</f>
        <v>0</v>
      </c>
      <c r="BV54" s="314">
        <f>IF($BI54&lt;&gt;"",IF('Capacity summary'!$D$14="Yes",IF(COUNTBLANK('Capacity summary'!$H173:$BG173)&lt;52,IF('Capacity summary'!S173&lt;&gt;"",IF(LOWER('Capacity summary'!S173)="x",$BI54*S54,VALUE('Capacity summary'!S173)),0),S54*$BI54),S54*$BI54),0)</f>
        <v>0</v>
      </c>
      <c r="BW54" s="314">
        <f>IF($BI54&lt;&gt;"",IF('Capacity summary'!$D$14="Yes",IF(COUNTBLANK('Capacity summary'!$H173:$BG173)&lt;52,IF('Capacity summary'!T173&lt;&gt;"",IF(LOWER('Capacity summary'!T173)="x",$BI54*T54,VALUE('Capacity summary'!T173)),0),T54*$BI54),T54*$BI54),0)</f>
        <v>0</v>
      </c>
      <c r="BX54" s="314">
        <f>IF($BI54&lt;&gt;"",IF('Capacity summary'!$D$14="Yes",IF(COUNTBLANK('Capacity summary'!$H173:$BG173)&lt;52,IF('Capacity summary'!U173&lt;&gt;"",IF(LOWER('Capacity summary'!U173)="x",$BI54*U54,VALUE('Capacity summary'!U173)),0),U54*$BI54),U54*$BI54),0)</f>
        <v>0</v>
      </c>
      <c r="BY54" s="314">
        <f>IF($BI54&lt;&gt;"",IF('Capacity summary'!$D$14="Yes",IF(COUNTBLANK('Capacity summary'!$H173:$BG173)&lt;52,IF('Capacity summary'!V173&lt;&gt;"",IF(LOWER('Capacity summary'!V173)="x",$BI54*V54,VALUE('Capacity summary'!V173)),0),V54*$BI54),V54*$BI54),0)</f>
        <v>0</v>
      </c>
      <c r="BZ54" s="314">
        <f>IF($BI54&lt;&gt;"",IF('Capacity summary'!$D$14="Yes",IF(COUNTBLANK('Capacity summary'!$H173:$BG173)&lt;52,IF('Capacity summary'!W173&lt;&gt;"",IF(LOWER('Capacity summary'!W173)="x",$BI54*W54,VALUE('Capacity summary'!W173)),0),W54*$BI54),W54*$BI54),0)</f>
        <v>0</v>
      </c>
      <c r="CA54" s="314">
        <f>IF($BI54&lt;&gt;"",IF('Capacity summary'!$D$14="Yes",IF(COUNTBLANK('Capacity summary'!$H173:$BG173)&lt;52,IF('Capacity summary'!X173&lt;&gt;"",IF(LOWER('Capacity summary'!X173)="x",$BI54*X54,VALUE('Capacity summary'!X173)),0),X54*$BI54),X54*$BI54),0)</f>
        <v>0</v>
      </c>
      <c r="CB54" s="314">
        <f>IF($BI54&lt;&gt;"",IF('Capacity summary'!$D$14="Yes",IF(COUNTBLANK('Capacity summary'!$H173:$BG173)&lt;52,IF('Capacity summary'!Y173&lt;&gt;"",IF(LOWER('Capacity summary'!Y173)="x",$BI54*Y54,VALUE('Capacity summary'!Y173)),0),Y54*$BI54),Y54*$BI54),0)</f>
        <v>0</v>
      </c>
      <c r="CC54" s="314">
        <f>IF($BI54&lt;&gt;"",IF('Capacity summary'!$D$14="Yes",IF(COUNTBLANK('Capacity summary'!$H173:$BG173)&lt;52,IF('Capacity summary'!Z173&lt;&gt;"",IF(LOWER('Capacity summary'!Z173)="x",$BI54*Z54,VALUE('Capacity summary'!Z173)),0),Z54*$BI54),Z54*$BI54),0)</f>
        <v>0</v>
      </c>
      <c r="CD54" s="314">
        <f>IF($BI54&lt;&gt;"",IF('Capacity summary'!$D$14="Yes",IF(COUNTBLANK('Capacity summary'!$H173:$BG173)&lt;52,IF('Capacity summary'!AA173&lt;&gt;"",IF(LOWER('Capacity summary'!AA173)="x",$BI54*AA54,VALUE('Capacity summary'!AA173)),0),AA54*$BI54),AA54*$BI54),0)</f>
        <v>0</v>
      </c>
      <c r="CE54" s="314">
        <f>IF($BI54&lt;&gt;"",IF('Capacity summary'!$D$14="Yes",IF(COUNTBLANK('Capacity summary'!$H173:$BG173)&lt;52,IF('Capacity summary'!AB173&lt;&gt;"",IF(LOWER('Capacity summary'!AB173)="x",$BI54*AB54,VALUE('Capacity summary'!AB173)),0),AB54*$BI54),AB54*$BI54),0)</f>
        <v>0</v>
      </c>
      <c r="CF54" s="314">
        <f>IF($BI54&lt;&gt;"",IF('Capacity summary'!$D$14="Yes",IF(COUNTBLANK('Capacity summary'!$H173:$BG173)&lt;52,IF('Capacity summary'!AC173&lt;&gt;"",IF(LOWER('Capacity summary'!AC173)="x",$BI54*AC54,VALUE('Capacity summary'!AC173)),0),AC54*$BI54),AC54*$BI54),0)</f>
        <v>0</v>
      </c>
      <c r="CG54" s="314">
        <f>IF($BI54&lt;&gt;"",IF('Capacity summary'!$D$14="Yes",IF(COUNTBLANK('Capacity summary'!$H173:$BG173)&lt;52,IF('Capacity summary'!AD173&lt;&gt;"",IF(LOWER('Capacity summary'!AD173)="x",$BI54*AD54,VALUE('Capacity summary'!AD173)),0),AD54*$BI54),AD54*$BI54),0)</f>
        <v>0</v>
      </c>
      <c r="CH54" s="314">
        <f>IF($BI54&lt;&gt;"",IF('Capacity summary'!$D$14="Yes",IF(COUNTBLANK('Capacity summary'!$H173:$BG173)&lt;52,IF('Capacity summary'!AE173&lt;&gt;"",IF(LOWER('Capacity summary'!AE173)="x",$BI54*AE54,VALUE('Capacity summary'!AE173)),0),AE54*$BI54),AE54*$BI54),0)</f>
        <v>0</v>
      </c>
      <c r="CI54" s="314">
        <f>IF($BI54&lt;&gt;"",IF('Capacity summary'!$D$14="Yes",IF(COUNTBLANK('Capacity summary'!$H173:$BG173)&lt;52,IF('Capacity summary'!AF173&lt;&gt;"",IF(LOWER('Capacity summary'!AF173)="x",$BI54*AF54,VALUE('Capacity summary'!AF173)),0),AF54*$BI54),AF54*$BI54),0)</f>
        <v>0</v>
      </c>
      <c r="CJ54" s="314">
        <f>IF($BI54&lt;&gt;"",IF('Capacity summary'!$D$14="Yes",IF(COUNTBLANK('Capacity summary'!$H173:$BG173)&lt;52,IF('Capacity summary'!AG173&lt;&gt;"",IF(LOWER('Capacity summary'!AG173)="x",$BI54*AG54,VALUE('Capacity summary'!AG173)),0),AG54*$BI54),AG54*$BI54),0)</f>
        <v>0</v>
      </c>
      <c r="CK54" s="314">
        <f>IF($BI54&lt;&gt;"",IF('Capacity summary'!$D$14="Yes",IF(COUNTBLANK('Capacity summary'!$H173:$BG173)&lt;52,IF('Capacity summary'!AH173&lt;&gt;"",IF(LOWER('Capacity summary'!AH173)="x",$BI54*AH54,VALUE('Capacity summary'!AH173)),0),AH54*$BI54),AH54*$BI54),0)</f>
        <v>0</v>
      </c>
      <c r="CL54" s="314">
        <f>IF($BI54&lt;&gt;"",IF('Capacity summary'!$D$14="Yes",IF(COUNTBLANK('Capacity summary'!$H173:$BG173)&lt;52,IF('Capacity summary'!AI173&lt;&gt;"",IF(LOWER('Capacity summary'!AI173)="x",$BI54*AI54,VALUE('Capacity summary'!AI173)),0),AI54*$BI54),AI54*$BI54),0)</f>
        <v>0</v>
      </c>
      <c r="CM54" s="314">
        <f>IF($BI54&lt;&gt;"",IF('Capacity summary'!$D$14="Yes",IF(COUNTBLANK('Capacity summary'!$H173:$BG173)&lt;52,IF('Capacity summary'!AJ173&lt;&gt;"",IF(LOWER('Capacity summary'!AJ173)="x",$BI54*AJ54,VALUE('Capacity summary'!AJ173)),0),AJ54*$BI54),AJ54*$BI54),0)</f>
        <v>0</v>
      </c>
      <c r="CN54" s="314">
        <f>IF($BI54&lt;&gt;"",IF('Capacity summary'!$D$14="Yes",IF(COUNTBLANK('Capacity summary'!$H173:$BG173)&lt;52,IF('Capacity summary'!AK173&lt;&gt;"",IF(LOWER('Capacity summary'!AK173)="x",$BI54*AK54,VALUE('Capacity summary'!AK173)),0),AK54*$BI54),AK54*$BI54),0)</f>
        <v>0</v>
      </c>
      <c r="CO54" s="314">
        <f>IF($BI54&lt;&gt;"",IF('Capacity summary'!$D$14="Yes",IF(COUNTBLANK('Capacity summary'!$H173:$BG173)&lt;52,IF('Capacity summary'!AL173&lt;&gt;"",IF(LOWER('Capacity summary'!AL173)="x",$BI54*AL54,VALUE('Capacity summary'!AL173)),0),AL54*$BI54),AL54*$BI54),0)</f>
        <v>0</v>
      </c>
      <c r="CP54" s="314">
        <f>IF($BI54&lt;&gt;"",IF('Capacity summary'!$D$14="Yes",IF(COUNTBLANK('Capacity summary'!$H173:$BG173)&lt;52,IF('Capacity summary'!AM173&lt;&gt;"",IF(LOWER('Capacity summary'!AM173)="x",$BI54*AM54,VALUE('Capacity summary'!AM173)),0),AM54*$BI54),AM54*$BI54),0)</f>
        <v>0</v>
      </c>
      <c r="CQ54" s="314">
        <f>IF($BI54&lt;&gt;"",IF('Capacity summary'!$D$14="Yes",IF(COUNTBLANK('Capacity summary'!$H173:$BG173)&lt;52,IF('Capacity summary'!AN173&lt;&gt;"",IF(LOWER('Capacity summary'!AN173)="x",$BI54*AN54,VALUE('Capacity summary'!AN173)),0),AN54*$BI54),AN54*$BI54),0)</f>
        <v>0</v>
      </c>
      <c r="CR54" s="314">
        <f>IF($BI54&lt;&gt;"",IF('Capacity summary'!$D$14="Yes",IF(COUNTBLANK('Capacity summary'!$H173:$BG173)&lt;52,IF('Capacity summary'!AO173&lt;&gt;"",IF(LOWER('Capacity summary'!AO173)="x",$BI54*AO54,VALUE('Capacity summary'!AO173)),0),AO54*$BI54),AO54*$BI54),0)</f>
        <v>0</v>
      </c>
      <c r="CS54" s="314">
        <f>IF($BI54&lt;&gt;"",IF('Capacity summary'!$D$14="Yes",IF(COUNTBLANK('Capacity summary'!$H173:$BG173)&lt;52,IF('Capacity summary'!AP173&lt;&gt;"",IF(LOWER('Capacity summary'!AP173)="x",$BI54*AP54,VALUE('Capacity summary'!AP173)),0),AP54*$BI54),AP54*$BI54),0)</f>
        <v>0</v>
      </c>
      <c r="CT54" s="314">
        <f>IF($BI54&lt;&gt;"",IF('Capacity summary'!$D$14="Yes",IF(COUNTBLANK('Capacity summary'!$H173:$BG173)&lt;52,IF('Capacity summary'!AQ173&lt;&gt;"",IF(LOWER('Capacity summary'!AQ173)="x",$BI54*AQ54,VALUE('Capacity summary'!AQ173)),0),AQ54*$BI54),AQ54*$BI54),0)</f>
        <v>0</v>
      </c>
      <c r="CU54" s="314">
        <f>IF($BI54&lt;&gt;"",IF('Capacity summary'!$D$14="Yes",IF(COUNTBLANK('Capacity summary'!$H173:$BG173)&lt;52,IF('Capacity summary'!AR173&lt;&gt;"",IF(LOWER('Capacity summary'!AR173)="x",$BI54*AR54,VALUE('Capacity summary'!AR173)),0),AR54*$BI54),AR54*$BI54),0)</f>
        <v>0</v>
      </c>
      <c r="CV54" s="314">
        <f>IF($BI54&lt;&gt;"",IF('Capacity summary'!$D$14="Yes",IF(COUNTBLANK('Capacity summary'!$H173:$BG173)&lt;52,IF('Capacity summary'!AS173&lt;&gt;"",IF(LOWER('Capacity summary'!AS173)="x",$BI54*AS54,VALUE('Capacity summary'!AS173)),0),AS54*$BI54),AS54*$BI54),0)</f>
        <v>0</v>
      </c>
      <c r="CW54" s="314">
        <f>IF($BI54&lt;&gt;"",IF('Capacity summary'!$D$14="Yes",IF(COUNTBLANK('Capacity summary'!$H173:$BG173)&lt;52,IF('Capacity summary'!AT173&lt;&gt;"",IF(LOWER('Capacity summary'!AT173)="x",$BI54*AT54,VALUE('Capacity summary'!AT173)),0),AT54*$BI54),AT54*$BI54),0)</f>
        <v>0</v>
      </c>
      <c r="CX54" s="314">
        <f>IF($BI54&lt;&gt;"",IF('Capacity summary'!$D$14="Yes",IF(COUNTBLANK('Capacity summary'!$H173:$BG173)&lt;52,IF('Capacity summary'!AU173&lt;&gt;"",IF(LOWER('Capacity summary'!AU173)="x",$BI54*AU54,VALUE('Capacity summary'!AU173)),0),AU54*$BI54),AU54*$BI54),0)</f>
        <v>0</v>
      </c>
      <c r="CY54" s="314">
        <f>IF($BI54&lt;&gt;"",IF('Capacity summary'!$D$14="Yes",IF(COUNTBLANK('Capacity summary'!$H173:$BG173)&lt;52,IF('Capacity summary'!AV173&lt;&gt;"",IF(LOWER('Capacity summary'!AV173)="x",$BI54*AV54,VALUE('Capacity summary'!AV173)),0),AV54*$BI54),AV54*$BI54),0)</f>
        <v>0</v>
      </c>
      <c r="CZ54" s="314">
        <f>IF($BI54&lt;&gt;"",IF('Capacity summary'!$D$14="Yes",IF(COUNTBLANK('Capacity summary'!$H173:$BG173)&lt;52,IF('Capacity summary'!AW173&lt;&gt;"",IF(LOWER('Capacity summary'!AW173)="x",$BI54*AW54,VALUE('Capacity summary'!AW173)),0),AW54*$BI54),AW54*$BI54),0)</f>
        <v>0</v>
      </c>
      <c r="DA54" s="314">
        <f>IF($BI54&lt;&gt;"",IF('Capacity summary'!$D$14="Yes",IF(COUNTBLANK('Capacity summary'!$H173:$BG173)&lt;52,IF('Capacity summary'!AX173&lt;&gt;"",IF(LOWER('Capacity summary'!AX173)="x",$BI54*AX54,VALUE('Capacity summary'!AX173)),0),AX54*$BI54),AX54*$BI54),0)</f>
        <v>0</v>
      </c>
      <c r="DB54" s="314">
        <f>IF($BI54&lt;&gt;"",IF('Capacity summary'!$D$14="Yes",IF(COUNTBLANK('Capacity summary'!$H173:$BG173)&lt;52,IF('Capacity summary'!AY173&lt;&gt;"",IF(LOWER('Capacity summary'!AY173)="x",$BI54*AY54,VALUE('Capacity summary'!AY173)),0),AY54*$BI54),AY54*$BI54),0)</f>
        <v>0</v>
      </c>
      <c r="DC54" s="314">
        <f>IF($BI54&lt;&gt;"",IF('Capacity summary'!$D$14="Yes",IF(COUNTBLANK('Capacity summary'!$H173:$BG173)&lt;52,IF('Capacity summary'!AZ173&lt;&gt;"",IF(LOWER('Capacity summary'!AZ173)="x",$BI54*AZ54,VALUE('Capacity summary'!AZ173)),0),AZ54*$BI54),AZ54*$BI54),0)</f>
        <v>0</v>
      </c>
      <c r="DD54" s="314">
        <f>IF($BI54&lt;&gt;"",IF('Capacity summary'!$D$14="Yes",IF(COUNTBLANK('Capacity summary'!$H173:$BG173)&lt;52,IF('Capacity summary'!BA173&lt;&gt;"",IF(LOWER('Capacity summary'!BA173)="x",$BI54*BA54,VALUE('Capacity summary'!BA173)),0),BA54*$BI54),BA54*$BI54),0)</f>
        <v>0</v>
      </c>
      <c r="DE54" s="314">
        <f>IF($BI54&lt;&gt;"",IF('Capacity summary'!$D$14="Yes",IF(COUNTBLANK('Capacity summary'!$H173:$BG173)&lt;52,IF('Capacity summary'!BB173&lt;&gt;"",IF(LOWER('Capacity summary'!BB173)="x",$BI54*BB54,VALUE('Capacity summary'!BB173)),0),BB54*$BI54),BB54*$BI54),0)</f>
        <v>0</v>
      </c>
      <c r="DF54" s="314">
        <f>IF($BI54&lt;&gt;"",IF('Capacity summary'!$D$14="Yes",IF(COUNTBLANK('Capacity summary'!$H173:$BG173)&lt;52,IF('Capacity summary'!BC173&lt;&gt;"",IF(LOWER('Capacity summary'!BC173)="x",$BI54*BC54,VALUE('Capacity summary'!BC173)),0),BC54*$BI54),BC54*$BI54),0)</f>
        <v>0</v>
      </c>
      <c r="DG54" s="314">
        <f>IF($BI54&lt;&gt;"",IF('Capacity summary'!$D$14="Yes",IF(COUNTBLANK('Capacity summary'!$H173:$BG173)&lt;52,IF('Capacity summary'!BD173&lt;&gt;"",IF(LOWER('Capacity summary'!BD173)="x",$BI54*BD54,VALUE('Capacity summary'!BD173)),0),BD54*$BI54),BD54*$BI54),0)</f>
        <v>0</v>
      </c>
      <c r="DH54" s="314">
        <f>IF($BI54&lt;&gt;"",IF('Capacity summary'!$D$14="Yes",IF(COUNTBLANK('Capacity summary'!$H173:$BG173)&lt;52,IF('Capacity summary'!BE173&lt;&gt;"",IF(LOWER('Capacity summary'!BE173)="x",$BI54*BE54,VALUE('Capacity summary'!BE173)),0),BE54*$BI54),BE54*$BI54),0)</f>
        <v>0</v>
      </c>
      <c r="DI54" s="314">
        <f>IF($BI54&lt;&gt;"",IF('Capacity summary'!$D$14="Yes",IF(COUNTBLANK('Capacity summary'!$H173:$BG173)&lt;52,IF('Capacity summary'!BF173&lt;&gt;"",IF(LOWER('Capacity summary'!BF173)="x",$BI54*BF54,VALUE('Capacity summary'!BF173)),0),BF54*$BI54),BF54*$BI54),0)</f>
        <v>0</v>
      </c>
      <c r="DJ54" s="314">
        <f>IF($BI54&lt;&gt;"",IF('Capacity summary'!$D$14="Yes",IF(COUNTBLANK('Capacity summary'!$H173:$BG173)&lt;52,IF('Capacity summary'!BG173&lt;&gt;"",IF(LOWER('Capacity summary'!BG173)="x",$BI54*BG54,VALUE('Capacity summary'!BG173)),0),BG54*$BI54),BG54*$BI54),0)</f>
        <v>0</v>
      </c>
      <c r="DK54" s="137">
        <f t="shared" si="2"/>
        <v>0</v>
      </c>
      <c r="DL54" s="314" t="str">
        <f>Capacity!H66</f>
        <v/>
      </c>
      <c r="DP54" s="5"/>
    </row>
    <row r="55" spans="2:120" x14ac:dyDescent="0.25">
      <c r="B55" s="67"/>
      <c r="C55" s="67" t="str">
        <f>ROW(A51)&amp;". "&amp;Capacity!B67</f>
        <v xml:space="preserve">51. </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IF(ROW(C51)&lt;=Capacity!$A$16,IF('Capacity summary'!$D$14="No",SUM(H55:BG55),'Capacity summary'!$E174),0)</f>
        <v>0</v>
      </c>
      <c r="BI55" s="5" t="str">
        <f>IF(BH55&gt;0,IF(BH55&lt;Capacity!E67,Capacity!F67,Capacity!H67/'Capacity calculation (hide)'!BH55),"")</f>
        <v/>
      </c>
      <c r="BK55" s="314">
        <f>IF($BI55&lt;&gt;"",IF('Capacity summary'!$D$14="Yes",IF(COUNTBLANK('Capacity summary'!$H174:$BG174)&lt;52,IF('Capacity summary'!H174&lt;&gt;"",IF(LOWER('Capacity summary'!H174)="x",$BI55*H55,VALUE('Capacity summary'!H174)),0),H55*$BI55),H55*$BI55),0)</f>
        <v>0</v>
      </c>
      <c r="BL55" s="314">
        <f>IF($BI55&lt;&gt;"",IF('Capacity summary'!$D$14="Yes",IF(COUNTBLANK('Capacity summary'!$H174:$BG174)&lt;52,IF('Capacity summary'!I174&lt;&gt;"",IF(LOWER('Capacity summary'!I174)="x",$BI55*I55,VALUE('Capacity summary'!I174)),0),I55*$BI55),I55*$BI55),0)</f>
        <v>0</v>
      </c>
      <c r="BM55" s="314">
        <f>IF($BI55&lt;&gt;"",IF('Capacity summary'!$D$14="Yes",IF(COUNTBLANK('Capacity summary'!$H174:$BG174)&lt;52,IF('Capacity summary'!J174&lt;&gt;"",IF(LOWER('Capacity summary'!J174)="x",$BI55*J55,VALUE('Capacity summary'!J174)),0),J55*$BI55),J55*$BI55),0)</f>
        <v>0</v>
      </c>
      <c r="BN55" s="314">
        <f>IF($BI55&lt;&gt;"",IF('Capacity summary'!$D$14="Yes",IF(COUNTBLANK('Capacity summary'!$H174:$BG174)&lt;52,IF('Capacity summary'!K174&lt;&gt;"",IF(LOWER('Capacity summary'!K174)="x",$BI55*K55,VALUE('Capacity summary'!K174)),0),K55*$BI55),K55*$BI55),0)</f>
        <v>0</v>
      </c>
      <c r="BO55" s="314">
        <f>IF($BI55&lt;&gt;"",IF('Capacity summary'!$D$14="Yes",IF(COUNTBLANK('Capacity summary'!$H174:$BG174)&lt;52,IF('Capacity summary'!L174&lt;&gt;"",IF(LOWER('Capacity summary'!L174)="x",$BI55*L55,VALUE('Capacity summary'!L174)),0),L55*$BI55),L55*$BI55),0)</f>
        <v>0</v>
      </c>
      <c r="BP55" s="314">
        <f>IF($BI55&lt;&gt;"",IF('Capacity summary'!$D$14="Yes",IF(COUNTBLANK('Capacity summary'!$H174:$BG174)&lt;52,IF('Capacity summary'!M174&lt;&gt;"",IF(LOWER('Capacity summary'!M174)="x",$BI55*M55,VALUE('Capacity summary'!M174)),0),M55*$BI55),M55*$BI55),0)</f>
        <v>0</v>
      </c>
      <c r="BQ55" s="314">
        <f>IF($BI55&lt;&gt;"",IF('Capacity summary'!$D$14="Yes",IF(COUNTBLANK('Capacity summary'!$H174:$BG174)&lt;52,IF('Capacity summary'!N174&lt;&gt;"",IF(LOWER('Capacity summary'!N174)="x",$BI55*N55,VALUE('Capacity summary'!N174)),0),N55*$BI55),N55*$BI55),0)</f>
        <v>0</v>
      </c>
      <c r="BR55" s="314">
        <f>IF($BI55&lt;&gt;"",IF('Capacity summary'!$D$14="Yes",IF(COUNTBLANK('Capacity summary'!$H174:$BG174)&lt;52,IF('Capacity summary'!O174&lt;&gt;"",IF(LOWER('Capacity summary'!O174)="x",$BI55*O55,VALUE('Capacity summary'!O174)),0),O55*$BI55),O55*$BI55),0)</f>
        <v>0</v>
      </c>
      <c r="BS55" s="314">
        <f>IF($BI55&lt;&gt;"",IF('Capacity summary'!$D$14="Yes",IF(COUNTBLANK('Capacity summary'!$H174:$BG174)&lt;52,IF('Capacity summary'!P174&lt;&gt;"",IF(LOWER('Capacity summary'!P174)="x",$BI55*P55,VALUE('Capacity summary'!P174)),0),P55*$BI55),P55*$BI55),0)</f>
        <v>0</v>
      </c>
      <c r="BT55" s="314">
        <f>IF($BI55&lt;&gt;"",IF('Capacity summary'!$D$14="Yes",IF(COUNTBLANK('Capacity summary'!$H174:$BG174)&lt;52,IF('Capacity summary'!Q174&lt;&gt;"",IF(LOWER('Capacity summary'!Q174)="x",$BI55*Q55,VALUE('Capacity summary'!Q174)),0),Q55*$BI55),Q55*$BI55),0)</f>
        <v>0</v>
      </c>
      <c r="BU55" s="314">
        <f>IF($BI55&lt;&gt;"",IF('Capacity summary'!$D$14="Yes",IF(COUNTBLANK('Capacity summary'!$H174:$BG174)&lt;52,IF('Capacity summary'!R174&lt;&gt;"",IF(LOWER('Capacity summary'!R174)="x",$BI55*R55,VALUE('Capacity summary'!R174)),0),R55*$BI55),R55*$BI55),0)</f>
        <v>0</v>
      </c>
      <c r="BV55" s="314">
        <f>IF($BI55&lt;&gt;"",IF('Capacity summary'!$D$14="Yes",IF(COUNTBLANK('Capacity summary'!$H174:$BG174)&lt;52,IF('Capacity summary'!S174&lt;&gt;"",IF(LOWER('Capacity summary'!S174)="x",$BI55*S55,VALUE('Capacity summary'!S174)),0),S55*$BI55),S55*$BI55),0)</f>
        <v>0</v>
      </c>
      <c r="BW55" s="314">
        <f>IF($BI55&lt;&gt;"",IF('Capacity summary'!$D$14="Yes",IF(COUNTBLANK('Capacity summary'!$H174:$BG174)&lt;52,IF('Capacity summary'!T174&lt;&gt;"",IF(LOWER('Capacity summary'!T174)="x",$BI55*T55,VALUE('Capacity summary'!T174)),0),T55*$BI55),T55*$BI55),0)</f>
        <v>0</v>
      </c>
      <c r="BX55" s="314">
        <f>IF($BI55&lt;&gt;"",IF('Capacity summary'!$D$14="Yes",IF(COUNTBLANK('Capacity summary'!$H174:$BG174)&lt;52,IF('Capacity summary'!U174&lt;&gt;"",IF(LOWER('Capacity summary'!U174)="x",$BI55*U55,VALUE('Capacity summary'!U174)),0),U55*$BI55),U55*$BI55),0)</f>
        <v>0</v>
      </c>
      <c r="BY55" s="314">
        <f>IF($BI55&lt;&gt;"",IF('Capacity summary'!$D$14="Yes",IF(COUNTBLANK('Capacity summary'!$H174:$BG174)&lt;52,IF('Capacity summary'!V174&lt;&gt;"",IF(LOWER('Capacity summary'!V174)="x",$BI55*V55,VALUE('Capacity summary'!V174)),0),V55*$BI55),V55*$BI55),0)</f>
        <v>0</v>
      </c>
      <c r="BZ55" s="314">
        <f>IF($BI55&lt;&gt;"",IF('Capacity summary'!$D$14="Yes",IF(COUNTBLANK('Capacity summary'!$H174:$BG174)&lt;52,IF('Capacity summary'!W174&lt;&gt;"",IF(LOWER('Capacity summary'!W174)="x",$BI55*W55,VALUE('Capacity summary'!W174)),0),W55*$BI55),W55*$BI55),0)</f>
        <v>0</v>
      </c>
      <c r="CA55" s="314">
        <f>IF($BI55&lt;&gt;"",IF('Capacity summary'!$D$14="Yes",IF(COUNTBLANK('Capacity summary'!$H174:$BG174)&lt;52,IF('Capacity summary'!X174&lt;&gt;"",IF(LOWER('Capacity summary'!X174)="x",$BI55*X55,VALUE('Capacity summary'!X174)),0),X55*$BI55),X55*$BI55),0)</f>
        <v>0</v>
      </c>
      <c r="CB55" s="314">
        <f>IF($BI55&lt;&gt;"",IF('Capacity summary'!$D$14="Yes",IF(COUNTBLANK('Capacity summary'!$H174:$BG174)&lt;52,IF('Capacity summary'!Y174&lt;&gt;"",IF(LOWER('Capacity summary'!Y174)="x",$BI55*Y55,VALUE('Capacity summary'!Y174)),0),Y55*$BI55),Y55*$BI55),0)</f>
        <v>0</v>
      </c>
      <c r="CC55" s="314">
        <f>IF($BI55&lt;&gt;"",IF('Capacity summary'!$D$14="Yes",IF(COUNTBLANK('Capacity summary'!$H174:$BG174)&lt;52,IF('Capacity summary'!Z174&lt;&gt;"",IF(LOWER('Capacity summary'!Z174)="x",$BI55*Z55,VALUE('Capacity summary'!Z174)),0),Z55*$BI55),Z55*$BI55),0)</f>
        <v>0</v>
      </c>
      <c r="CD55" s="314">
        <f>IF($BI55&lt;&gt;"",IF('Capacity summary'!$D$14="Yes",IF(COUNTBLANK('Capacity summary'!$H174:$BG174)&lt;52,IF('Capacity summary'!AA174&lt;&gt;"",IF(LOWER('Capacity summary'!AA174)="x",$BI55*AA55,VALUE('Capacity summary'!AA174)),0),AA55*$BI55),AA55*$BI55),0)</f>
        <v>0</v>
      </c>
      <c r="CE55" s="314">
        <f>IF($BI55&lt;&gt;"",IF('Capacity summary'!$D$14="Yes",IF(COUNTBLANK('Capacity summary'!$H174:$BG174)&lt;52,IF('Capacity summary'!AB174&lt;&gt;"",IF(LOWER('Capacity summary'!AB174)="x",$BI55*AB55,VALUE('Capacity summary'!AB174)),0),AB55*$BI55),AB55*$BI55),0)</f>
        <v>0</v>
      </c>
      <c r="CF55" s="314">
        <f>IF($BI55&lt;&gt;"",IF('Capacity summary'!$D$14="Yes",IF(COUNTBLANK('Capacity summary'!$H174:$BG174)&lt;52,IF('Capacity summary'!AC174&lt;&gt;"",IF(LOWER('Capacity summary'!AC174)="x",$BI55*AC55,VALUE('Capacity summary'!AC174)),0),AC55*$BI55),AC55*$BI55),0)</f>
        <v>0</v>
      </c>
      <c r="CG55" s="314">
        <f>IF($BI55&lt;&gt;"",IF('Capacity summary'!$D$14="Yes",IF(COUNTBLANK('Capacity summary'!$H174:$BG174)&lt;52,IF('Capacity summary'!AD174&lt;&gt;"",IF(LOWER('Capacity summary'!AD174)="x",$BI55*AD55,VALUE('Capacity summary'!AD174)),0),AD55*$BI55),AD55*$BI55),0)</f>
        <v>0</v>
      </c>
      <c r="CH55" s="314">
        <f>IF($BI55&lt;&gt;"",IF('Capacity summary'!$D$14="Yes",IF(COUNTBLANK('Capacity summary'!$H174:$BG174)&lt;52,IF('Capacity summary'!AE174&lt;&gt;"",IF(LOWER('Capacity summary'!AE174)="x",$BI55*AE55,VALUE('Capacity summary'!AE174)),0),AE55*$BI55),AE55*$BI55),0)</f>
        <v>0</v>
      </c>
      <c r="CI55" s="314">
        <f>IF($BI55&lt;&gt;"",IF('Capacity summary'!$D$14="Yes",IF(COUNTBLANK('Capacity summary'!$H174:$BG174)&lt;52,IF('Capacity summary'!AF174&lt;&gt;"",IF(LOWER('Capacity summary'!AF174)="x",$BI55*AF55,VALUE('Capacity summary'!AF174)),0),AF55*$BI55),AF55*$BI55),0)</f>
        <v>0</v>
      </c>
      <c r="CJ55" s="314">
        <f>IF($BI55&lt;&gt;"",IF('Capacity summary'!$D$14="Yes",IF(COUNTBLANK('Capacity summary'!$H174:$BG174)&lt;52,IF('Capacity summary'!AG174&lt;&gt;"",IF(LOWER('Capacity summary'!AG174)="x",$BI55*AG55,VALUE('Capacity summary'!AG174)),0),AG55*$BI55),AG55*$BI55),0)</f>
        <v>0</v>
      </c>
      <c r="CK55" s="314">
        <f>IF($BI55&lt;&gt;"",IF('Capacity summary'!$D$14="Yes",IF(COUNTBLANK('Capacity summary'!$H174:$BG174)&lt;52,IF('Capacity summary'!AH174&lt;&gt;"",IF(LOWER('Capacity summary'!AH174)="x",$BI55*AH55,VALUE('Capacity summary'!AH174)),0),AH55*$BI55),AH55*$BI55),0)</f>
        <v>0</v>
      </c>
      <c r="CL55" s="314">
        <f>IF($BI55&lt;&gt;"",IF('Capacity summary'!$D$14="Yes",IF(COUNTBLANK('Capacity summary'!$H174:$BG174)&lt;52,IF('Capacity summary'!AI174&lt;&gt;"",IF(LOWER('Capacity summary'!AI174)="x",$BI55*AI55,VALUE('Capacity summary'!AI174)),0),AI55*$BI55),AI55*$BI55),0)</f>
        <v>0</v>
      </c>
      <c r="CM55" s="314">
        <f>IF($BI55&lt;&gt;"",IF('Capacity summary'!$D$14="Yes",IF(COUNTBLANK('Capacity summary'!$H174:$BG174)&lt;52,IF('Capacity summary'!AJ174&lt;&gt;"",IF(LOWER('Capacity summary'!AJ174)="x",$BI55*AJ55,VALUE('Capacity summary'!AJ174)),0),AJ55*$BI55),AJ55*$BI55),0)</f>
        <v>0</v>
      </c>
      <c r="CN55" s="314">
        <f>IF($BI55&lt;&gt;"",IF('Capacity summary'!$D$14="Yes",IF(COUNTBLANK('Capacity summary'!$H174:$BG174)&lt;52,IF('Capacity summary'!AK174&lt;&gt;"",IF(LOWER('Capacity summary'!AK174)="x",$BI55*AK55,VALUE('Capacity summary'!AK174)),0),AK55*$BI55),AK55*$BI55),0)</f>
        <v>0</v>
      </c>
      <c r="CO55" s="314">
        <f>IF($BI55&lt;&gt;"",IF('Capacity summary'!$D$14="Yes",IF(COUNTBLANK('Capacity summary'!$H174:$BG174)&lt;52,IF('Capacity summary'!AL174&lt;&gt;"",IF(LOWER('Capacity summary'!AL174)="x",$BI55*AL55,VALUE('Capacity summary'!AL174)),0),AL55*$BI55),AL55*$BI55),0)</f>
        <v>0</v>
      </c>
      <c r="CP55" s="314">
        <f>IF($BI55&lt;&gt;"",IF('Capacity summary'!$D$14="Yes",IF(COUNTBLANK('Capacity summary'!$H174:$BG174)&lt;52,IF('Capacity summary'!AM174&lt;&gt;"",IF(LOWER('Capacity summary'!AM174)="x",$BI55*AM55,VALUE('Capacity summary'!AM174)),0),AM55*$BI55),AM55*$BI55),0)</f>
        <v>0</v>
      </c>
      <c r="CQ55" s="314">
        <f>IF($BI55&lt;&gt;"",IF('Capacity summary'!$D$14="Yes",IF(COUNTBLANK('Capacity summary'!$H174:$BG174)&lt;52,IF('Capacity summary'!AN174&lt;&gt;"",IF(LOWER('Capacity summary'!AN174)="x",$BI55*AN55,VALUE('Capacity summary'!AN174)),0),AN55*$BI55),AN55*$BI55),0)</f>
        <v>0</v>
      </c>
      <c r="CR55" s="314">
        <f>IF($BI55&lt;&gt;"",IF('Capacity summary'!$D$14="Yes",IF(COUNTBLANK('Capacity summary'!$H174:$BG174)&lt;52,IF('Capacity summary'!AO174&lt;&gt;"",IF(LOWER('Capacity summary'!AO174)="x",$BI55*AO55,VALUE('Capacity summary'!AO174)),0),AO55*$BI55),AO55*$BI55),0)</f>
        <v>0</v>
      </c>
      <c r="CS55" s="314">
        <f>IF($BI55&lt;&gt;"",IF('Capacity summary'!$D$14="Yes",IF(COUNTBLANK('Capacity summary'!$H174:$BG174)&lt;52,IF('Capacity summary'!AP174&lt;&gt;"",IF(LOWER('Capacity summary'!AP174)="x",$BI55*AP55,VALUE('Capacity summary'!AP174)),0),AP55*$BI55),AP55*$BI55),0)</f>
        <v>0</v>
      </c>
      <c r="CT55" s="314">
        <f>IF($BI55&lt;&gt;"",IF('Capacity summary'!$D$14="Yes",IF(COUNTBLANK('Capacity summary'!$H174:$BG174)&lt;52,IF('Capacity summary'!AQ174&lt;&gt;"",IF(LOWER('Capacity summary'!AQ174)="x",$BI55*AQ55,VALUE('Capacity summary'!AQ174)),0),AQ55*$BI55),AQ55*$BI55),0)</f>
        <v>0</v>
      </c>
      <c r="CU55" s="314">
        <f>IF($BI55&lt;&gt;"",IF('Capacity summary'!$D$14="Yes",IF(COUNTBLANK('Capacity summary'!$H174:$BG174)&lt;52,IF('Capacity summary'!AR174&lt;&gt;"",IF(LOWER('Capacity summary'!AR174)="x",$BI55*AR55,VALUE('Capacity summary'!AR174)),0),AR55*$BI55),AR55*$BI55),0)</f>
        <v>0</v>
      </c>
      <c r="CV55" s="314">
        <f>IF($BI55&lt;&gt;"",IF('Capacity summary'!$D$14="Yes",IF(COUNTBLANK('Capacity summary'!$H174:$BG174)&lt;52,IF('Capacity summary'!AS174&lt;&gt;"",IF(LOWER('Capacity summary'!AS174)="x",$BI55*AS55,VALUE('Capacity summary'!AS174)),0),AS55*$BI55),AS55*$BI55),0)</f>
        <v>0</v>
      </c>
      <c r="CW55" s="314">
        <f>IF($BI55&lt;&gt;"",IF('Capacity summary'!$D$14="Yes",IF(COUNTBLANK('Capacity summary'!$H174:$BG174)&lt;52,IF('Capacity summary'!AT174&lt;&gt;"",IF(LOWER('Capacity summary'!AT174)="x",$BI55*AT55,VALUE('Capacity summary'!AT174)),0),AT55*$BI55),AT55*$BI55),0)</f>
        <v>0</v>
      </c>
      <c r="CX55" s="314">
        <f>IF($BI55&lt;&gt;"",IF('Capacity summary'!$D$14="Yes",IF(COUNTBLANK('Capacity summary'!$H174:$BG174)&lt;52,IF('Capacity summary'!AU174&lt;&gt;"",IF(LOWER('Capacity summary'!AU174)="x",$BI55*AU55,VALUE('Capacity summary'!AU174)),0),AU55*$BI55),AU55*$BI55),0)</f>
        <v>0</v>
      </c>
      <c r="CY55" s="314">
        <f>IF($BI55&lt;&gt;"",IF('Capacity summary'!$D$14="Yes",IF(COUNTBLANK('Capacity summary'!$H174:$BG174)&lt;52,IF('Capacity summary'!AV174&lt;&gt;"",IF(LOWER('Capacity summary'!AV174)="x",$BI55*AV55,VALUE('Capacity summary'!AV174)),0),AV55*$BI55),AV55*$BI55),0)</f>
        <v>0</v>
      </c>
      <c r="CZ55" s="314">
        <f>IF($BI55&lt;&gt;"",IF('Capacity summary'!$D$14="Yes",IF(COUNTBLANK('Capacity summary'!$H174:$BG174)&lt;52,IF('Capacity summary'!AW174&lt;&gt;"",IF(LOWER('Capacity summary'!AW174)="x",$BI55*AW55,VALUE('Capacity summary'!AW174)),0),AW55*$BI55),AW55*$BI55),0)</f>
        <v>0</v>
      </c>
      <c r="DA55" s="314">
        <f>IF($BI55&lt;&gt;"",IF('Capacity summary'!$D$14="Yes",IF(COUNTBLANK('Capacity summary'!$H174:$BG174)&lt;52,IF('Capacity summary'!AX174&lt;&gt;"",IF(LOWER('Capacity summary'!AX174)="x",$BI55*AX55,VALUE('Capacity summary'!AX174)),0),AX55*$BI55),AX55*$BI55),0)</f>
        <v>0</v>
      </c>
      <c r="DB55" s="314">
        <f>IF($BI55&lt;&gt;"",IF('Capacity summary'!$D$14="Yes",IF(COUNTBLANK('Capacity summary'!$H174:$BG174)&lt;52,IF('Capacity summary'!AY174&lt;&gt;"",IF(LOWER('Capacity summary'!AY174)="x",$BI55*AY55,VALUE('Capacity summary'!AY174)),0),AY55*$BI55),AY55*$BI55),0)</f>
        <v>0</v>
      </c>
      <c r="DC55" s="314">
        <f>IF($BI55&lt;&gt;"",IF('Capacity summary'!$D$14="Yes",IF(COUNTBLANK('Capacity summary'!$H174:$BG174)&lt;52,IF('Capacity summary'!AZ174&lt;&gt;"",IF(LOWER('Capacity summary'!AZ174)="x",$BI55*AZ55,VALUE('Capacity summary'!AZ174)),0),AZ55*$BI55),AZ55*$BI55),0)</f>
        <v>0</v>
      </c>
      <c r="DD55" s="314">
        <f>IF($BI55&lt;&gt;"",IF('Capacity summary'!$D$14="Yes",IF(COUNTBLANK('Capacity summary'!$H174:$BG174)&lt;52,IF('Capacity summary'!BA174&lt;&gt;"",IF(LOWER('Capacity summary'!BA174)="x",$BI55*BA55,VALUE('Capacity summary'!BA174)),0),BA55*$BI55),BA55*$BI55),0)</f>
        <v>0</v>
      </c>
      <c r="DE55" s="314">
        <f>IF($BI55&lt;&gt;"",IF('Capacity summary'!$D$14="Yes",IF(COUNTBLANK('Capacity summary'!$H174:$BG174)&lt;52,IF('Capacity summary'!BB174&lt;&gt;"",IF(LOWER('Capacity summary'!BB174)="x",$BI55*BB55,VALUE('Capacity summary'!BB174)),0),BB55*$BI55),BB55*$BI55),0)</f>
        <v>0</v>
      </c>
      <c r="DF55" s="314">
        <f>IF($BI55&lt;&gt;"",IF('Capacity summary'!$D$14="Yes",IF(COUNTBLANK('Capacity summary'!$H174:$BG174)&lt;52,IF('Capacity summary'!BC174&lt;&gt;"",IF(LOWER('Capacity summary'!BC174)="x",$BI55*BC55,VALUE('Capacity summary'!BC174)),0),BC55*$BI55),BC55*$BI55),0)</f>
        <v>0</v>
      </c>
      <c r="DG55" s="314">
        <f>IF($BI55&lt;&gt;"",IF('Capacity summary'!$D$14="Yes",IF(COUNTBLANK('Capacity summary'!$H174:$BG174)&lt;52,IF('Capacity summary'!BD174&lt;&gt;"",IF(LOWER('Capacity summary'!BD174)="x",$BI55*BD55,VALUE('Capacity summary'!BD174)),0),BD55*$BI55),BD55*$BI55),0)</f>
        <v>0</v>
      </c>
      <c r="DH55" s="314">
        <f>IF($BI55&lt;&gt;"",IF('Capacity summary'!$D$14="Yes",IF(COUNTBLANK('Capacity summary'!$H174:$BG174)&lt;52,IF('Capacity summary'!BE174&lt;&gt;"",IF(LOWER('Capacity summary'!BE174)="x",$BI55*BE55,VALUE('Capacity summary'!BE174)),0),BE55*$BI55),BE55*$BI55),0)</f>
        <v>0</v>
      </c>
      <c r="DI55" s="314">
        <f>IF($BI55&lt;&gt;"",IF('Capacity summary'!$D$14="Yes",IF(COUNTBLANK('Capacity summary'!$H174:$BG174)&lt;52,IF('Capacity summary'!BF174&lt;&gt;"",IF(LOWER('Capacity summary'!BF174)="x",$BI55*BF55,VALUE('Capacity summary'!BF174)),0),BF55*$BI55),BF55*$BI55),0)</f>
        <v>0</v>
      </c>
      <c r="DJ55" s="314">
        <f>IF($BI55&lt;&gt;"",IF('Capacity summary'!$D$14="Yes",IF(COUNTBLANK('Capacity summary'!$H174:$BG174)&lt;52,IF('Capacity summary'!BG174&lt;&gt;"",IF(LOWER('Capacity summary'!BG174)="x",$BI55*BG55,VALUE('Capacity summary'!BG174)),0),BG55*$BI55),BG55*$BI55),0)</f>
        <v>0</v>
      </c>
      <c r="DK55" s="137">
        <f t="shared" si="2"/>
        <v>0</v>
      </c>
      <c r="DL55" s="314" t="str">
        <f>Capacity!H67</f>
        <v/>
      </c>
      <c r="DP55" s="5"/>
    </row>
    <row r="56" spans="2:120" x14ac:dyDescent="0.25">
      <c r="B56" s="67"/>
      <c r="C56" s="67" t="str">
        <f>ROW(A52)&amp;". "&amp;Capacity!B68</f>
        <v xml:space="preserve">52. </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IF(ROW(C52)&lt;=Capacity!$A$16,IF('Capacity summary'!$D$14="No",SUM(H56:BG56),'Capacity summary'!$E175),0)</f>
        <v>0</v>
      </c>
      <c r="BI56" s="5" t="str">
        <f>IF(BH56&gt;0,IF(BH56&lt;Capacity!E68,Capacity!F68,Capacity!H68/'Capacity calculation (hide)'!BH56),"")</f>
        <v/>
      </c>
      <c r="BK56" s="314">
        <f>IF($BI56&lt;&gt;"",IF('Capacity summary'!$D$14="Yes",IF(COUNTBLANK('Capacity summary'!$H175:$BG175)&lt;52,IF('Capacity summary'!H175&lt;&gt;"",IF(LOWER('Capacity summary'!H175)="x",$BI56*H56,VALUE('Capacity summary'!H175)),0),H56*$BI56),H56*$BI56),0)</f>
        <v>0</v>
      </c>
      <c r="BL56" s="314">
        <f>IF($BI56&lt;&gt;"",IF('Capacity summary'!$D$14="Yes",IF(COUNTBLANK('Capacity summary'!$H175:$BG175)&lt;52,IF('Capacity summary'!I175&lt;&gt;"",IF(LOWER('Capacity summary'!I175)="x",$BI56*I56,VALUE('Capacity summary'!I175)),0),I56*$BI56),I56*$BI56),0)</f>
        <v>0</v>
      </c>
      <c r="BM56" s="314">
        <f>IF($BI56&lt;&gt;"",IF('Capacity summary'!$D$14="Yes",IF(COUNTBLANK('Capacity summary'!$H175:$BG175)&lt;52,IF('Capacity summary'!J175&lt;&gt;"",IF(LOWER('Capacity summary'!J175)="x",$BI56*J56,VALUE('Capacity summary'!J175)),0),J56*$BI56),J56*$BI56),0)</f>
        <v>0</v>
      </c>
      <c r="BN56" s="314">
        <f>IF($BI56&lt;&gt;"",IF('Capacity summary'!$D$14="Yes",IF(COUNTBLANK('Capacity summary'!$H175:$BG175)&lt;52,IF('Capacity summary'!K175&lt;&gt;"",IF(LOWER('Capacity summary'!K175)="x",$BI56*K56,VALUE('Capacity summary'!K175)),0),K56*$BI56),K56*$BI56),0)</f>
        <v>0</v>
      </c>
      <c r="BO56" s="314">
        <f>IF($BI56&lt;&gt;"",IF('Capacity summary'!$D$14="Yes",IF(COUNTBLANK('Capacity summary'!$H175:$BG175)&lt;52,IF('Capacity summary'!L175&lt;&gt;"",IF(LOWER('Capacity summary'!L175)="x",$BI56*L56,VALUE('Capacity summary'!L175)),0),L56*$BI56),L56*$BI56),0)</f>
        <v>0</v>
      </c>
      <c r="BP56" s="314">
        <f>IF($BI56&lt;&gt;"",IF('Capacity summary'!$D$14="Yes",IF(COUNTBLANK('Capacity summary'!$H175:$BG175)&lt;52,IF('Capacity summary'!M175&lt;&gt;"",IF(LOWER('Capacity summary'!M175)="x",$BI56*M56,VALUE('Capacity summary'!M175)),0),M56*$BI56),M56*$BI56),0)</f>
        <v>0</v>
      </c>
      <c r="BQ56" s="314">
        <f>IF($BI56&lt;&gt;"",IF('Capacity summary'!$D$14="Yes",IF(COUNTBLANK('Capacity summary'!$H175:$BG175)&lt;52,IF('Capacity summary'!N175&lt;&gt;"",IF(LOWER('Capacity summary'!N175)="x",$BI56*N56,VALUE('Capacity summary'!N175)),0),N56*$BI56),N56*$BI56),0)</f>
        <v>0</v>
      </c>
      <c r="BR56" s="314">
        <f>IF($BI56&lt;&gt;"",IF('Capacity summary'!$D$14="Yes",IF(COUNTBLANK('Capacity summary'!$H175:$BG175)&lt;52,IF('Capacity summary'!O175&lt;&gt;"",IF(LOWER('Capacity summary'!O175)="x",$BI56*O56,VALUE('Capacity summary'!O175)),0),O56*$BI56),O56*$BI56),0)</f>
        <v>0</v>
      </c>
      <c r="BS56" s="314">
        <f>IF($BI56&lt;&gt;"",IF('Capacity summary'!$D$14="Yes",IF(COUNTBLANK('Capacity summary'!$H175:$BG175)&lt;52,IF('Capacity summary'!P175&lt;&gt;"",IF(LOWER('Capacity summary'!P175)="x",$BI56*P56,VALUE('Capacity summary'!P175)),0),P56*$BI56),P56*$BI56),0)</f>
        <v>0</v>
      </c>
      <c r="BT56" s="314">
        <f>IF($BI56&lt;&gt;"",IF('Capacity summary'!$D$14="Yes",IF(COUNTBLANK('Capacity summary'!$H175:$BG175)&lt;52,IF('Capacity summary'!Q175&lt;&gt;"",IF(LOWER('Capacity summary'!Q175)="x",$BI56*Q56,VALUE('Capacity summary'!Q175)),0),Q56*$BI56),Q56*$BI56),0)</f>
        <v>0</v>
      </c>
      <c r="BU56" s="314">
        <f>IF($BI56&lt;&gt;"",IF('Capacity summary'!$D$14="Yes",IF(COUNTBLANK('Capacity summary'!$H175:$BG175)&lt;52,IF('Capacity summary'!R175&lt;&gt;"",IF(LOWER('Capacity summary'!R175)="x",$BI56*R56,VALUE('Capacity summary'!R175)),0),R56*$BI56),R56*$BI56),0)</f>
        <v>0</v>
      </c>
      <c r="BV56" s="314">
        <f>IF($BI56&lt;&gt;"",IF('Capacity summary'!$D$14="Yes",IF(COUNTBLANK('Capacity summary'!$H175:$BG175)&lt;52,IF('Capacity summary'!S175&lt;&gt;"",IF(LOWER('Capacity summary'!S175)="x",$BI56*S56,VALUE('Capacity summary'!S175)),0),S56*$BI56),S56*$BI56),0)</f>
        <v>0</v>
      </c>
      <c r="BW56" s="314">
        <f>IF($BI56&lt;&gt;"",IF('Capacity summary'!$D$14="Yes",IF(COUNTBLANK('Capacity summary'!$H175:$BG175)&lt;52,IF('Capacity summary'!T175&lt;&gt;"",IF(LOWER('Capacity summary'!T175)="x",$BI56*T56,VALUE('Capacity summary'!T175)),0),T56*$BI56),T56*$BI56),0)</f>
        <v>0</v>
      </c>
      <c r="BX56" s="314">
        <f>IF($BI56&lt;&gt;"",IF('Capacity summary'!$D$14="Yes",IF(COUNTBLANK('Capacity summary'!$H175:$BG175)&lt;52,IF('Capacity summary'!U175&lt;&gt;"",IF(LOWER('Capacity summary'!U175)="x",$BI56*U56,VALUE('Capacity summary'!U175)),0),U56*$BI56),U56*$BI56),0)</f>
        <v>0</v>
      </c>
      <c r="BY56" s="314">
        <f>IF($BI56&lt;&gt;"",IF('Capacity summary'!$D$14="Yes",IF(COUNTBLANK('Capacity summary'!$H175:$BG175)&lt;52,IF('Capacity summary'!V175&lt;&gt;"",IF(LOWER('Capacity summary'!V175)="x",$BI56*V56,VALUE('Capacity summary'!V175)),0),V56*$BI56),V56*$BI56),0)</f>
        <v>0</v>
      </c>
      <c r="BZ56" s="314">
        <f>IF($BI56&lt;&gt;"",IF('Capacity summary'!$D$14="Yes",IF(COUNTBLANK('Capacity summary'!$H175:$BG175)&lt;52,IF('Capacity summary'!W175&lt;&gt;"",IF(LOWER('Capacity summary'!W175)="x",$BI56*W56,VALUE('Capacity summary'!W175)),0),W56*$BI56),W56*$BI56),0)</f>
        <v>0</v>
      </c>
      <c r="CA56" s="314">
        <f>IF($BI56&lt;&gt;"",IF('Capacity summary'!$D$14="Yes",IF(COUNTBLANK('Capacity summary'!$H175:$BG175)&lt;52,IF('Capacity summary'!X175&lt;&gt;"",IF(LOWER('Capacity summary'!X175)="x",$BI56*X56,VALUE('Capacity summary'!X175)),0),X56*$BI56),X56*$BI56),0)</f>
        <v>0</v>
      </c>
      <c r="CB56" s="314">
        <f>IF($BI56&lt;&gt;"",IF('Capacity summary'!$D$14="Yes",IF(COUNTBLANK('Capacity summary'!$H175:$BG175)&lt;52,IF('Capacity summary'!Y175&lt;&gt;"",IF(LOWER('Capacity summary'!Y175)="x",$BI56*Y56,VALUE('Capacity summary'!Y175)),0),Y56*$BI56),Y56*$BI56),0)</f>
        <v>0</v>
      </c>
      <c r="CC56" s="314">
        <f>IF($BI56&lt;&gt;"",IF('Capacity summary'!$D$14="Yes",IF(COUNTBLANK('Capacity summary'!$H175:$BG175)&lt;52,IF('Capacity summary'!Z175&lt;&gt;"",IF(LOWER('Capacity summary'!Z175)="x",$BI56*Z56,VALUE('Capacity summary'!Z175)),0),Z56*$BI56),Z56*$BI56),0)</f>
        <v>0</v>
      </c>
      <c r="CD56" s="314">
        <f>IF($BI56&lt;&gt;"",IF('Capacity summary'!$D$14="Yes",IF(COUNTBLANK('Capacity summary'!$H175:$BG175)&lt;52,IF('Capacity summary'!AA175&lt;&gt;"",IF(LOWER('Capacity summary'!AA175)="x",$BI56*AA56,VALUE('Capacity summary'!AA175)),0),AA56*$BI56),AA56*$BI56),0)</f>
        <v>0</v>
      </c>
      <c r="CE56" s="314">
        <f>IF($BI56&lt;&gt;"",IF('Capacity summary'!$D$14="Yes",IF(COUNTBLANK('Capacity summary'!$H175:$BG175)&lt;52,IF('Capacity summary'!AB175&lt;&gt;"",IF(LOWER('Capacity summary'!AB175)="x",$BI56*AB56,VALUE('Capacity summary'!AB175)),0),AB56*$BI56),AB56*$BI56),0)</f>
        <v>0</v>
      </c>
      <c r="CF56" s="314">
        <f>IF($BI56&lt;&gt;"",IF('Capacity summary'!$D$14="Yes",IF(COUNTBLANK('Capacity summary'!$H175:$BG175)&lt;52,IF('Capacity summary'!AC175&lt;&gt;"",IF(LOWER('Capacity summary'!AC175)="x",$BI56*AC56,VALUE('Capacity summary'!AC175)),0),AC56*$BI56),AC56*$BI56),0)</f>
        <v>0</v>
      </c>
      <c r="CG56" s="314">
        <f>IF($BI56&lt;&gt;"",IF('Capacity summary'!$D$14="Yes",IF(COUNTBLANK('Capacity summary'!$H175:$BG175)&lt;52,IF('Capacity summary'!AD175&lt;&gt;"",IF(LOWER('Capacity summary'!AD175)="x",$BI56*AD56,VALUE('Capacity summary'!AD175)),0),AD56*$BI56),AD56*$BI56),0)</f>
        <v>0</v>
      </c>
      <c r="CH56" s="314">
        <f>IF($BI56&lt;&gt;"",IF('Capacity summary'!$D$14="Yes",IF(COUNTBLANK('Capacity summary'!$H175:$BG175)&lt;52,IF('Capacity summary'!AE175&lt;&gt;"",IF(LOWER('Capacity summary'!AE175)="x",$BI56*AE56,VALUE('Capacity summary'!AE175)),0),AE56*$BI56),AE56*$BI56),0)</f>
        <v>0</v>
      </c>
      <c r="CI56" s="314">
        <f>IF($BI56&lt;&gt;"",IF('Capacity summary'!$D$14="Yes",IF(COUNTBLANK('Capacity summary'!$H175:$BG175)&lt;52,IF('Capacity summary'!AF175&lt;&gt;"",IF(LOWER('Capacity summary'!AF175)="x",$BI56*AF56,VALUE('Capacity summary'!AF175)),0),AF56*$BI56),AF56*$BI56),0)</f>
        <v>0</v>
      </c>
      <c r="CJ56" s="314">
        <f>IF($BI56&lt;&gt;"",IF('Capacity summary'!$D$14="Yes",IF(COUNTBLANK('Capacity summary'!$H175:$BG175)&lt;52,IF('Capacity summary'!AG175&lt;&gt;"",IF(LOWER('Capacity summary'!AG175)="x",$BI56*AG56,VALUE('Capacity summary'!AG175)),0),AG56*$BI56),AG56*$BI56),0)</f>
        <v>0</v>
      </c>
      <c r="CK56" s="314">
        <f>IF($BI56&lt;&gt;"",IF('Capacity summary'!$D$14="Yes",IF(COUNTBLANK('Capacity summary'!$H175:$BG175)&lt;52,IF('Capacity summary'!AH175&lt;&gt;"",IF(LOWER('Capacity summary'!AH175)="x",$BI56*AH56,VALUE('Capacity summary'!AH175)),0),AH56*$BI56),AH56*$BI56),0)</f>
        <v>0</v>
      </c>
      <c r="CL56" s="314">
        <f>IF($BI56&lt;&gt;"",IF('Capacity summary'!$D$14="Yes",IF(COUNTBLANK('Capacity summary'!$H175:$BG175)&lt;52,IF('Capacity summary'!AI175&lt;&gt;"",IF(LOWER('Capacity summary'!AI175)="x",$BI56*AI56,VALUE('Capacity summary'!AI175)),0),AI56*$BI56),AI56*$BI56),0)</f>
        <v>0</v>
      </c>
      <c r="CM56" s="314">
        <f>IF($BI56&lt;&gt;"",IF('Capacity summary'!$D$14="Yes",IF(COUNTBLANK('Capacity summary'!$H175:$BG175)&lt;52,IF('Capacity summary'!AJ175&lt;&gt;"",IF(LOWER('Capacity summary'!AJ175)="x",$BI56*AJ56,VALUE('Capacity summary'!AJ175)),0),AJ56*$BI56),AJ56*$BI56),0)</f>
        <v>0</v>
      </c>
      <c r="CN56" s="314">
        <f>IF($BI56&lt;&gt;"",IF('Capacity summary'!$D$14="Yes",IF(COUNTBLANK('Capacity summary'!$H175:$BG175)&lt;52,IF('Capacity summary'!AK175&lt;&gt;"",IF(LOWER('Capacity summary'!AK175)="x",$BI56*AK56,VALUE('Capacity summary'!AK175)),0),AK56*$BI56),AK56*$BI56),0)</f>
        <v>0</v>
      </c>
      <c r="CO56" s="314">
        <f>IF($BI56&lt;&gt;"",IF('Capacity summary'!$D$14="Yes",IF(COUNTBLANK('Capacity summary'!$H175:$BG175)&lt;52,IF('Capacity summary'!AL175&lt;&gt;"",IF(LOWER('Capacity summary'!AL175)="x",$BI56*AL56,VALUE('Capacity summary'!AL175)),0),AL56*$BI56),AL56*$BI56),0)</f>
        <v>0</v>
      </c>
      <c r="CP56" s="314">
        <f>IF($BI56&lt;&gt;"",IF('Capacity summary'!$D$14="Yes",IF(COUNTBLANK('Capacity summary'!$H175:$BG175)&lt;52,IF('Capacity summary'!AM175&lt;&gt;"",IF(LOWER('Capacity summary'!AM175)="x",$BI56*AM56,VALUE('Capacity summary'!AM175)),0),AM56*$BI56),AM56*$BI56),0)</f>
        <v>0</v>
      </c>
      <c r="CQ56" s="314">
        <f>IF($BI56&lt;&gt;"",IF('Capacity summary'!$D$14="Yes",IF(COUNTBLANK('Capacity summary'!$H175:$BG175)&lt;52,IF('Capacity summary'!AN175&lt;&gt;"",IF(LOWER('Capacity summary'!AN175)="x",$BI56*AN56,VALUE('Capacity summary'!AN175)),0),AN56*$BI56),AN56*$BI56),0)</f>
        <v>0</v>
      </c>
      <c r="CR56" s="314">
        <f>IF($BI56&lt;&gt;"",IF('Capacity summary'!$D$14="Yes",IF(COUNTBLANK('Capacity summary'!$H175:$BG175)&lt;52,IF('Capacity summary'!AO175&lt;&gt;"",IF(LOWER('Capacity summary'!AO175)="x",$BI56*AO56,VALUE('Capacity summary'!AO175)),0),AO56*$BI56),AO56*$BI56),0)</f>
        <v>0</v>
      </c>
      <c r="CS56" s="314">
        <f>IF($BI56&lt;&gt;"",IF('Capacity summary'!$D$14="Yes",IF(COUNTBLANK('Capacity summary'!$H175:$BG175)&lt;52,IF('Capacity summary'!AP175&lt;&gt;"",IF(LOWER('Capacity summary'!AP175)="x",$BI56*AP56,VALUE('Capacity summary'!AP175)),0),AP56*$BI56),AP56*$BI56),0)</f>
        <v>0</v>
      </c>
      <c r="CT56" s="314">
        <f>IF($BI56&lt;&gt;"",IF('Capacity summary'!$D$14="Yes",IF(COUNTBLANK('Capacity summary'!$H175:$BG175)&lt;52,IF('Capacity summary'!AQ175&lt;&gt;"",IF(LOWER('Capacity summary'!AQ175)="x",$BI56*AQ56,VALUE('Capacity summary'!AQ175)),0),AQ56*$BI56),AQ56*$BI56),0)</f>
        <v>0</v>
      </c>
      <c r="CU56" s="314">
        <f>IF($BI56&lt;&gt;"",IF('Capacity summary'!$D$14="Yes",IF(COUNTBLANK('Capacity summary'!$H175:$BG175)&lt;52,IF('Capacity summary'!AR175&lt;&gt;"",IF(LOWER('Capacity summary'!AR175)="x",$BI56*AR56,VALUE('Capacity summary'!AR175)),0),AR56*$BI56),AR56*$BI56),0)</f>
        <v>0</v>
      </c>
      <c r="CV56" s="314">
        <f>IF($BI56&lt;&gt;"",IF('Capacity summary'!$D$14="Yes",IF(COUNTBLANK('Capacity summary'!$H175:$BG175)&lt;52,IF('Capacity summary'!AS175&lt;&gt;"",IF(LOWER('Capacity summary'!AS175)="x",$BI56*AS56,VALUE('Capacity summary'!AS175)),0),AS56*$BI56),AS56*$BI56),0)</f>
        <v>0</v>
      </c>
      <c r="CW56" s="314">
        <f>IF($BI56&lt;&gt;"",IF('Capacity summary'!$D$14="Yes",IF(COUNTBLANK('Capacity summary'!$H175:$BG175)&lt;52,IF('Capacity summary'!AT175&lt;&gt;"",IF(LOWER('Capacity summary'!AT175)="x",$BI56*AT56,VALUE('Capacity summary'!AT175)),0),AT56*$BI56),AT56*$BI56),0)</f>
        <v>0</v>
      </c>
      <c r="CX56" s="314">
        <f>IF($BI56&lt;&gt;"",IF('Capacity summary'!$D$14="Yes",IF(COUNTBLANK('Capacity summary'!$H175:$BG175)&lt;52,IF('Capacity summary'!AU175&lt;&gt;"",IF(LOWER('Capacity summary'!AU175)="x",$BI56*AU56,VALUE('Capacity summary'!AU175)),0),AU56*$BI56),AU56*$BI56),0)</f>
        <v>0</v>
      </c>
      <c r="CY56" s="314">
        <f>IF($BI56&lt;&gt;"",IF('Capacity summary'!$D$14="Yes",IF(COUNTBLANK('Capacity summary'!$H175:$BG175)&lt;52,IF('Capacity summary'!AV175&lt;&gt;"",IF(LOWER('Capacity summary'!AV175)="x",$BI56*AV56,VALUE('Capacity summary'!AV175)),0),AV56*$BI56),AV56*$BI56),0)</f>
        <v>0</v>
      </c>
      <c r="CZ56" s="314">
        <f>IF($BI56&lt;&gt;"",IF('Capacity summary'!$D$14="Yes",IF(COUNTBLANK('Capacity summary'!$H175:$BG175)&lt;52,IF('Capacity summary'!AW175&lt;&gt;"",IF(LOWER('Capacity summary'!AW175)="x",$BI56*AW56,VALUE('Capacity summary'!AW175)),0),AW56*$BI56),AW56*$BI56),0)</f>
        <v>0</v>
      </c>
      <c r="DA56" s="314">
        <f>IF($BI56&lt;&gt;"",IF('Capacity summary'!$D$14="Yes",IF(COUNTBLANK('Capacity summary'!$H175:$BG175)&lt;52,IF('Capacity summary'!AX175&lt;&gt;"",IF(LOWER('Capacity summary'!AX175)="x",$BI56*AX56,VALUE('Capacity summary'!AX175)),0),AX56*$BI56),AX56*$BI56),0)</f>
        <v>0</v>
      </c>
      <c r="DB56" s="314">
        <f>IF($BI56&lt;&gt;"",IF('Capacity summary'!$D$14="Yes",IF(COUNTBLANK('Capacity summary'!$H175:$BG175)&lt;52,IF('Capacity summary'!AY175&lt;&gt;"",IF(LOWER('Capacity summary'!AY175)="x",$BI56*AY56,VALUE('Capacity summary'!AY175)),0),AY56*$BI56),AY56*$BI56),0)</f>
        <v>0</v>
      </c>
      <c r="DC56" s="314">
        <f>IF($BI56&lt;&gt;"",IF('Capacity summary'!$D$14="Yes",IF(COUNTBLANK('Capacity summary'!$H175:$BG175)&lt;52,IF('Capacity summary'!AZ175&lt;&gt;"",IF(LOWER('Capacity summary'!AZ175)="x",$BI56*AZ56,VALUE('Capacity summary'!AZ175)),0),AZ56*$BI56),AZ56*$BI56),0)</f>
        <v>0</v>
      </c>
      <c r="DD56" s="314">
        <f>IF($BI56&lt;&gt;"",IF('Capacity summary'!$D$14="Yes",IF(COUNTBLANK('Capacity summary'!$H175:$BG175)&lt;52,IF('Capacity summary'!BA175&lt;&gt;"",IF(LOWER('Capacity summary'!BA175)="x",$BI56*BA56,VALUE('Capacity summary'!BA175)),0),BA56*$BI56),BA56*$BI56),0)</f>
        <v>0</v>
      </c>
      <c r="DE56" s="314">
        <f>IF($BI56&lt;&gt;"",IF('Capacity summary'!$D$14="Yes",IF(COUNTBLANK('Capacity summary'!$H175:$BG175)&lt;52,IF('Capacity summary'!BB175&lt;&gt;"",IF(LOWER('Capacity summary'!BB175)="x",$BI56*BB56,VALUE('Capacity summary'!BB175)),0),BB56*$BI56),BB56*$BI56),0)</f>
        <v>0</v>
      </c>
      <c r="DF56" s="314">
        <f>IF($BI56&lt;&gt;"",IF('Capacity summary'!$D$14="Yes",IF(COUNTBLANK('Capacity summary'!$H175:$BG175)&lt;52,IF('Capacity summary'!BC175&lt;&gt;"",IF(LOWER('Capacity summary'!BC175)="x",$BI56*BC56,VALUE('Capacity summary'!BC175)),0),BC56*$BI56),BC56*$BI56),0)</f>
        <v>0</v>
      </c>
      <c r="DG56" s="314">
        <f>IF($BI56&lt;&gt;"",IF('Capacity summary'!$D$14="Yes",IF(COUNTBLANK('Capacity summary'!$H175:$BG175)&lt;52,IF('Capacity summary'!BD175&lt;&gt;"",IF(LOWER('Capacity summary'!BD175)="x",$BI56*BD56,VALUE('Capacity summary'!BD175)),0),BD56*$BI56),BD56*$BI56),0)</f>
        <v>0</v>
      </c>
      <c r="DH56" s="314">
        <f>IF($BI56&lt;&gt;"",IF('Capacity summary'!$D$14="Yes",IF(COUNTBLANK('Capacity summary'!$H175:$BG175)&lt;52,IF('Capacity summary'!BE175&lt;&gt;"",IF(LOWER('Capacity summary'!BE175)="x",$BI56*BE56,VALUE('Capacity summary'!BE175)),0),BE56*$BI56),BE56*$BI56),0)</f>
        <v>0</v>
      </c>
      <c r="DI56" s="314">
        <f>IF($BI56&lt;&gt;"",IF('Capacity summary'!$D$14="Yes",IF(COUNTBLANK('Capacity summary'!$H175:$BG175)&lt;52,IF('Capacity summary'!BF175&lt;&gt;"",IF(LOWER('Capacity summary'!BF175)="x",$BI56*BF56,VALUE('Capacity summary'!BF175)),0),BF56*$BI56),BF56*$BI56),0)</f>
        <v>0</v>
      </c>
      <c r="DJ56" s="314">
        <f>IF($BI56&lt;&gt;"",IF('Capacity summary'!$D$14="Yes",IF(COUNTBLANK('Capacity summary'!$H175:$BG175)&lt;52,IF('Capacity summary'!BG175&lt;&gt;"",IF(LOWER('Capacity summary'!BG175)="x",$BI56*BG56,VALUE('Capacity summary'!BG175)),0),BG56*$BI56),BG56*$BI56),0)</f>
        <v>0</v>
      </c>
      <c r="DK56" s="137">
        <f t="shared" si="2"/>
        <v>0</v>
      </c>
      <c r="DL56" s="314" t="str">
        <f>Capacity!H68</f>
        <v/>
      </c>
      <c r="DP56" s="5"/>
    </row>
    <row r="57" spans="2:120" x14ac:dyDescent="0.25">
      <c r="B57" s="67"/>
      <c r="C57" s="67" t="str">
        <f>ROW(A53)&amp;". "&amp;Capacity!B69</f>
        <v xml:space="preserve">53. </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IF(ROW(C53)&lt;=Capacity!$A$16,IF('Capacity summary'!$D$14="No",SUM(H57:BG57),'Capacity summary'!$E176),0)</f>
        <v>0</v>
      </c>
      <c r="BI57" s="5" t="str">
        <f>IF(BH57&gt;0,IF(BH57&lt;Capacity!E69,Capacity!F69,Capacity!H69/'Capacity calculation (hide)'!BH57),"")</f>
        <v/>
      </c>
      <c r="BK57" s="314">
        <f>IF($BI57&lt;&gt;"",IF('Capacity summary'!$D$14="Yes",IF(COUNTBLANK('Capacity summary'!$H176:$BG176)&lt;52,IF('Capacity summary'!H176&lt;&gt;"",IF(LOWER('Capacity summary'!H176)="x",$BI57*H57,VALUE('Capacity summary'!H176)),0),H57*$BI57),H57*$BI57),0)</f>
        <v>0</v>
      </c>
      <c r="BL57" s="314">
        <f>IF($BI57&lt;&gt;"",IF('Capacity summary'!$D$14="Yes",IF(COUNTBLANK('Capacity summary'!$H176:$BG176)&lt;52,IF('Capacity summary'!I176&lt;&gt;"",IF(LOWER('Capacity summary'!I176)="x",$BI57*I57,VALUE('Capacity summary'!I176)),0),I57*$BI57),I57*$BI57),0)</f>
        <v>0</v>
      </c>
      <c r="BM57" s="314">
        <f>IF($BI57&lt;&gt;"",IF('Capacity summary'!$D$14="Yes",IF(COUNTBLANK('Capacity summary'!$H176:$BG176)&lt;52,IF('Capacity summary'!J176&lt;&gt;"",IF(LOWER('Capacity summary'!J176)="x",$BI57*J57,VALUE('Capacity summary'!J176)),0),J57*$BI57),J57*$BI57),0)</f>
        <v>0</v>
      </c>
      <c r="BN57" s="314">
        <f>IF($BI57&lt;&gt;"",IF('Capacity summary'!$D$14="Yes",IF(COUNTBLANK('Capacity summary'!$H176:$BG176)&lt;52,IF('Capacity summary'!K176&lt;&gt;"",IF(LOWER('Capacity summary'!K176)="x",$BI57*K57,VALUE('Capacity summary'!K176)),0),K57*$BI57),K57*$BI57),0)</f>
        <v>0</v>
      </c>
      <c r="BO57" s="314">
        <f>IF($BI57&lt;&gt;"",IF('Capacity summary'!$D$14="Yes",IF(COUNTBLANK('Capacity summary'!$H176:$BG176)&lt;52,IF('Capacity summary'!L176&lt;&gt;"",IF(LOWER('Capacity summary'!L176)="x",$BI57*L57,VALUE('Capacity summary'!L176)),0),L57*$BI57),L57*$BI57),0)</f>
        <v>0</v>
      </c>
      <c r="BP57" s="314">
        <f>IF($BI57&lt;&gt;"",IF('Capacity summary'!$D$14="Yes",IF(COUNTBLANK('Capacity summary'!$H176:$BG176)&lt;52,IF('Capacity summary'!M176&lt;&gt;"",IF(LOWER('Capacity summary'!M176)="x",$BI57*M57,VALUE('Capacity summary'!M176)),0),M57*$BI57),M57*$BI57),0)</f>
        <v>0</v>
      </c>
      <c r="BQ57" s="314">
        <f>IF($BI57&lt;&gt;"",IF('Capacity summary'!$D$14="Yes",IF(COUNTBLANK('Capacity summary'!$H176:$BG176)&lt;52,IF('Capacity summary'!N176&lt;&gt;"",IF(LOWER('Capacity summary'!N176)="x",$BI57*N57,VALUE('Capacity summary'!N176)),0),N57*$BI57),N57*$BI57),0)</f>
        <v>0</v>
      </c>
      <c r="BR57" s="314">
        <f>IF($BI57&lt;&gt;"",IF('Capacity summary'!$D$14="Yes",IF(COUNTBLANK('Capacity summary'!$H176:$BG176)&lt;52,IF('Capacity summary'!O176&lt;&gt;"",IF(LOWER('Capacity summary'!O176)="x",$BI57*O57,VALUE('Capacity summary'!O176)),0),O57*$BI57),O57*$BI57),0)</f>
        <v>0</v>
      </c>
      <c r="BS57" s="314">
        <f>IF($BI57&lt;&gt;"",IF('Capacity summary'!$D$14="Yes",IF(COUNTBLANK('Capacity summary'!$H176:$BG176)&lt;52,IF('Capacity summary'!P176&lt;&gt;"",IF(LOWER('Capacity summary'!P176)="x",$BI57*P57,VALUE('Capacity summary'!P176)),0),P57*$BI57),P57*$BI57),0)</f>
        <v>0</v>
      </c>
      <c r="BT57" s="314">
        <f>IF($BI57&lt;&gt;"",IF('Capacity summary'!$D$14="Yes",IF(COUNTBLANK('Capacity summary'!$H176:$BG176)&lt;52,IF('Capacity summary'!Q176&lt;&gt;"",IF(LOWER('Capacity summary'!Q176)="x",$BI57*Q57,VALUE('Capacity summary'!Q176)),0),Q57*$BI57),Q57*$BI57),0)</f>
        <v>0</v>
      </c>
      <c r="BU57" s="314">
        <f>IF($BI57&lt;&gt;"",IF('Capacity summary'!$D$14="Yes",IF(COUNTBLANK('Capacity summary'!$H176:$BG176)&lt;52,IF('Capacity summary'!R176&lt;&gt;"",IF(LOWER('Capacity summary'!R176)="x",$BI57*R57,VALUE('Capacity summary'!R176)),0),R57*$BI57),R57*$BI57),0)</f>
        <v>0</v>
      </c>
      <c r="BV57" s="314">
        <f>IF($BI57&lt;&gt;"",IF('Capacity summary'!$D$14="Yes",IF(COUNTBLANK('Capacity summary'!$H176:$BG176)&lt;52,IF('Capacity summary'!S176&lt;&gt;"",IF(LOWER('Capacity summary'!S176)="x",$BI57*S57,VALUE('Capacity summary'!S176)),0),S57*$BI57),S57*$BI57),0)</f>
        <v>0</v>
      </c>
      <c r="BW57" s="314">
        <f>IF($BI57&lt;&gt;"",IF('Capacity summary'!$D$14="Yes",IF(COUNTBLANK('Capacity summary'!$H176:$BG176)&lt;52,IF('Capacity summary'!T176&lt;&gt;"",IF(LOWER('Capacity summary'!T176)="x",$BI57*T57,VALUE('Capacity summary'!T176)),0),T57*$BI57),T57*$BI57),0)</f>
        <v>0</v>
      </c>
      <c r="BX57" s="314">
        <f>IF($BI57&lt;&gt;"",IF('Capacity summary'!$D$14="Yes",IF(COUNTBLANK('Capacity summary'!$H176:$BG176)&lt;52,IF('Capacity summary'!U176&lt;&gt;"",IF(LOWER('Capacity summary'!U176)="x",$BI57*U57,VALUE('Capacity summary'!U176)),0),U57*$BI57),U57*$BI57),0)</f>
        <v>0</v>
      </c>
      <c r="BY57" s="314">
        <f>IF($BI57&lt;&gt;"",IF('Capacity summary'!$D$14="Yes",IF(COUNTBLANK('Capacity summary'!$H176:$BG176)&lt;52,IF('Capacity summary'!V176&lt;&gt;"",IF(LOWER('Capacity summary'!V176)="x",$BI57*V57,VALUE('Capacity summary'!V176)),0),V57*$BI57),V57*$BI57),0)</f>
        <v>0</v>
      </c>
      <c r="BZ57" s="314">
        <f>IF($BI57&lt;&gt;"",IF('Capacity summary'!$D$14="Yes",IF(COUNTBLANK('Capacity summary'!$H176:$BG176)&lt;52,IF('Capacity summary'!W176&lt;&gt;"",IF(LOWER('Capacity summary'!W176)="x",$BI57*W57,VALUE('Capacity summary'!W176)),0),W57*$BI57),W57*$BI57),0)</f>
        <v>0</v>
      </c>
      <c r="CA57" s="314">
        <f>IF($BI57&lt;&gt;"",IF('Capacity summary'!$D$14="Yes",IF(COUNTBLANK('Capacity summary'!$H176:$BG176)&lt;52,IF('Capacity summary'!X176&lt;&gt;"",IF(LOWER('Capacity summary'!X176)="x",$BI57*X57,VALUE('Capacity summary'!X176)),0),X57*$BI57),X57*$BI57),0)</f>
        <v>0</v>
      </c>
      <c r="CB57" s="314">
        <f>IF($BI57&lt;&gt;"",IF('Capacity summary'!$D$14="Yes",IF(COUNTBLANK('Capacity summary'!$H176:$BG176)&lt;52,IF('Capacity summary'!Y176&lt;&gt;"",IF(LOWER('Capacity summary'!Y176)="x",$BI57*Y57,VALUE('Capacity summary'!Y176)),0),Y57*$BI57),Y57*$BI57),0)</f>
        <v>0</v>
      </c>
      <c r="CC57" s="314">
        <f>IF($BI57&lt;&gt;"",IF('Capacity summary'!$D$14="Yes",IF(COUNTBLANK('Capacity summary'!$H176:$BG176)&lt;52,IF('Capacity summary'!Z176&lt;&gt;"",IF(LOWER('Capacity summary'!Z176)="x",$BI57*Z57,VALUE('Capacity summary'!Z176)),0),Z57*$BI57),Z57*$BI57),0)</f>
        <v>0</v>
      </c>
      <c r="CD57" s="314">
        <f>IF($BI57&lt;&gt;"",IF('Capacity summary'!$D$14="Yes",IF(COUNTBLANK('Capacity summary'!$H176:$BG176)&lt;52,IF('Capacity summary'!AA176&lt;&gt;"",IF(LOWER('Capacity summary'!AA176)="x",$BI57*AA57,VALUE('Capacity summary'!AA176)),0),AA57*$BI57),AA57*$BI57),0)</f>
        <v>0</v>
      </c>
      <c r="CE57" s="314">
        <f>IF($BI57&lt;&gt;"",IF('Capacity summary'!$D$14="Yes",IF(COUNTBLANK('Capacity summary'!$H176:$BG176)&lt;52,IF('Capacity summary'!AB176&lt;&gt;"",IF(LOWER('Capacity summary'!AB176)="x",$BI57*AB57,VALUE('Capacity summary'!AB176)),0),AB57*$BI57),AB57*$BI57),0)</f>
        <v>0</v>
      </c>
      <c r="CF57" s="314">
        <f>IF($BI57&lt;&gt;"",IF('Capacity summary'!$D$14="Yes",IF(COUNTBLANK('Capacity summary'!$H176:$BG176)&lt;52,IF('Capacity summary'!AC176&lt;&gt;"",IF(LOWER('Capacity summary'!AC176)="x",$BI57*AC57,VALUE('Capacity summary'!AC176)),0),AC57*$BI57),AC57*$BI57),0)</f>
        <v>0</v>
      </c>
      <c r="CG57" s="314">
        <f>IF($BI57&lt;&gt;"",IF('Capacity summary'!$D$14="Yes",IF(COUNTBLANK('Capacity summary'!$H176:$BG176)&lt;52,IF('Capacity summary'!AD176&lt;&gt;"",IF(LOWER('Capacity summary'!AD176)="x",$BI57*AD57,VALUE('Capacity summary'!AD176)),0),AD57*$BI57),AD57*$BI57),0)</f>
        <v>0</v>
      </c>
      <c r="CH57" s="314">
        <f>IF($BI57&lt;&gt;"",IF('Capacity summary'!$D$14="Yes",IF(COUNTBLANK('Capacity summary'!$H176:$BG176)&lt;52,IF('Capacity summary'!AE176&lt;&gt;"",IF(LOWER('Capacity summary'!AE176)="x",$BI57*AE57,VALUE('Capacity summary'!AE176)),0),AE57*$BI57),AE57*$BI57),0)</f>
        <v>0</v>
      </c>
      <c r="CI57" s="314">
        <f>IF($BI57&lt;&gt;"",IF('Capacity summary'!$D$14="Yes",IF(COUNTBLANK('Capacity summary'!$H176:$BG176)&lt;52,IF('Capacity summary'!AF176&lt;&gt;"",IF(LOWER('Capacity summary'!AF176)="x",$BI57*AF57,VALUE('Capacity summary'!AF176)),0),AF57*$BI57),AF57*$BI57),0)</f>
        <v>0</v>
      </c>
      <c r="CJ57" s="314">
        <f>IF($BI57&lt;&gt;"",IF('Capacity summary'!$D$14="Yes",IF(COUNTBLANK('Capacity summary'!$H176:$BG176)&lt;52,IF('Capacity summary'!AG176&lt;&gt;"",IF(LOWER('Capacity summary'!AG176)="x",$BI57*AG57,VALUE('Capacity summary'!AG176)),0),AG57*$BI57),AG57*$BI57),0)</f>
        <v>0</v>
      </c>
      <c r="CK57" s="314">
        <f>IF($BI57&lt;&gt;"",IF('Capacity summary'!$D$14="Yes",IF(COUNTBLANK('Capacity summary'!$H176:$BG176)&lt;52,IF('Capacity summary'!AH176&lt;&gt;"",IF(LOWER('Capacity summary'!AH176)="x",$BI57*AH57,VALUE('Capacity summary'!AH176)),0),AH57*$BI57),AH57*$BI57),0)</f>
        <v>0</v>
      </c>
      <c r="CL57" s="314">
        <f>IF($BI57&lt;&gt;"",IF('Capacity summary'!$D$14="Yes",IF(COUNTBLANK('Capacity summary'!$H176:$BG176)&lt;52,IF('Capacity summary'!AI176&lt;&gt;"",IF(LOWER('Capacity summary'!AI176)="x",$BI57*AI57,VALUE('Capacity summary'!AI176)),0),AI57*$BI57),AI57*$BI57),0)</f>
        <v>0</v>
      </c>
      <c r="CM57" s="314">
        <f>IF($BI57&lt;&gt;"",IF('Capacity summary'!$D$14="Yes",IF(COUNTBLANK('Capacity summary'!$H176:$BG176)&lt;52,IF('Capacity summary'!AJ176&lt;&gt;"",IF(LOWER('Capacity summary'!AJ176)="x",$BI57*AJ57,VALUE('Capacity summary'!AJ176)),0),AJ57*$BI57),AJ57*$BI57),0)</f>
        <v>0</v>
      </c>
      <c r="CN57" s="314">
        <f>IF($BI57&lt;&gt;"",IF('Capacity summary'!$D$14="Yes",IF(COUNTBLANK('Capacity summary'!$H176:$BG176)&lt;52,IF('Capacity summary'!AK176&lt;&gt;"",IF(LOWER('Capacity summary'!AK176)="x",$BI57*AK57,VALUE('Capacity summary'!AK176)),0),AK57*$BI57),AK57*$BI57),0)</f>
        <v>0</v>
      </c>
      <c r="CO57" s="314">
        <f>IF($BI57&lt;&gt;"",IF('Capacity summary'!$D$14="Yes",IF(COUNTBLANK('Capacity summary'!$H176:$BG176)&lt;52,IF('Capacity summary'!AL176&lt;&gt;"",IF(LOWER('Capacity summary'!AL176)="x",$BI57*AL57,VALUE('Capacity summary'!AL176)),0),AL57*$BI57),AL57*$BI57),0)</f>
        <v>0</v>
      </c>
      <c r="CP57" s="314">
        <f>IF($BI57&lt;&gt;"",IF('Capacity summary'!$D$14="Yes",IF(COUNTBLANK('Capacity summary'!$H176:$BG176)&lt;52,IF('Capacity summary'!AM176&lt;&gt;"",IF(LOWER('Capacity summary'!AM176)="x",$BI57*AM57,VALUE('Capacity summary'!AM176)),0),AM57*$BI57),AM57*$BI57),0)</f>
        <v>0</v>
      </c>
      <c r="CQ57" s="314">
        <f>IF($BI57&lt;&gt;"",IF('Capacity summary'!$D$14="Yes",IF(COUNTBLANK('Capacity summary'!$H176:$BG176)&lt;52,IF('Capacity summary'!AN176&lt;&gt;"",IF(LOWER('Capacity summary'!AN176)="x",$BI57*AN57,VALUE('Capacity summary'!AN176)),0),AN57*$BI57),AN57*$BI57),0)</f>
        <v>0</v>
      </c>
      <c r="CR57" s="314">
        <f>IF($BI57&lt;&gt;"",IF('Capacity summary'!$D$14="Yes",IF(COUNTBLANK('Capacity summary'!$H176:$BG176)&lt;52,IF('Capacity summary'!AO176&lt;&gt;"",IF(LOWER('Capacity summary'!AO176)="x",$BI57*AO57,VALUE('Capacity summary'!AO176)),0),AO57*$BI57),AO57*$BI57),0)</f>
        <v>0</v>
      </c>
      <c r="CS57" s="314">
        <f>IF($BI57&lt;&gt;"",IF('Capacity summary'!$D$14="Yes",IF(COUNTBLANK('Capacity summary'!$H176:$BG176)&lt;52,IF('Capacity summary'!AP176&lt;&gt;"",IF(LOWER('Capacity summary'!AP176)="x",$BI57*AP57,VALUE('Capacity summary'!AP176)),0),AP57*$BI57),AP57*$BI57),0)</f>
        <v>0</v>
      </c>
      <c r="CT57" s="314">
        <f>IF($BI57&lt;&gt;"",IF('Capacity summary'!$D$14="Yes",IF(COUNTBLANK('Capacity summary'!$H176:$BG176)&lt;52,IF('Capacity summary'!AQ176&lt;&gt;"",IF(LOWER('Capacity summary'!AQ176)="x",$BI57*AQ57,VALUE('Capacity summary'!AQ176)),0),AQ57*$BI57),AQ57*$BI57),0)</f>
        <v>0</v>
      </c>
      <c r="CU57" s="314">
        <f>IF($BI57&lt;&gt;"",IF('Capacity summary'!$D$14="Yes",IF(COUNTBLANK('Capacity summary'!$H176:$BG176)&lt;52,IF('Capacity summary'!AR176&lt;&gt;"",IF(LOWER('Capacity summary'!AR176)="x",$BI57*AR57,VALUE('Capacity summary'!AR176)),0),AR57*$BI57),AR57*$BI57),0)</f>
        <v>0</v>
      </c>
      <c r="CV57" s="314">
        <f>IF($BI57&lt;&gt;"",IF('Capacity summary'!$D$14="Yes",IF(COUNTBLANK('Capacity summary'!$H176:$BG176)&lt;52,IF('Capacity summary'!AS176&lt;&gt;"",IF(LOWER('Capacity summary'!AS176)="x",$BI57*AS57,VALUE('Capacity summary'!AS176)),0),AS57*$BI57),AS57*$BI57),0)</f>
        <v>0</v>
      </c>
      <c r="CW57" s="314">
        <f>IF($BI57&lt;&gt;"",IF('Capacity summary'!$D$14="Yes",IF(COUNTBLANK('Capacity summary'!$H176:$BG176)&lt;52,IF('Capacity summary'!AT176&lt;&gt;"",IF(LOWER('Capacity summary'!AT176)="x",$BI57*AT57,VALUE('Capacity summary'!AT176)),0),AT57*$BI57),AT57*$BI57),0)</f>
        <v>0</v>
      </c>
      <c r="CX57" s="314">
        <f>IF($BI57&lt;&gt;"",IF('Capacity summary'!$D$14="Yes",IF(COUNTBLANK('Capacity summary'!$H176:$BG176)&lt;52,IF('Capacity summary'!AU176&lt;&gt;"",IF(LOWER('Capacity summary'!AU176)="x",$BI57*AU57,VALUE('Capacity summary'!AU176)),0),AU57*$BI57),AU57*$BI57),0)</f>
        <v>0</v>
      </c>
      <c r="CY57" s="314">
        <f>IF($BI57&lt;&gt;"",IF('Capacity summary'!$D$14="Yes",IF(COUNTBLANK('Capacity summary'!$H176:$BG176)&lt;52,IF('Capacity summary'!AV176&lt;&gt;"",IF(LOWER('Capacity summary'!AV176)="x",$BI57*AV57,VALUE('Capacity summary'!AV176)),0),AV57*$BI57),AV57*$BI57),0)</f>
        <v>0</v>
      </c>
      <c r="CZ57" s="314">
        <f>IF($BI57&lt;&gt;"",IF('Capacity summary'!$D$14="Yes",IF(COUNTBLANK('Capacity summary'!$H176:$BG176)&lt;52,IF('Capacity summary'!AW176&lt;&gt;"",IF(LOWER('Capacity summary'!AW176)="x",$BI57*AW57,VALUE('Capacity summary'!AW176)),0),AW57*$BI57),AW57*$BI57),0)</f>
        <v>0</v>
      </c>
      <c r="DA57" s="314">
        <f>IF($BI57&lt;&gt;"",IF('Capacity summary'!$D$14="Yes",IF(COUNTBLANK('Capacity summary'!$H176:$BG176)&lt;52,IF('Capacity summary'!AX176&lt;&gt;"",IF(LOWER('Capacity summary'!AX176)="x",$BI57*AX57,VALUE('Capacity summary'!AX176)),0),AX57*$BI57),AX57*$BI57),0)</f>
        <v>0</v>
      </c>
      <c r="DB57" s="314">
        <f>IF($BI57&lt;&gt;"",IF('Capacity summary'!$D$14="Yes",IF(COUNTBLANK('Capacity summary'!$H176:$BG176)&lt;52,IF('Capacity summary'!AY176&lt;&gt;"",IF(LOWER('Capacity summary'!AY176)="x",$BI57*AY57,VALUE('Capacity summary'!AY176)),0),AY57*$BI57),AY57*$BI57),0)</f>
        <v>0</v>
      </c>
      <c r="DC57" s="314">
        <f>IF($BI57&lt;&gt;"",IF('Capacity summary'!$D$14="Yes",IF(COUNTBLANK('Capacity summary'!$H176:$BG176)&lt;52,IF('Capacity summary'!AZ176&lt;&gt;"",IF(LOWER('Capacity summary'!AZ176)="x",$BI57*AZ57,VALUE('Capacity summary'!AZ176)),0),AZ57*$BI57),AZ57*$BI57),0)</f>
        <v>0</v>
      </c>
      <c r="DD57" s="314">
        <f>IF($BI57&lt;&gt;"",IF('Capacity summary'!$D$14="Yes",IF(COUNTBLANK('Capacity summary'!$H176:$BG176)&lt;52,IF('Capacity summary'!BA176&lt;&gt;"",IF(LOWER('Capacity summary'!BA176)="x",$BI57*BA57,VALUE('Capacity summary'!BA176)),0),BA57*$BI57),BA57*$BI57),0)</f>
        <v>0</v>
      </c>
      <c r="DE57" s="314">
        <f>IF($BI57&lt;&gt;"",IF('Capacity summary'!$D$14="Yes",IF(COUNTBLANK('Capacity summary'!$H176:$BG176)&lt;52,IF('Capacity summary'!BB176&lt;&gt;"",IF(LOWER('Capacity summary'!BB176)="x",$BI57*BB57,VALUE('Capacity summary'!BB176)),0),BB57*$BI57),BB57*$BI57),0)</f>
        <v>0</v>
      </c>
      <c r="DF57" s="314">
        <f>IF($BI57&lt;&gt;"",IF('Capacity summary'!$D$14="Yes",IF(COUNTBLANK('Capacity summary'!$H176:$BG176)&lt;52,IF('Capacity summary'!BC176&lt;&gt;"",IF(LOWER('Capacity summary'!BC176)="x",$BI57*BC57,VALUE('Capacity summary'!BC176)),0),BC57*$BI57),BC57*$BI57),0)</f>
        <v>0</v>
      </c>
      <c r="DG57" s="314">
        <f>IF($BI57&lt;&gt;"",IF('Capacity summary'!$D$14="Yes",IF(COUNTBLANK('Capacity summary'!$H176:$BG176)&lt;52,IF('Capacity summary'!BD176&lt;&gt;"",IF(LOWER('Capacity summary'!BD176)="x",$BI57*BD57,VALUE('Capacity summary'!BD176)),0),BD57*$BI57),BD57*$BI57),0)</f>
        <v>0</v>
      </c>
      <c r="DH57" s="314">
        <f>IF($BI57&lt;&gt;"",IF('Capacity summary'!$D$14="Yes",IF(COUNTBLANK('Capacity summary'!$H176:$BG176)&lt;52,IF('Capacity summary'!BE176&lt;&gt;"",IF(LOWER('Capacity summary'!BE176)="x",$BI57*BE57,VALUE('Capacity summary'!BE176)),0),BE57*$BI57),BE57*$BI57),0)</f>
        <v>0</v>
      </c>
      <c r="DI57" s="314">
        <f>IF($BI57&lt;&gt;"",IF('Capacity summary'!$D$14="Yes",IF(COUNTBLANK('Capacity summary'!$H176:$BG176)&lt;52,IF('Capacity summary'!BF176&lt;&gt;"",IF(LOWER('Capacity summary'!BF176)="x",$BI57*BF57,VALUE('Capacity summary'!BF176)),0),BF57*$BI57),BF57*$BI57),0)</f>
        <v>0</v>
      </c>
      <c r="DJ57" s="314">
        <f>IF($BI57&lt;&gt;"",IF('Capacity summary'!$D$14="Yes",IF(COUNTBLANK('Capacity summary'!$H176:$BG176)&lt;52,IF('Capacity summary'!BG176&lt;&gt;"",IF(LOWER('Capacity summary'!BG176)="x",$BI57*BG57,VALUE('Capacity summary'!BG176)),0),BG57*$BI57),BG57*$BI57),0)</f>
        <v>0</v>
      </c>
      <c r="DK57" s="137">
        <f t="shared" si="2"/>
        <v>0</v>
      </c>
      <c r="DL57" s="314" t="str">
        <f>Capacity!H69</f>
        <v/>
      </c>
    </row>
    <row r="58" spans="2:120" x14ac:dyDescent="0.25">
      <c r="B58" s="67"/>
      <c r="C58" s="67" t="str">
        <f>ROW(A54)&amp;". "&amp;Capacity!B70</f>
        <v xml:space="preserve">54. </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IF(ROW(C54)&lt;=Capacity!$A$16,IF('Capacity summary'!$D$14="No",SUM(H58:BG58),'Capacity summary'!$E177),0)</f>
        <v>0</v>
      </c>
      <c r="BI58" s="5" t="str">
        <f>IF(BH58&gt;0,IF(BH58&lt;Capacity!E70,Capacity!F70,Capacity!H70/'Capacity calculation (hide)'!BH58),"")</f>
        <v/>
      </c>
      <c r="BK58" s="314">
        <f>IF($BI58&lt;&gt;"",IF('Capacity summary'!$D$14="Yes",IF(COUNTBLANK('Capacity summary'!$H177:$BG177)&lt;52,IF('Capacity summary'!H177&lt;&gt;"",IF(LOWER('Capacity summary'!H177)="x",$BI58*H58,VALUE('Capacity summary'!H177)),0),H58*$BI58),H58*$BI58),0)</f>
        <v>0</v>
      </c>
      <c r="BL58" s="314">
        <f>IF($BI58&lt;&gt;"",IF('Capacity summary'!$D$14="Yes",IF(COUNTBLANK('Capacity summary'!$H177:$BG177)&lt;52,IF('Capacity summary'!I177&lt;&gt;"",IF(LOWER('Capacity summary'!I177)="x",$BI58*I58,VALUE('Capacity summary'!I177)),0),I58*$BI58),I58*$BI58),0)</f>
        <v>0</v>
      </c>
      <c r="BM58" s="314">
        <f>IF($BI58&lt;&gt;"",IF('Capacity summary'!$D$14="Yes",IF(COUNTBLANK('Capacity summary'!$H177:$BG177)&lt;52,IF('Capacity summary'!J177&lt;&gt;"",IF(LOWER('Capacity summary'!J177)="x",$BI58*J58,VALUE('Capacity summary'!J177)),0),J58*$BI58),J58*$BI58),0)</f>
        <v>0</v>
      </c>
      <c r="BN58" s="314">
        <f>IF($BI58&lt;&gt;"",IF('Capacity summary'!$D$14="Yes",IF(COUNTBLANK('Capacity summary'!$H177:$BG177)&lt;52,IF('Capacity summary'!K177&lt;&gt;"",IF(LOWER('Capacity summary'!K177)="x",$BI58*K58,VALUE('Capacity summary'!K177)),0),K58*$BI58),K58*$BI58),0)</f>
        <v>0</v>
      </c>
      <c r="BO58" s="314">
        <f>IF($BI58&lt;&gt;"",IF('Capacity summary'!$D$14="Yes",IF(COUNTBLANK('Capacity summary'!$H177:$BG177)&lt;52,IF('Capacity summary'!L177&lt;&gt;"",IF(LOWER('Capacity summary'!L177)="x",$BI58*L58,VALUE('Capacity summary'!L177)),0),L58*$BI58),L58*$BI58),0)</f>
        <v>0</v>
      </c>
      <c r="BP58" s="314">
        <f>IF($BI58&lt;&gt;"",IF('Capacity summary'!$D$14="Yes",IF(COUNTBLANK('Capacity summary'!$H177:$BG177)&lt;52,IF('Capacity summary'!M177&lt;&gt;"",IF(LOWER('Capacity summary'!M177)="x",$BI58*M58,VALUE('Capacity summary'!M177)),0),M58*$BI58),M58*$BI58),0)</f>
        <v>0</v>
      </c>
      <c r="BQ58" s="314">
        <f>IF($BI58&lt;&gt;"",IF('Capacity summary'!$D$14="Yes",IF(COUNTBLANK('Capacity summary'!$H177:$BG177)&lt;52,IF('Capacity summary'!N177&lt;&gt;"",IF(LOWER('Capacity summary'!N177)="x",$BI58*N58,VALUE('Capacity summary'!N177)),0),N58*$BI58),N58*$BI58),0)</f>
        <v>0</v>
      </c>
      <c r="BR58" s="314">
        <f>IF($BI58&lt;&gt;"",IF('Capacity summary'!$D$14="Yes",IF(COUNTBLANK('Capacity summary'!$H177:$BG177)&lt;52,IF('Capacity summary'!O177&lt;&gt;"",IF(LOWER('Capacity summary'!O177)="x",$BI58*O58,VALUE('Capacity summary'!O177)),0),O58*$BI58),O58*$BI58),0)</f>
        <v>0</v>
      </c>
      <c r="BS58" s="314">
        <f>IF($BI58&lt;&gt;"",IF('Capacity summary'!$D$14="Yes",IF(COUNTBLANK('Capacity summary'!$H177:$BG177)&lt;52,IF('Capacity summary'!P177&lt;&gt;"",IF(LOWER('Capacity summary'!P177)="x",$BI58*P58,VALUE('Capacity summary'!P177)),0),P58*$BI58),P58*$BI58),0)</f>
        <v>0</v>
      </c>
      <c r="BT58" s="314">
        <f>IF($BI58&lt;&gt;"",IF('Capacity summary'!$D$14="Yes",IF(COUNTBLANK('Capacity summary'!$H177:$BG177)&lt;52,IF('Capacity summary'!Q177&lt;&gt;"",IF(LOWER('Capacity summary'!Q177)="x",$BI58*Q58,VALUE('Capacity summary'!Q177)),0),Q58*$BI58),Q58*$BI58),0)</f>
        <v>0</v>
      </c>
      <c r="BU58" s="314">
        <f>IF($BI58&lt;&gt;"",IF('Capacity summary'!$D$14="Yes",IF(COUNTBLANK('Capacity summary'!$H177:$BG177)&lt;52,IF('Capacity summary'!R177&lt;&gt;"",IF(LOWER('Capacity summary'!R177)="x",$BI58*R58,VALUE('Capacity summary'!R177)),0),R58*$BI58),R58*$BI58),0)</f>
        <v>0</v>
      </c>
      <c r="BV58" s="314">
        <f>IF($BI58&lt;&gt;"",IF('Capacity summary'!$D$14="Yes",IF(COUNTBLANK('Capacity summary'!$H177:$BG177)&lt;52,IF('Capacity summary'!S177&lt;&gt;"",IF(LOWER('Capacity summary'!S177)="x",$BI58*S58,VALUE('Capacity summary'!S177)),0),S58*$BI58),S58*$BI58),0)</f>
        <v>0</v>
      </c>
      <c r="BW58" s="314">
        <f>IF($BI58&lt;&gt;"",IF('Capacity summary'!$D$14="Yes",IF(COUNTBLANK('Capacity summary'!$H177:$BG177)&lt;52,IF('Capacity summary'!T177&lt;&gt;"",IF(LOWER('Capacity summary'!T177)="x",$BI58*T58,VALUE('Capacity summary'!T177)),0),T58*$BI58),T58*$BI58),0)</f>
        <v>0</v>
      </c>
      <c r="BX58" s="314">
        <f>IF($BI58&lt;&gt;"",IF('Capacity summary'!$D$14="Yes",IF(COUNTBLANK('Capacity summary'!$H177:$BG177)&lt;52,IF('Capacity summary'!U177&lt;&gt;"",IF(LOWER('Capacity summary'!U177)="x",$BI58*U58,VALUE('Capacity summary'!U177)),0),U58*$BI58),U58*$BI58),0)</f>
        <v>0</v>
      </c>
      <c r="BY58" s="314">
        <f>IF($BI58&lt;&gt;"",IF('Capacity summary'!$D$14="Yes",IF(COUNTBLANK('Capacity summary'!$H177:$BG177)&lt;52,IF('Capacity summary'!V177&lt;&gt;"",IF(LOWER('Capacity summary'!V177)="x",$BI58*V58,VALUE('Capacity summary'!V177)),0),V58*$BI58),V58*$BI58),0)</f>
        <v>0</v>
      </c>
      <c r="BZ58" s="314">
        <f>IF($BI58&lt;&gt;"",IF('Capacity summary'!$D$14="Yes",IF(COUNTBLANK('Capacity summary'!$H177:$BG177)&lt;52,IF('Capacity summary'!W177&lt;&gt;"",IF(LOWER('Capacity summary'!W177)="x",$BI58*W58,VALUE('Capacity summary'!W177)),0),W58*$BI58),W58*$BI58),0)</f>
        <v>0</v>
      </c>
      <c r="CA58" s="314">
        <f>IF($BI58&lt;&gt;"",IF('Capacity summary'!$D$14="Yes",IF(COUNTBLANK('Capacity summary'!$H177:$BG177)&lt;52,IF('Capacity summary'!X177&lt;&gt;"",IF(LOWER('Capacity summary'!X177)="x",$BI58*X58,VALUE('Capacity summary'!X177)),0),X58*$BI58),X58*$BI58),0)</f>
        <v>0</v>
      </c>
      <c r="CB58" s="314">
        <f>IF($BI58&lt;&gt;"",IF('Capacity summary'!$D$14="Yes",IF(COUNTBLANK('Capacity summary'!$H177:$BG177)&lt;52,IF('Capacity summary'!Y177&lt;&gt;"",IF(LOWER('Capacity summary'!Y177)="x",$BI58*Y58,VALUE('Capacity summary'!Y177)),0),Y58*$BI58),Y58*$BI58),0)</f>
        <v>0</v>
      </c>
      <c r="CC58" s="314">
        <f>IF($BI58&lt;&gt;"",IF('Capacity summary'!$D$14="Yes",IF(COUNTBLANK('Capacity summary'!$H177:$BG177)&lt;52,IF('Capacity summary'!Z177&lt;&gt;"",IF(LOWER('Capacity summary'!Z177)="x",$BI58*Z58,VALUE('Capacity summary'!Z177)),0),Z58*$BI58),Z58*$BI58),0)</f>
        <v>0</v>
      </c>
      <c r="CD58" s="314">
        <f>IF($BI58&lt;&gt;"",IF('Capacity summary'!$D$14="Yes",IF(COUNTBLANK('Capacity summary'!$H177:$BG177)&lt;52,IF('Capacity summary'!AA177&lt;&gt;"",IF(LOWER('Capacity summary'!AA177)="x",$BI58*AA58,VALUE('Capacity summary'!AA177)),0),AA58*$BI58),AA58*$BI58),0)</f>
        <v>0</v>
      </c>
      <c r="CE58" s="314">
        <f>IF($BI58&lt;&gt;"",IF('Capacity summary'!$D$14="Yes",IF(COUNTBLANK('Capacity summary'!$H177:$BG177)&lt;52,IF('Capacity summary'!AB177&lt;&gt;"",IF(LOWER('Capacity summary'!AB177)="x",$BI58*AB58,VALUE('Capacity summary'!AB177)),0),AB58*$BI58),AB58*$BI58),0)</f>
        <v>0</v>
      </c>
      <c r="CF58" s="314">
        <f>IF($BI58&lt;&gt;"",IF('Capacity summary'!$D$14="Yes",IF(COUNTBLANK('Capacity summary'!$H177:$BG177)&lt;52,IF('Capacity summary'!AC177&lt;&gt;"",IF(LOWER('Capacity summary'!AC177)="x",$BI58*AC58,VALUE('Capacity summary'!AC177)),0),AC58*$BI58),AC58*$BI58),0)</f>
        <v>0</v>
      </c>
      <c r="CG58" s="314">
        <f>IF($BI58&lt;&gt;"",IF('Capacity summary'!$D$14="Yes",IF(COUNTBLANK('Capacity summary'!$H177:$BG177)&lt;52,IF('Capacity summary'!AD177&lt;&gt;"",IF(LOWER('Capacity summary'!AD177)="x",$BI58*AD58,VALUE('Capacity summary'!AD177)),0),AD58*$BI58),AD58*$BI58),0)</f>
        <v>0</v>
      </c>
      <c r="CH58" s="314">
        <f>IF($BI58&lt;&gt;"",IF('Capacity summary'!$D$14="Yes",IF(COUNTBLANK('Capacity summary'!$H177:$BG177)&lt;52,IF('Capacity summary'!AE177&lt;&gt;"",IF(LOWER('Capacity summary'!AE177)="x",$BI58*AE58,VALUE('Capacity summary'!AE177)),0),AE58*$BI58),AE58*$BI58),0)</f>
        <v>0</v>
      </c>
      <c r="CI58" s="314">
        <f>IF($BI58&lt;&gt;"",IF('Capacity summary'!$D$14="Yes",IF(COUNTBLANK('Capacity summary'!$H177:$BG177)&lt;52,IF('Capacity summary'!AF177&lt;&gt;"",IF(LOWER('Capacity summary'!AF177)="x",$BI58*AF58,VALUE('Capacity summary'!AF177)),0),AF58*$BI58),AF58*$BI58),0)</f>
        <v>0</v>
      </c>
      <c r="CJ58" s="314">
        <f>IF($BI58&lt;&gt;"",IF('Capacity summary'!$D$14="Yes",IF(COUNTBLANK('Capacity summary'!$H177:$BG177)&lt;52,IF('Capacity summary'!AG177&lt;&gt;"",IF(LOWER('Capacity summary'!AG177)="x",$BI58*AG58,VALUE('Capacity summary'!AG177)),0),AG58*$BI58),AG58*$BI58),0)</f>
        <v>0</v>
      </c>
      <c r="CK58" s="314">
        <f>IF($BI58&lt;&gt;"",IF('Capacity summary'!$D$14="Yes",IF(COUNTBLANK('Capacity summary'!$H177:$BG177)&lt;52,IF('Capacity summary'!AH177&lt;&gt;"",IF(LOWER('Capacity summary'!AH177)="x",$BI58*AH58,VALUE('Capacity summary'!AH177)),0),AH58*$BI58),AH58*$BI58),0)</f>
        <v>0</v>
      </c>
      <c r="CL58" s="314">
        <f>IF($BI58&lt;&gt;"",IF('Capacity summary'!$D$14="Yes",IF(COUNTBLANK('Capacity summary'!$H177:$BG177)&lt;52,IF('Capacity summary'!AI177&lt;&gt;"",IF(LOWER('Capacity summary'!AI177)="x",$BI58*AI58,VALUE('Capacity summary'!AI177)),0),AI58*$BI58),AI58*$BI58),0)</f>
        <v>0</v>
      </c>
      <c r="CM58" s="314">
        <f>IF($BI58&lt;&gt;"",IF('Capacity summary'!$D$14="Yes",IF(COUNTBLANK('Capacity summary'!$H177:$BG177)&lt;52,IF('Capacity summary'!AJ177&lt;&gt;"",IF(LOWER('Capacity summary'!AJ177)="x",$BI58*AJ58,VALUE('Capacity summary'!AJ177)),0),AJ58*$BI58),AJ58*$BI58),0)</f>
        <v>0</v>
      </c>
      <c r="CN58" s="314">
        <f>IF($BI58&lt;&gt;"",IF('Capacity summary'!$D$14="Yes",IF(COUNTBLANK('Capacity summary'!$H177:$BG177)&lt;52,IF('Capacity summary'!AK177&lt;&gt;"",IF(LOWER('Capacity summary'!AK177)="x",$BI58*AK58,VALUE('Capacity summary'!AK177)),0),AK58*$BI58),AK58*$BI58),0)</f>
        <v>0</v>
      </c>
      <c r="CO58" s="314">
        <f>IF($BI58&lt;&gt;"",IF('Capacity summary'!$D$14="Yes",IF(COUNTBLANK('Capacity summary'!$H177:$BG177)&lt;52,IF('Capacity summary'!AL177&lt;&gt;"",IF(LOWER('Capacity summary'!AL177)="x",$BI58*AL58,VALUE('Capacity summary'!AL177)),0),AL58*$BI58),AL58*$BI58),0)</f>
        <v>0</v>
      </c>
      <c r="CP58" s="314">
        <f>IF($BI58&lt;&gt;"",IF('Capacity summary'!$D$14="Yes",IF(COUNTBLANK('Capacity summary'!$H177:$BG177)&lt;52,IF('Capacity summary'!AM177&lt;&gt;"",IF(LOWER('Capacity summary'!AM177)="x",$BI58*AM58,VALUE('Capacity summary'!AM177)),0),AM58*$BI58),AM58*$BI58),0)</f>
        <v>0</v>
      </c>
      <c r="CQ58" s="314">
        <f>IF($BI58&lt;&gt;"",IF('Capacity summary'!$D$14="Yes",IF(COUNTBLANK('Capacity summary'!$H177:$BG177)&lt;52,IF('Capacity summary'!AN177&lt;&gt;"",IF(LOWER('Capacity summary'!AN177)="x",$BI58*AN58,VALUE('Capacity summary'!AN177)),0),AN58*$BI58),AN58*$BI58),0)</f>
        <v>0</v>
      </c>
      <c r="CR58" s="314">
        <f>IF($BI58&lt;&gt;"",IF('Capacity summary'!$D$14="Yes",IF(COUNTBLANK('Capacity summary'!$H177:$BG177)&lt;52,IF('Capacity summary'!AO177&lt;&gt;"",IF(LOWER('Capacity summary'!AO177)="x",$BI58*AO58,VALUE('Capacity summary'!AO177)),0),AO58*$BI58),AO58*$BI58),0)</f>
        <v>0</v>
      </c>
      <c r="CS58" s="314">
        <f>IF($BI58&lt;&gt;"",IF('Capacity summary'!$D$14="Yes",IF(COUNTBLANK('Capacity summary'!$H177:$BG177)&lt;52,IF('Capacity summary'!AP177&lt;&gt;"",IF(LOWER('Capacity summary'!AP177)="x",$BI58*AP58,VALUE('Capacity summary'!AP177)),0),AP58*$BI58),AP58*$BI58),0)</f>
        <v>0</v>
      </c>
      <c r="CT58" s="314">
        <f>IF($BI58&lt;&gt;"",IF('Capacity summary'!$D$14="Yes",IF(COUNTBLANK('Capacity summary'!$H177:$BG177)&lt;52,IF('Capacity summary'!AQ177&lt;&gt;"",IF(LOWER('Capacity summary'!AQ177)="x",$BI58*AQ58,VALUE('Capacity summary'!AQ177)),0),AQ58*$BI58),AQ58*$BI58),0)</f>
        <v>0</v>
      </c>
      <c r="CU58" s="314">
        <f>IF($BI58&lt;&gt;"",IF('Capacity summary'!$D$14="Yes",IF(COUNTBLANK('Capacity summary'!$H177:$BG177)&lt;52,IF('Capacity summary'!AR177&lt;&gt;"",IF(LOWER('Capacity summary'!AR177)="x",$BI58*AR58,VALUE('Capacity summary'!AR177)),0),AR58*$BI58),AR58*$BI58),0)</f>
        <v>0</v>
      </c>
      <c r="CV58" s="314">
        <f>IF($BI58&lt;&gt;"",IF('Capacity summary'!$D$14="Yes",IF(COUNTBLANK('Capacity summary'!$H177:$BG177)&lt;52,IF('Capacity summary'!AS177&lt;&gt;"",IF(LOWER('Capacity summary'!AS177)="x",$BI58*AS58,VALUE('Capacity summary'!AS177)),0),AS58*$BI58),AS58*$BI58),0)</f>
        <v>0</v>
      </c>
      <c r="CW58" s="314">
        <f>IF($BI58&lt;&gt;"",IF('Capacity summary'!$D$14="Yes",IF(COUNTBLANK('Capacity summary'!$H177:$BG177)&lt;52,IF('Capacity summary'!AT177&lt;&gt;"",IF(LOWER('Capacity summary'!AT177)="x",$BI58*AT58,VALUE('Capacity summary'!AT177)),0),AT58*$BI58),AT58*$BI58),0)</f>
        <v>0</v>
      </c>
      <c r="CX58" s="314">
        <f>IF($BI58&lt;&gt;"",IF('Capacity summary'!$D$14="Yes",IF(COUNTBLANK('Capacity summary'!$H177:$BG177)&lt;52,IF('Capacity summary'!AU177&lt;&gt;"",IF(LOWER('Capacity summary'!AU177)="x",$BI58*AU58,VALUE('Capacity summary'!AU177)),0),AU58*$BI58),AU58*$BI58),0)</f>
        <v>0</v>
      </c>
      <c r="CY58" s="314">
        <f>IF($BI58&lt;&gt;"",IF('Capacity summary'!$D$14="Yes",IF(COUNTBLANK('Capacity summary'!$H177:$BG177)&lt;52,IF('Capacity summary'!AV177&lt;&gt;"",IF(LOWER('Capacity summary'!AV177)="x",$BI58*AV58,VALUE('Capacity summary'!AV177)),0),AV58*$BI58),AV58*$BI58),0)</f>
        <v>0</v>
      </c>
      <c r="CZ58" s="314">
        <f>IF($BI58&lt;&gt;"",IF('Capacity summary'!$D$14="Yes",IF(COUNTBLANK('Capacity summary'!$H177:$BG177)&lt;52,IF('Capacity summary'!AW177&lt;&gt;"",IF(LOWER('Capacity summary'!AW177)="x",$BI58*AW58,VALUE('Capacity summary'!AW177)),0),AW58*$BI58),AW58*$BI58),0)</f>
        <v>0</v>
      </c>
      <c r="DA58" s="314">
        <f>IF($BI58&lt;&gt;"",IF('Capacity summary'!$D$14="Yes",IF(COUNTBLANK('Capacity summary'!$H177:$BG177)&lt;52,IF('Capacity summary'!AX177&lt;&gt;"",IF(LOWER('Capacity summary'!AX177)="x",$BI58*AX58,VALUE('Capacity summary'!AX177)),0),AX58*$BI58),AX58*$BI58),0)</f>
        <v>0</v>
      </c>
      <c r="DB58" s="314">
        <f>IF($BI58&lt;&gt;"",IF('Capacity summary'!$D$14="Yes",IF(COUNTBLANK('Capacity summary'!$H177:$BG177)&lt;52,IF('Capacity summary'!AY177&lt;&gt;"",IF(LOWER('Capacity summary'!AY177)="x",$BI58*AY58,VALUE('Capacity summary'!AY177)),0),AY58*$BI58),AY58*$BI58),0)</f>
        <v>0</v>
      </c>
      <c r="DC58" s="314">
        <f>IF($BI58&lt;&gt;"",IF('Capacity summary'!$D$14="Yes",IF(COUNTBLANK('Capacity summary'!$H177:$BG177)&lt;52,IF('Capacity summary'!AZ177&lt;&gt;"",IF(LOWER('Capacity summary'!AZ177)="x",$BI58*AZ58,VALUE('Capacity summary'!AZ177)),0),AZ58*$BI58),AZ58*$BI58),0)</f>
        <v>0</v>
      </c>
      <c r="DD58" s="314">
        <f>IF($BI58&lt;&gt;"",IF('Capacity summary'!$D$14="Yes",IF(COUNTBLANK('Capacity summary'!$H177:$BG177)&lt;52,IF('Capacity summary'!BA177&lt;&gt;"",IF(LOWER('Capacity summary'!BA177)="x",$BI58*BA58,VALUE('Capacity summary'!BA177)),0),BA58*$BI58),BA58*$BI58),0)</f>
        <v>0</v>
      </c>
      <c r="DE58" s="314">
        <f>IF($BI58&lt;&gt;"",IF('Capacity summary'!$D$14="Yes",IF(COUNTBLANK('Capacity summary'!$H177:$BG177)&lt;52,IF('Capacity summary'!BB177&lt;&gt;"",IF(LOWER('Capacity summary'!BB177)="x",$BI58*BB58,VALUE('Capacity summary'!BB177)),0),BB58*$BI58),BB58*$BI58),0)</f>
        <v>0</v>
      </c>
      <c r="DF58" s="314">
        <f>IF($BI58&lt;&gt;"",IF('Capacity summary'!$D$14="Yes",IF(COUNTBLANK('Capacity summary'!$H177:$BG177)&lt;52,IF('Capacity summary'!BC177&lt;&gt;"",IF(LOWER('Capacity summary'!BC177)="x",$BI58*BC58,VALUE('Capacity summary'!BC177)),0),BC58*$BI58),BC58*$BI58),0)</f>
        <v>0</v>
      </c>
      <c r="DG58" s="314">
        <f>IF($BI58&lt;&gt;"",IF('Capacity summary'!$D$14="Yes",IF(COUNTBLANK('Capacity summary'!$H177:$BG177)&lt;52,IF('Capacity summary'!BD177&lt;&gt;"",IF(LOWER('Capacity summary'!BD177)="x",$BI58*BD58,VALUE('Capacity summary'!BD177)),0),BD58*$BI58),BD58*$BI58),0)</f>
        <v>0</v>
      </c>
      <c r="DH58" s="314">
        <f>IF($BI58&lt;&gt;"",IF('Capacity summary'!$D$14="Yes",IF(COUNTBLANK('Capacity summary'!$H177:$BG177)&lt;52,IF('Capacity summary'!BE177&lt;&gt;"",IF(LOWER('Capacity summary'!BE177)="x",$BI58*BE58,VALUE('Capacity summary'!BE177)),0),BE58*$BI58),BE58*$BI58),0)</f>
        <v>0</v>
      </c>
      <c r="DI58" s="314">
        <f>IF($BI58&lt;&gt;"",IF('Capacity summary'!$D$14="Yes",IF(COUNTBLANK('Capacity summary'!$H177:$BG177)&lt;52,IF('Capacity summary'!BF177&lt;&gt;"",IF(LOWER('Capacity summary'!BF177)="x",$BI58*BF58,VALUE('Capacity summary'!BF177)),0),BF58*$BI58),BF58*$BI58),0)</f>
        <v>0</v>
      </c>
      <c r="DJ58" s="314">
        <f>IF($BI58&lt;&gt;"",IF('Capacity summary'!$D$14="Yes",IF(COUNTBLANK('Capacity summary'!$H177:$BG177)&lt;52,IF('Capacity summary'!BG177&lt;&gt;"",IF(LOWER('Capacity summary'!BG177)="x",$BI58*BG58,VALUE('Capacity summary'!BG177)),0),BG58*$BI58),BG58*$BI58),0)</f>
        <v>0</v>
      </c>
      <c r="DK58" s="137">
        <f t="shared" si="2"/>
        <v>0</v>
      </c>
      <c r="DL58" s="314" t="str">
        <f>Capacity!H70</f>
        <v/>
      </c>
    </row>
    <row r="59" spans="2:120" x14ac:dyDescent="0.25">
      <c r="B59" s="67"/>
      <c r="C59" s="67" t="str">
        <f>ROW(A55)&amp;". "&amp;Capacity!B71</f>
        <v xml:space="preserve">55. </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IF(ROW(C55)&lt;=Capacity!$A$16,IF('Capacity summary'!$D$14="No",SUM(H59:BG59),'Capacity summary'!$E178),0)</f>
        <v>0</v>
      </c>
      <c r="BI59" s="5" t="str">
        <f>IF(BH59&gt;0,IF(BH59&lt;Capacity!E71,Capacity!F71,Capacity!H71/'Capacity calculation (hide)'!BH59),"")</f>
        <v/>
      </c>
      <c r="BK59" s="314">
        <f>IF($BI59&lt;&gt;"",IF('Capacity summary'!$D$14="Yes",IF(COUNTBLANK('Capacity summary'!$H178:$BG178)&lt;52,IF('Capacity summary'!H178&lt;&gt;"",IF(LOWER('Capacity summary'!H178)="x",$BI59*H59,VALUE('Capacity summary'!H178)),0),H59*$BI59),H59*$BI59),0)</f>
        <v>0</v>
      </c>
      <c r="BL59" s="314">
        <f>IF($BI59&lt;&gt;"",IF('Capacity summary'!$D$14="Yes",IF(COUNTBLANK('Capacity summary'!$H178:$BG178)&lt;52,IF('Capacity summary'!I178&lt;&gt;"",IF(LOWER('Capacity summary'!I178)="x",$BI59*I59,VALUE('Capacity summary'!I178)),0),I59*$BI59),I59*$BI59),0)</f>
        <v>0</v>
      </c>
      <c r="BM59" s="314">
        <f>IF($BI59&lt;&gt;"",IF('Capacity summary'!$D$14="Yes",IF(COUNTBLANK('Capacity summary'!$H178:$BG178)&lt;52,IF('Capacity summary'!J178&lt;&gt;"",IF(LOWER('Capacity summary'!J178)="x",$BI59*J59,VALUE('Capacity summary'!J178)),0),J59*$BI59),J59*$BI59),0)</f>
        <v>0</v>
      </c>
      <c r="BN59" s="314">
        <f>IF($BI59&lt;&gt;"",IF('Capacity summary'!$D$14="Yes",IF(COUNTBLANK('Capacity summary'!$H178:$BG178)&lt;52,IF('Capacity summary'!K178&lt;&gt;"",IF(LOWER('Capacity summary'!K178)="x",$BI59*K59,VALUE('Capacity summary'!K178)),0),K59*$BI59),K59*$BI59),0)</f>
        <v>0</v>
      </c>
      <c r="BO59" s="314">
        <f>IF($BI59&lt;&gt;"",IF('Capacity summary'!$D$14="Yes",IF(COUNTBLANK('Capacity summary'!$H178:$BG178)&lt;52,IF('Capacity summary'!L178&lt;&gt;"",IF(LOWER('Capacity summary'!L178)="x",$BI59*L59,VALUE('Capacity summary'!L178)),0),L59*$BI59),L59*$BI59),0)</f>
        <v>0</v>
      </c>
      <c r="BP59" s="314">
        <f>IF($BI59&lt;&gt;"",IF('Capacity summary'!$D$14="Yes",IF(COUNTBLANK('Capacity summary'!$H178:$BG178)&lt;52,IF('Capacity summary'!M178&lt;&gt;"",IF(LOWER('Capacity summary'!M178)="x",$BI59*M59,VALUE('Capacity summary'!M178)),0),M59*$BI59),M59*$BI59),0)</f>
        <v>0</v>
      </c>
      <c r="BQ59" s="314">
        <f>IF($BI59&lt;&gt;"",IF('Capacity summary'!$D$14="Yes",IF(COUNTBLANK('Capacity summary'!$H178:$BG178)&lt;52,IF('Capacity summary'!N178&lt;&gt;"",IF(LOWER('Capacity summary'!N178)="x",$BI59*N59,VALUE('Capacity summary'!N178)),0),N59*$BI59),N59*$BI59),0)</f>
        <v>0</v>
      </c>
      <c r="BR59" s="314">
        <f>IF($BI59&lt;&gt;"",IF('Capacity summary'!$D$14="Yes",IF(COUNTBLANK('Capacity summary'!$H178:$BG178)&lt;52,IF('Capacity summary'!O178&lt;&gt;"",IF(LOWER('Capacity summary'!O178)="x",$BI59*O59,VALUE('Capacity summary'!O178)),0),O59*$BI59),O59*$BI59),0)</f>
        <v>0</v>
      </c>
      <c r="BS59" s="314">
        <f>IF($BI59&lt;&gt;"",IF('Capacity summary'!$D$14="Yes",IF(COUNTBLANK('Capacity summary'!$H178:$BG178)&lt;52,IF('Capacity summary'!P178&lt;&gt;"",IF(LOWER('Capacity summary'!P178)="x",$BI59*P59,VALUE('Capacity summary'!P178)),0),P59*$BI59),P59*$BI59),0)</f>
        <v>0</v>
      </c>
      <c r="BT59" s="314">
        <f>IF($BI59&lt;&gt;"",IF('Capacity summary'!$D$14="Yes",IF(COUNTBLANK('Capacity summary'!$H178:$BG178)&lt;52,IF('Capacity summary'!Q178&lt;&gt;"",IF(LOWER('Capacity summary'!Q178)="x",$BI59*Q59,VALUE('Capacity summary'!Q178)),0),Q59*$BI59),Q59*$BI59),0)</f>
        <v>0</v>
      </c>
      <c r="BU59" s="314">
        <f>IF($BI59&lt;&gt;"",IF('Capacity summary'!$D$14="Yes",IF(COUNTBLANK('Capacity summary'!$H178:$BG178)&lt;52,IF('Capacity summary'!R178&lt;&gt;"",IF(LOWER('Capacity summary'!R178)="x",$BI59*R59,VALUE('Capacity summary'!R178)),0),R59*$BI59),R59*$BI59),0)</f>
        <v>0</v>
      </c>
      <c r="BV59" s="314">
        <f>IF($BI59&lt;&gt;"",IF('Capacity summary'!$D$14="Yes",IF(COUNTBLANK('Capacity summary'!$H178:$BG178)&lt;52,IF('Capacity summary'!S178&lt;&gt;"",IF(LOWER('Capacity summary'!S178)="x",$BI59*S59,VALUE('Capacity summary'!S178)),0),S59*$BI59),S59*$BI59),0)</f>
        <v>0</v>
      </c>
      <c r="BW59" s="314">
        <f>IF($BI59&lt;&gt;"",IF('Capacity summary'!$D$14="Yes",IF(COUNTBLANK('Capacity summary'!$H178:$BG178)&lt;52,IF('Capacity summary'!T178&lt;&gt;"",IF(LOWER('Capacity summary'!T178)="x",$BI59*T59,VALUE('Capacity summary'!T178)),0),T59*$BI59),T59*$BI59),0)</f>
        <v>0</v>
      </c>
      <c r="BX59" s="314">
        <f>IF($BI59&lt;&gt;"",IF('Capacity summary'!$D$14="Yes",IF(COUNTBLANK('Capacity summary'!$H178:$BG178)&lt;52,IF('Capacity summary'!U178&lt;&gt;"",IF(LOWER('Capacity summary'!U178)="x",$BI59*U59,VALUE('Capacity summary'!U178)),0),U59*$BI59),U59*$BI59),0)</f>
        <v>0</v>
      </c>
      <c r="BY59" s="314">
        <f>IF($BI59&lt;&gt;"",IF('Capacity summary'!$D$14="Yes",IF(COUNTBLANK('Capacity summary'!$H178:$BG178)&lt;52,IF('Capacity summary'!V178&lt;&gt;"",IF(LOWER('Capacity summary'!V178)="x",$BI59*V59,VALUE('Capacity summary'!V178)),0),V59*$BI59),V59*$BI59),0)</f>
        <v>0</v>
      </c>
      <c r="BZ59" s="314">
        <f>IF($BI59&lt;&gt;"",IF('Capacity summary'!$D$14="Yes",IF(COUNTBLANK('Capacity summary'!$H178:$BG178)&lt;52,IF('Capacity summary'!W178&lt;&gt;"",IF(LOWER('Capacity summary'!W178)="x",$BI59*W59,VALUE('Capacity summary'!W178)),0),W59*$BI59),W59*$BI59),0)</f>
        <v>0</v>
      </c>
      <c r="CA59" s="314">
        <f>IF($BI59&lt;&gt;"",IF('Capacity summary'!$D$14="Yes",IF(COUNTBLANK('Capacity summary'!$H178:$BG178)&lt;52,IF('Capacity summary'!X178&lt;&gt;"",IF(LOWER('Capacity summary'!X178)="x",$BI59*X59,VALUE('Capacity summary'!X178)),0),X59*$BI59),X59*$BI59),0)</f>
        <v>0</v>
      </c>
      <c r="CB59" s="314">
        <f>IF($BI59&lt;&gt;"",IF('Capacity summary'!$D$14="Yes",IF(COUNTBLANK('Capacity summary'!$H178:$BG178)&lt;52,IF('Capacity summary'!Y178&lt;&gt;"",IF(LOWER('Capacity summary'!Y178)="x",$BI59*Y59,VALUE('Capacity summary'!Y178)),0),Y59*$BI59),Y59*$BI59),0)</f>
        <v>0</v>
      </c>
      <c r="CC59" s="314">
        <f>IF($BI59&lt;&gt;"",IF('Capacity summary'!$D$14="Yes",IF(COUNTBLANK('Capacity summary'!$H178:$BG178)&lt;52,IF('Capacity summary'!Z178&lt;&gt;"",IF(LOWER('Capacity summary'!Z178)="x",$BI59*Z59,VALUE('Capacity summary'!Z178)),0),Z59*$BI59),Z59*$BI59),0)</f>
        <v>0</v>
      </c>
      <c r="CD59" s="314">
        <f>IF($BI59&lt;&gt;"",IF('Capacity summary'!$D$14="Yes",IF(COUNTBLANK('Capacity summary'!$H178:$BG178)&lt;52,IF('Capacity summary'!AA178&lt;&gt;"",IF(LOWER('Capacity summary'!AA178)="x",$BI59*AA59,VALUE('Capacity summary'!AA178)),0),AA59*$BI59),AA59*$BI59),0)</f>
        <v>0</v>
      </c>
      <c r="CE59" s="314">
        <f>IF($BI59&lt;&gt;"",IF('Capacity summary'!$D$14="Yes",IF(COUNTBLANK('Capacity summary'!$H178:$BG178)&lt;52,IF('Capacity summary'!AB178&lt;&gt;"",IF(LOWER('Capacity summary'!AB178)="x",$BI59*AB59,VALUE('Capacity summary'!AB178)),0),AB59*$BI59),AB59*$BI59),0)</f>
        <v>0</v>
      </c>
      <c r="CF59" s="314">
        <f>IF($BI59&lt;&gt;"",IF('Capacity summary'!$D$14="Yes",IF(COUNTBLANK('Capacity summary'!$H178:$BG178)&lt;52,IF('Capacity summary'!AC178&lt;&gt;"",IF(LOWER('Capacity summary'!AC178)="x",$BI59*AC59,VALUE('Capacity summary'!AC178)),0),AC59*$BI59),AC59*$BI59),0)</f>
        <v>0</v>
      </c>
      <c r="CG59" s="314">
        <f>IF($BI59&lt;&gt;"",IF('Capacity summary'!$D$14="Yes",IF(COUNTBLANK('Capacity summary'!$H178:$BG178)&lt;52,IF('Capacity summary'!AD178&lt;&gt;"",IF(LOWER('Capacity summary'!AD178)="x",$BI59*AD59,VALUE('Capacity summary'!AD178)),0),AD59*$BI59),AD59*$BI59),0)</f>
        <v>0</v>
      </c>
      <c r="CH59" s="314">
        <f>IF($BI59&lt;&gt;"",IF('Capacity summary'!$D$14="Yes",IF(COUNTBLANK('Capacity summary'!$H178:$BG178)&lt;52,IF('Capacity summary'!AE178&lt;&gt;"",IF(LOWER('Capacity summary'!AE178)="x",$BI59*AE59,VALUE('Capacity summary'!AE178)),0),AE59*$BI59),AE59*$BI59),0)</f>
        <v>0</v>
      </c>
      <c r="CI59" s="314">
        <f>IF($BI59&lt;&gt;"",IF('Capacity summary'!$D$14="Yes",IF(COUNTBLANK('Capacity summary'!$H178:$BG178)&lt;52,IF('Capacity summary'!AF178&lt;&gt;"",IF(LOWER('Capacity summary'!AF178)="x",$BI59*AF59,VALUE('Capacity summary'!AF178)),0),AF59*$BI59),AF59*$BI59),0)</f>
        <v>0</v>
      </c>
      <c r="CJ59" s="314">
        <f>IF($BI59&lt;&gt;"",IF('Capacity summary'!$D$14="Yes",IF(COUNTBLANK('Capacity summary'!$H178:$BG178)&lt;52,IF('Capacity summary'!AG178&lt;&gt;"",IF(LOWER('Capacity summary'!AG178)="x",$BI59*AG59,VALUE('Capacity summary'!AG178)),0),AG59*$BI59),AG59*$BI59),0)</f>
        <v>0</v>
      </c>
      <c r="CK59" s="314">
        <f>IF($BI59&lt;&gt;"",IF('Capacity summary'!$D$14="Yes",IF(COUNTBLANK('Capacity summary'!$H178:$BG178)&lt;52,IF('Capacity summary'!AH178&lt;&gt;"",IF(LOWER('Capacity summary'!AH178)="x",$BI59*AH59,VALUE('Capacity summary'!AH178)),0),AH59*$BI59),AH59*$BI59),0)</f>
        <v>0</v>
      </c>
      <c r="CL59" s="314">
        <f>IF($BI59&lt;&gt;"",IF('Capacity summary'!$D$14="Yes",IF(COUNTBLANK('Capacity summary'!$H178:$BG178)&lt;52,IF('Capacity summary'!AI178&lt;&gt;"",IF(LOWER('Capacity summary'!AI178)="x",$BI59*AI59,VALUE('Capacity summary'!AI178)),0),AI59*$BI59),AI59*$BI59),0)</f>
        <v>0</v>
      </c>
      <c r="CM59" s="314">
        <f>IF($BI59&lt;&gt;"",IF('Capacity summary'!$D$14="Yes",IF(COUNTBLANK('Capacity summary'!$H178:$BG178)&lt;52,IF('Capacity summary'!AJ178&lt;&gt;"",IF(LOWER('Capacity summary'!AJ178)="x",$BI59*AJ59,VALUE('Capacity summary'!AJ178)),0),AJ59*$BI59),AJ59*$BI59),0)</f>
        <v>0</v>
      </c>
      <c r="CN59" s="314">
        <f>IF($BI59&lt;&gt;"",IF('Capacity summary'!$D$14="Yes",IF(COUNTBLANK('Capacity summary'!$H178:$BG178)&lt;52,IF('Capacity summary'!AK178&lt;&gt;"",IF(LOWER('Capacity summary'!AK178)="x",$BI59*AK59,VALUE('Capacity summary'!AK178)),0),AK59*$BI59),AK59*$BI59),0)</f>
        <v>0</v>
      </c>
      <c r="CO59" s="314">
        <f>IF($BI59&lt;&gt;"",IF('Capacity summary'!$D$14="Yes",IF(COUNTBLANK('Capacity summary'!$H178:$BG178)&lt;52,IF('Capacity summary'!AL178&lt;&gt;"",IF(LOWER('Capacity summary'!AL178)="x",$BI59*AL59,VALUE('Capacity summary'!AL178)),0),AL59*$BI59),AL59*$BI59),0)</f>
        <v>0</v>
      </c>
      <c r="CP59" s="314">
        <f>IF($BI59&lt;&gt;"",IF('Capacity summary'!$D$14="Yes",IF(COUNTBLANK('Capacity summary'!$H178:$BG178)&lt;52,IF('Capacity summary'!AM178&lt;&gt;"",IF(LOWER('Capacity summary'!AM178)="x",$BI59*AM59,VALUE('Capacity summary'!AM178)),0),AM59*$BI59),AM59*$BI59),0)</f>
        <v>0</v>
      </c>
      <c r="CQ59" s="314">
        <f>IF($BI59&lt;&gt;"",IF('Capacity summary'!$D$14="Yes",IF(COUNTBLANK('Capacity summary'!$H178:$BG178)&lt;52,IF('Capacity summary'!AN178&lt;&gt;"",IF(LOWER('Capacity summary'!AN178)="x",$BI59*AN59,VALUE('Capacity summary'!AN178)),0),AN59*$BI59),AN59*$BI59),0)</f>
        <v>0</v>
      </c>
      <c r="CR59" s="314">
        <f>IF($BI59&lt;&gt;"",IF('Capacity summary'!$D$14="Yes",IF(COUNTBLANK('Capacity summary'!$H178:$BG178)&lt;52,IF('Capacity summary'!AO178&lt;&gt;"",IF(LOWER('Capacity summary'!AO178)="x",$BI59*AO59,VALUE('Capacity summary'!AO178)),0),AO59*$BI59),AO59*$BI59),0)</f>
        <v>0</v>
      </c>
      <c r="CS59" s="314">
        <f>IF($BI59&lt;&gt;"",IF('Capacity summary'!$D$14="Yes",IF(COUNTBLANK('Capacity summary'!$H178:$BG178)&lt;52,IF('Capacity summary'!AP178&lt;&gt;"",IF(LOWER('Capacity summary'!AP178)="x",$BI59*AP59,VALUE('Capacity summary'!AP178)),0),AP59*$BI59),AP59*$BI59),0)</f>
        <v>0</v>
      </c>
      <c r="CT59" s="314">
        <f>IF($BI59&lt;&gt;"",IF('Capacity summary'!$D$14="Yes",IF(COUNTBLANK('Capacity summary'!$H178:$BG178)&lt;52,IF('Capacity summary'!AQ178&lt;&gt;"",IF(LOWER('Capacity summary'!AQ178)="x",$BI59*AQ59,VALUE('Capacity summary'!AQ178)),0),AQ59*$BI59),AQ59*$BI59),0)</f>
        <v>0</v>
      </c>
      <c r="CU59" s="314">
        <f>IF($BI59&lt;&gt;"",IF('Capacity summary'!$D$14="Yes",IF(COUNTBLANK('Capacity summary'!$H178:$BG178)&lt;52,IF('Capacity summary'!AR178&lt;&gt;"",IF(LOWER('Capacity summary'!AR178)="x",$BI59*AR59,VALUE('Capacity summary'!AR178)),0),AR59*$BI59),AR59*$BI59),0)</f>
        <v>0</v>
      </c>
      <c r="CV59" s="314">
        <f>IF($BI59&lt;&gt;"",IF('Capacity summary'!$D$14="Yes",IF(COUNTBLANK('Capacity summary'!$H178:$BG178)&lt;52,IF('Capacity summary'!AS178&lt;&gt;"",IF(LOWER('Capacity summary'!AS178)="x",$BI59*AS59,VALUE('Capacity summary'!AS178)),0),AS59*$BI59),AS59*$BI59),0)</f>
        <v>0</v>
      </c>
      <c r="CW59" s="314">
        <f>IF($BI59&lt;&gt;"",IF('Capacity summary'!$D$14="Yes",IF(COUNTBLANK('Capacity summary'!$H178:$BG178)&lt;52,IF('Capacity summary'!AT178&lt;&gt;"",IF(LOWER('Capacity summary'!AT178)="x",$BI59*AT59,VALUE('Capacity summary'!AT178)),0),AT59*$BI59),AT59*$BI59),0)</f>
        <v>0</v>
      </c>
      <c r="CX59" s="314">
        <f>IF($BI59&lt;&gt;"",IF('Capacity summary'!$D$14="Yes",IF(COUNTBLANK('Capacity summary'!$H178:$BG178)&lt;52,IF('Capacity summary'!AU178&lt;&gt;"",IF(LOWER('Capacity summary'!AU178)="x",$BI59*AU59,VALUE('Capacity summary'!AU178)),0),AU59*$BI59),AU59*$BI59),0)</f>
        <v>0</v>
      </c>
      <c r="CY59" s="314">
        <f>IF($BI59&lt;&gt;"",IF('Capacity summary'!$D$14="Yes",IF(COUNTBLANK('Capacity summary'!$H178:$BG178)&lt;52,IF('Capacity summary'!AV178&lt;&gt;"",IF(LOWER('Capacity summary'!AV178)="x",$BI59*AV59,VALUE('Capacity summary'!AV178)),0),AV59*$BI59),AV59*$BI59),0)</f>
        <v>0</v>
      </c>
      <c r="CZ59" s="314">
        <f>IF($BI59&lt;&gt;"",IF('Capacity summary'!$D$14="Yes",IF(COUNTBLANK('Capacity summary'!$H178:$BG178)&lt;52,IF('Capacity summary'!AW178&lt;&gt;"",IF(LOWER('Capacity summary'!AW178)="x",$BI59*AW59,VALUE('Capacity summary'!AW178)),0),AW59*$BI59),AW59*$BI59),0)</f>
        <v>0</v>
      </c>
      <c r="DA59" s="314">
        <f>IF($BI59&lt;&gt;"",IF('Capacity summary'!$D$14="Yes",IF(COUNTBLANK('Capacity summary'!$H178:$BG178)&lt;52,IF('Capacity summary'!AX178&lt;&gt;"",IF(LOWER('Capacity summary'!AX178)="x",$BI59*AX59,VALUE('Capacity summary'!AX178)),0),AX59*$BI59),AX59*$BI59),0)</f>
        <v>0</v>
      </c>
      <c r="DB59" s="314">
        <f>IF($BI59&lt;&gt;"",IF('Capacity summary'!$D$14="Yes",IF(COUNTBLANK('Capacity summary'!$H178:$BG178)&lt;52,IF('Capacity summary'!AY178&lt;&gt;"",IF(LOWER('Capacity summary'!AY178)="x",$BI59*AY59,VALUE('Capacity summary'!AY178)),0),AY59*$BI59),AY59*$BI59),0)</f>
        <v>0</v>
      </c>
      <c r="DC59" s="314">
        <f>IF($BI59&lt;&gt;"",IF('Capacity summary'!$D$14="Yes",IF(COUNTBLANK('Capacity summary'!$H178:$BG178)&lt;52,IF('Capacity summary'!AZ178&lt;&gt;"",IF(LOWER('Capacity summary'!AZ178)="x",$BI59*AZ59,VALUE('Capacity summary'!AZ178)),0),AZ59*$BI59),AZ59*$BI59),0)</f>
        <v>0</v>
      </c>
      <c r="DD59" s="314">
        <f>IF($BI59&lt;&gt;"",IF('Capacity summary'!$D$14="Yes",IF(COUNTBLANK('Capacity summary'!$H178:$BG178)&lt;52,IF('Capacity summary'!BA178&lt;&gt;"",IF(LOWER('Capacity summary'!BA178)="x",$BI59*BA59,VALUE('Capacity summary'!BA178)),0),BA59*$BI59),BA59*$BI59),0)</f>
        <v>0</v>
      </c>
      <c r="DE59" s="314">
        <f>IF($BI59&lt;&gt;"",IF('Capacity summary'!$D$14="Yes",IF(COUNTBLANK('Capacity summary'!$H178:$BG178)&lt;52,IF('Capacity summary'!BB178&lt;&gt;"",IF(LOWER('Capacity summary'!BB178)="x",$BI59*BB59,VALUE('Capacity summary'!BB178)),0),BB59*$BI59),BB59*$BI59),0)</f>
        <v>0</v>
      </c>
      <c r="DF59" s="314">
        <f>IF($BI59&lt;&gt;"",IF('Capacity summary'!$D$14="Yes",IF(COUNTBLANK('Capacity summary'!$H178:$BG178)&lt;52,IF('Capacity summary'!BC178&lt;&gt;"",IF(LOWER('Capacity summary'!BC178)="x",$BI59*BC59,VALUE('Capacity summary'!BC178)),0),BC59*$BI59),BC59*$BI59),0)</f>
        <v>0</v>
      </c>
      <c r="DG59" s="314">
        <f>IF($BI59&lt;&gt;"",IF('Capacity summary'!$D$14="Yes",IF(COUNTBLANK('Capacity summary'!$H178:$BG178)&lt;52,IF('Capacity summary'!BD178&lt;&gt;"",IF(LOWER('Capacity summary'!BD178)="x",$BI59*BD59,VALUE('Capacity summary'!BD178)),0),BD59*$BI59),BD59*$BI59),0)</f>
        <v>0</v>
      </c>
      <c r="DH59" s="314">
        <f>IF($BI59&lt;&gt;"",IF('Capacity summary'!$D$14="Yes",IF(COUNTBLANK('Capacity summary'!$H178:$BG178)&lt;52,IF('Capacity summary'!BE178&lt;&gt;"",IF(LOWER('Capacity summary'!BE178)="x",$BI59*BE59,VALUE('Capacity summary'!BE178)),0),BE59*$BI59),BE59*$BI59),0)</f>
        <v>0</v>
      </c>
      <c r="DI59" s="314">
        <f>IF($BI59&lt;&gt;"",IF('Capacity summary'!$D$14="Yes",IF(COUNTBLANK('Capacity summary'!$H178:$BG178)&lt;52,IF('Capacity summary'!BF178&lt;&gt;"",IF(LOWER('Capacity summary'!BF178)="x",$BI59*BF59,VALUE('Capacity summary'!BF178)),0),BF59*$BI59),BF59*$BI59),0)</f>
        <v>0</v>
      </c>
      <c r="DJ59" s="314">
        <f>IF($BI59&lt;&gt;"",IF('Capacity summary'!$D$14="Yes",IF(COUNTBLANK('Capacity summary'!$H178:$BG178)&lt;52,IF('Capacity summary'!BG178&lt;&gt;"",IF(LOWER('Capacity summary'!BG178)="x",$BI59*BG59,VALUE('Capacity summary'!BG178)),0),BG59*$BI59),BG59*$BI59),0)</f>
        <v>0</v>
      </c>
      <c r="DK59" s="137">
        <f t="shared" si="2"/>
        <v>0</v>
      </c>
      <c r="DL59" s="314" t="str">
        <f>Capacity!H71</f>
        <v/>
      </c>
    </row>
    <row r="60" spans="2:120" x14ac:dyDescent="0.25">
      <c r="B60" s="67"/>
      <c r="C60" s="67" t="str">
        <f>ROW(A56)&amp;". "&amp;Capacity!B72</f>
        <v xml:space="preserve">56. </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IF(ROW(C56)&lt;=Capacity!$A$16,IF('Capacity summary'!$D$14="No",SUM(H60:BG60),'Capacity summary'!$E179),0)</f>
        <v>0</v>
      </c>
      <c r="BI60" s="5" t="str">
        <f>IF(BH60&gt;0,IF(BH60&lt;Capacity!E72,Capacity!F72,Capacity!H72/'Capacity calculation (hide)'!BH60),"")</f>
        <v/>
      </c>
      <c r="BK60" s="314">
        <f>IF($BI60&lt;&gt;"",IF('Capacity summary'!$D$14="Yes",IF(COUNTBLANK('Capacity summary'!$H179:$BG179)&lt;52,IF('Capacity summary'!H179&lt;&gt;"",IF(LOWER('Capacity summary'!H179)="x",$BI60*H60,VALUE('Capacity summary'!H179)),0),H60*$BI60),H60*$BI60),0)</f>
        <v>0</v>
      </c>
      <c r="BL60" s="314">
        <f>IF($BI60&lt;&gt;"",IF('Capacity summary'!$D$14="Yes",IF(COUNTBLANK('Capacity summary'!$H179:$BG179)&lt;52,IF('Capacity summary'!I179&lt;&gt;"",IF(LOWER('Capacity summary'!I179)="x",$BI60*I60,VALUE('Capacity summary'!I179)),0),I60*$BI60),I60*$BI60),0)</f>
        <v>0</v>
      </c>
      <c r="BM60" s="314">
        <f>IF($BI60&lt;&gt;"",IF('Capacity summary'!$D$14="Yes",IF(COUNTBLANK('Capacity summary'!$H179:$BG179)&lt;52,IF('Capacity summary'!J179&lt;&gt;"",IF(LOWER('Capacity summary'!J179)="x",$BI60*J60,VALUE('Capacity summary'!J179)),0),J60*$BI60),J60*$BI60),0)</f>
        <v>0</v>
      </c>
      <c r="BN60" s="314">
        <f>IF($BI60&lt;&gt;"",IF('Capacity summary'!$D$14="Yes",IF(COUNTBLANK('Capacity summary'!$H179:$BG179)&lt;52,IF('Capacity summary'!K179&lt;&gt;"",IF(LOWER('Capacity summary'!K179)="x",$BI60*K60,VALUE('Capacity summary'!K179)),0),K60*$BI60),K60*$BI60),0)</f>
        <v>0</v>
      </c>
      <c r="BO60" s="314">
        <f>IF($BI60&lt;&gt;"",IF('Capacity summary'!$D$14="Yes",IF(COUNTBLANK('Capacity summary'!$H179:$BG179)&lt;52,IF('Capacity summary'!L179&lt;&gt;"",IF(LOWER('Capacity summary'!L179)="x",$BI60*L60,VALUE('Capacity summary'!L179)),0),L60*$BI60),L60*$BI60),0)</f>
        <v>0</v>
      </c>
      <c r="BP60" s="314">
        <f>IF($BI60&lt;&gt;"",IF('Capacity summary'!$D$14="Yes",IF(COUNTBLANK('Capacity summary'!$H179:$BG179)&lt;52,IF('Capacity summary'!M179&lt;&gt;"",IF(LOWER('Capacity summary'!M179)="x",$BI60*M60,VALUE('Capacity summary'!M179)),0),M60*$BI60),M60*$BI60),0)</f>
        <v>0</v>
      </c>
      <c r="BQ60" s="314">
        <f>IF($BI60&lt;&gt;"",IF('Capacity summary'!$D$14="Yes",IF(COUNTBLANK('Capacity summary'!$H179:$BG179)&lt;52,IF('Capacity summary'!N179&lt;&gt;"",IF(LOWER('Capacity summary'!N179)="x",$BI60*N60,VALUE('Capacity summary'!N179)),0),N60*$BI60),N60*$BI60),0)</f>
        <v>0</v>
      </c>
      <c r="BR60" s="314">
        <f>IF($BI60&lt;&gt;"",IF('Capacity summary'!$D$14="Yes",IF(COUNTBLANK('Capacity summary'!$H179:$BG179)&lt;52,IF('Capacity summary'!O179&lt;&gt;"",IF(LOWER('Capacity summary'!O179)="x",$BI60*O60,VALUE('Capacity summary'!O179)),0),O60*$BI60),O60*$BI60),0)</f>
        <v>0</v>
      </c>
      <c r="BS60" s="314">
        <f>IF($BI60&lt;&gt;"",IF('Capacity summary'!$D$14="Yes",IF(COUNTBLANK('Capacity summary'!$H179:$BG179)&lt;52,IF('Capacity summary'!P179&lt;&gt;"",IF(LOWER('Capacity summary'!P179)="x",$BI60*P60,VALUE('Capacity summary'!P179)),0),P60*$BI60),P60*$BI60),0)</f>
        <v>0</v>
      </c>
      <c r="BT60" s="314">
        <f>IF($BI60&lt;&gt;"",IF('Capacity summary'!$D$14="Yes",IF(COUNTBLANK('Capacity summary'!$H179:$BG179)&lt;52,IF('Capacity summary'!Q179&lt;&gt;"",IF(LOWER('Capacity summary'!Q179)="x",$BI60*Q60,VALUE('Capacity summary'!Q179)),0),Q60*$BI60),Q60*$BI60),0)</f>
        <v>0</v>
      </c>
      <c r="BU60" s="314">
        <f>IF($BI60&lt;&gt;"",IF('Capacity summary'!$D$14="Yes",IF(COUNTBLANK('Capacity summary'!$H179:$BG179)&lt;52,IF('Capacity summary'!R179&lt;&gt;"",IF(LOWER('Capacity summary'!R179)="x",$BI60*R60,VALUE('Capacity summary'!R179)),0),R60*$BI60),R60*$BI60),0)</f>
        <v>0</v>
      </c>
      <c r="BV60" s="314">
        <f>IF($BI60&lt;&gt;"",IF('Capacity summary'!$D$14="Yes",IF(COUNTBLANK('Capacity summary'!$H179:$BG179)&lt;52,IF('Capacity summary'!S179&lt;&gt;"",IF(LOWER('Capacity summary'!S179)="x",$BI60*S60,VALUE('Capacity summary'!S179)),0),S60*$BI60),S60*$BI60),0)</f>
        <v>0</v>
      </c>
      <c r="BW60" s="314">
        <f>IF($BI60&lt;&gt;"",IF('Capacity summary'!$D$14="Yes",IF(COUNTBLANK('Capacity summary'!$H179:$BG179)&lt;52,IF('Capacity summary'!T179&lt;&gt;"",IF(LOWER('Capacity summary'!T179)="x",$BI60*T60,VALUE('Capacity summary'!T179)),0),T60*$BI60),T60*$BI60),0)</f>
        <v>0</v>
      </c>
      <c r="BX60" s="314">
        <f>IF($BI60&lt;&gt;"",IF('Capacity summary'!$D$14="Yes",IF(COUNTBLANK('Capacity summary'!$H179:$BG179)&lt;52,IF('Capacity summary'!U179&lt;&gt;"",IF(LOWER('Capacity summary'!U179)="x",$BI60*U60,VALUE('Capacity summary'!U179)),0),U60*$BI60),U60*$BI60),0)</f>
        <v>0</v>
      </c>
      <c r="BY60" s="314">
        <f>IF($BI60&lt;&gt;"",IF('Capacity summary'!$D$14="Yes",IF(COUNTBLANK('Capacity summary'!$H179:$BG179)&lt;52,IF('Capacity summary'!V179&lt;&gt;"",IF(LOWER('Capacity summary'!V179)="x",$BI60*V60,VALUE('Capacity summary'!V179)),0),V60*$BI60),V60*$BI60),0)</f>
        <v>0</v>
      </c>
      <c r="BZ60" s="314">
        <f>IF($BI60&lt;&gt;"",IF('Capacity summary'!$D$14="Yes",IF(COUNTBLANK('Capacity summary'!$H179:$BG179)&lt;52,IF('Capacity summary'!W179&lt;&gt;"",IF(LOWER('Capacity summary'!W179)="x",$BI60*W60,VALUE('Capacity summary'!W179)),0),W60*$BI60),W60*$BI60),0)</f>
        <v>0</v>
      </c>
      <c r="CA60" s="314">
        <f>IF($BI60&lt;&gt;"",IF('Capacity summary'!$D$14="Yes",IF(COUNTBLANK('Capacity summary'!$H179:$BG179)&lt;52,IF('Capacity summary'!X179&lt;&gt;"",IF(LOWER('Capacity summary'!X179)="x",$BI60*X60,VALUE('Capacity summary'!X179)),0),X60*$BI60),X60*$BI60),0)</f>
        <v>0</v>
      </c>
      <c r="CB60" s="314">
        <f>IF($BI60&lt;&gt;"",IF('Capacity summary'!$D$14="Yes",IF(COUNTBLANK('Capacity summary'!$H179:$BG179)&lt;52,IF('Capacity summary'!Y179&lt;&gt;"",IF(LOWER('Capacity summary'!Y179)="x",$BI60*Y60,VALUE('Capacity summary'!Y179)),0),Y60*$BI60),Y60*$BI60),0)</f>
        <v>0</v>
      </c>
      <c r="CC60" s="314">
        <f>IF($BI60&lt;&gt;"",IF('Capacity summary'!$D$14="Yes",IF(COUNTBLANK('Capacity summary'!$H179:$BG179)&lt;52,IF('Capacity summary'!Z179&lt;&gt;"",IF(LOWER('Capacity summary'!Z179)="x",$BI60*Z60,VALUE('Capacity summary'!Z179)),0),Z60*$BI60),Z60*$BI60),0)</f>
        <v>0</v>
      </c>
      <c r="CD60" s="314">
        <f>IF($BI60&lt;&gt;"",IF('Capacity summary'!$D$14="Yes",IF(COUNTBLANK('Capacity summary'!$H179:$BG179)&lt;52,IF('Capacity summary'!AA179&lt;&gt;"",IF(LOWER('Capacity summary'!AA179)="x",$BI60*AA60,VALUE('Capacity summary'!AA179)),0),AA60*$BI60),AA60*$BI60),0)</f>
        <v>0</v>
      </c>
      <c r="CE60" s="314">
        <f>IF($BI60&lt;&gt;"",IF('Capacity summary'!$D$14="Yes",IF(COUNTBLANK('Capacity summary'!$H179:$BG179)&lt;52,IF('Capacity summary'!AB179&lt;&gt;"",IF(LOWER('Capacity summary'!AB179)="x",$BI60*AB60,VALUE('Capacity summary'!AB179)),0),AB60*$BI60),AB60*$BI60),0)</f>
        <v>0</v>
      </c>
      <c r="CF60" s="314">
        <f>IF($BI60&lt;&gt;"",IF('Capacity summary'!$D$14="Yes",IF(COUNTBLANK('Capacity summary'!$H179:$BG179)&lt;52,IF('Capacity summary'!AC179&lt;&gt;"",IF(LOWER('Capacity summary'!AC179)="x",$BI60*AC60,VALUE('Capacity summary'!AC179)),0),AC60*$BI60),AC60*$BI60),0)</f>
        <v>0</v>
      </c>
      <c r="CG60" s="314">
        <f>IF($BI60&lt;&gt;"",IF('Capacity summary'!$D$14="Yes",IF(COUNTBLANK('Capacity summary'!$H179:$BG179)&lt;52,IF('Capacity summary'!AD179&lt;&gt;"",IF(LOWER('Capacity summary'!AD179)="x",$BI60*AD60,VALUE('Capacity summary'!AD179)),0),AD60*$BI60),AD60*$BI60),0)</f>
        <v>0</v>
      </c>
      <c r="CH60" s="314">
        <f>IF($BI60&lt;&gt;"",IF('Capacity summary'!$D$14="Yes",IF(COUNTBLANK('Capacity summary'!$H179:$BG179)&lt;52,IF('Capacity summary'!AE179&lt;&gt;"",IF(LOWER('Capacity summary'!AE179)="x",$BI60*AE60,VALUE('Capacity summary'!AE179)),0),AE60*$BI60),AE60*$BI60),0)</f>
        <v>0</v>
      </c>
      <c r="CI60" s="314">
        <f>IF($BI60&lt;&gt;"",IF('Capacity summary'!$D$14="Yes",IF(COUNTBLANK('Capacity summary'!$H179:$BG179)&lt;52,IF('Capacity summary'!AF179&lt;&gt;"",IF(LOWER('Capacity summary'!AF179)="x",$BI60*AF60,VALUE('Capacity summary'!AF179)),0),AF60*$BI60),AF60*$BI60),0)</f>
        <v>0</v>
      </c>
      <c r="CJ60" s="314">
        <f>IF($BI60&lt;&gt;"",IF('Capacity summary'!$D$14="Yes",IF(COUNTBLANK('Capacity summary'!$H179:$BG179)&lt;52,IF('Capacity summary'!AG179&lt;&gt;"",IF(LOWER('Capacity summary'!AG179)="x",$BI60*AG60,VALUE('Capacity summary'!AG179)),0),AG60*$BI60),AG60*$BI60),0)</f>
        <v>0</v>
      </c>
      <c r="CK60" s="314">
        <f>IF($BI60&lt;&gt;"",IF('Capacity summary'!$D$14="Yes",IF(COUNTBLANK('Capacity summary'!$H179:$BG179)&lt;52,IF('Capacity summary'!AH179&lt;&gt;"",IF(LOWER('Capacity summary'!AH179)="x",$BI60*AH60,VALUE('Capacity summary'!AH179)),0),AH60*$BI60),AH60*$BI60),0)</f>
        <v>0</v>
      </c>
      <c r="CL60" s="314">
        <f>IF($BI60&lt;&gt;"",IF('Capacity summary'!$D$14="Yes",IF(COUNTBLANK('Capacity summary'!$H179:$BG179)&lt;52,IF('Capacity summary'!AI179&lt;&gt;"",IF(LOWER('Capacity summary'!AI179)="x",$BI60*AI60,VALUE('Capacity summary'!AI179)),0),AI60*$BI60),AI60*$BI60),0)</f>
        <v>0</v>
      </c>
      <c r="CM60" s="314">
        <f>IF($BI60&lt;&gt;"",IF('Capacity summary'!$D$14="Yes",IF(COUNTBLANK('Capacity summary'!$H179:$BG179)&lt;52,IF('Capacity summary'!AJ179&lt;&gt;"",IF(LOWER('Capacity summary'!AJ179)="x",$BI60*AJ60,VALUE('Capacity summary'!AJ179)),0),AJ60*$BI60),AJ60*$BI60),0)</f>
        <v>0</v>
      </c>
      <c r="CN60" s="314">
        <f>IF($BI60&lt;&gt;"",IF('Capacity summary'!$D$14="Yes",IF(COUNTBLANK('Capacity summary'!$H179:$BG179)&lt;52,IF('Capacity summary'!AK179&lt;&gt;"",IF(LOWER('Capacity summary'!AK179)="x",$BI60*AK60,VALUE('Capacity summary'!AK179)),0),AK60*$BI60),AK60*$BI60),0)</f>
        <v>0</v>
      </c>
      <c r="CO60" s="314">
        <f>IF($BI60&lt;&gt;"",IF('Capacity summary'!$D$14="Yes",IF(COUNTBLANK('Capacity summary'!$H179:$BG179)&lt;52,IF('Capacity summary'!AL179&lt;&gt;"",IF(LOWER('Capacity summary'!AL179)="x",$BI60*AL60,VALUE('Capacity summary'!AL179)),0),AL60*$BI60),AL60*$BI60),0)</f>
        <v>0</v>
      </c>
      <c r="CP60" s="314">
        <f>IF($BI60&lt;&gt;"",IF('Capacity summary'!$D$14="Yes",IF(COUNTBLANK('Capacity summary'!$H179:$BG179)&lt;52,IF('Capacity summary'!AM179&lt;&gt;"",IF(LOWER('Capacity summary'!AM179)="x",$BI60*AM60,VALUE('Capacity summary'!AM179)),0),AM60*$BI60),AM60*$BI60),0)</f>
        <v>0</v>
      </c>
      <c r="CQ60" s="314">
        <f>IF($BI60&lt;&gt;"",IF('Capacity summary'!$D$14="Yes",IF(COUNTBLANK('Capacity summary'!$H179:$BG179)&lt;52,IF('Capacity summary'!AN179&lt;&gt;"",IF(LOWER('Capacity summary'!AN179)="x",$BI60*AN60,VALUE('Capacity summary'!AN179)),0),AN60*$BI60),AN60*$BI60),0)</f>
        <v>0</v>
      </c>
      <c r="CR60" s="314">
        <f>IF($BI60&lt;&gt;"",IF('Capacity summary'!$D$14="Yes",IF(COUNTBLANK('Capacity summary'!$H179:$BG179)&lt;52,IF('Capacity summary'!AO179&lt;&gt;"",IF(LOWER('Capacity summary'!AO179)="x",$BI60*AO60,VALUE('Capacity summary'!AO179)),0),AO60*$BI60),AO60*$BI60),0)</f>
        <v>0</v>
      </c>
      <c r="CS60" s="314">
        <f>IF($BI60&lt;&gt;"",IF('Capacity summary'!$D$14="Yes",IF(COUNTBLANK('Capacity summary'!$H179:$BG179)&lt;52,IF('Capacity summary'!AP179&lt;&gt;"",IF(LOWER('Capacity summary'!AP179)="x",$BI60*AP60,VALUE('Capacity summary'!AP179)),0),AP60*$BI60),AP60*$BI60),0)</f>
        <v>0</v>
      </c>
      <c r="CT60" s="314">
        <f>IF($BI60&lt;&gt;"",IF('Capacity summary'!$D$14="Yes",IF(COUNTBLANK('Capacity summary'!$H179:$BG179)&lt;52,IF('Capacity summary'!AQ179&lt;&gt;"",IF(LOWER('Capacity summary'!AQ179)="x",$BI60*AQ60,VALUE('Capacity summary'!AQ179)),0),AQ60*$BI60),AQ60*$BI60),0)</f>
        <v>0</v>
      </c>
      <c r="CU60" s="314">
        <f>IF($BI60&lt;&gt;"",IF('Capacity summary'!$D$14="Yes",IF(COUNTBLANK('Capacity summary'!$H179:$BG179)&lt;52,IF('Capacity summary'!AR179&lt;&gt;"",IF(LOWER('Capacity summary'!AR179)="x",$BI60*AR60,VALUE('Capacity summary'!AR179)),0),AR60*$BI60),AR60*$BI60),0)</f>
        <v>0</v>
      </c>
      <c r="CV60" s="314">
        <f>IF($BI60&lt;&gt;"",IF('Capacity summary'!$D$14="Yes",IF(COUNTBLANK('Capacity summary'!$H179:$BG179)&lt;52,IF('Capacity summary'!AS179&lt;&gt;"",IF(LOWER('Capacity summary'!AS179)="x",$BI60*AS60,VALUE('Capacity summary'!AS179)),0),AS60*$BI60),AS60*$BI60),0)</f>
        <v>0</v>
      </c>
      <c r="CW60" s="314">
        <f>IF($BI60&lt;&gt;"",IF('Capacity summary'!$D$14="Yes",IF(COUNTBLANK('Capacity summary'!$H179:$BG179)&lt;52,IF('Capacity summary'!AT179&lt;&gt;"",IF(LOWER('Capacity summary'!AT179)="x",$BI60*AT60,VALUE('Capacity summary'!AT179)),0),AT60*$BI60),AT60*$BI60),0)</f>
        <v>0</v>
      </c>
      <c r="CX60" s="314">
        <f>IF($BI60&lt;&gt;"",IF('Capacity summary'!$D$14="Yes",IF(COUNTBLANK('Capacity summary'!$H179:$BG179)&lt;52,IF('Capacity summary'!AU179&lt;&gt;"",IF(LOWER('Capacity summary'!AU179)="x",$BI60*AU60,VALUE('Capacity summary'!AU179)),0),AU60*$BI60),AU60*$BI60),0)</f>
        <v>0</v>
      </c>
      <c r="CY60" s="314">
        <f>IF($BI60&lt;&gt;"",IF('Capacity summary'!$D$14="Yes",IF(COUNTBLANK('Capacity summary'!$H179:$BG179)&lt;52,IF('Capacity summary'!AV179&lt;&gt;"",IF(LOWER('Capacity summary'!AV179)="x",$BI60*AV60,VALUE('Capacity summary'!AV179)),0),AV60*$BI60),AV60*$BI60),0)</f>
        <v>0</v>
      </c>
      <c r="CZ60" s="314">
        <f>IF($BI60&lt;&gt;"",IF('Capacity summary'!$D$14="Yes",IF(COUNTBLANK('Capacity summary'!$H179:$BG179)&lt;52,IF('Capacity summary'!AW179&lt;&gt;"",IF(LOWER('Capacity summary'!AW179)="x",$BI60*AW60,VALUE('Capacity summary'!AW179)),0),AW60*$BI60),AW60*$BI60),0)</f>
        <v>0</v>
      </c>
      <c r="DA60" s="314">
        <f>IF($BI60&lt;&gt;"",IF('Capacity summary'!$D$14="Yes",IF(COUNTBLANK('Capacity summary'!$H179:$BG179)&lt;52,IF('Capacity summary'!AX179&lt;&gt;"",IF(LOWER('Capacity summary'!AX179)="x",$BI60*AX60,VALUE('Capacity summary'!AX179)),0),AX60*$BI60),AX60*$BI60),0)</f>
        <v>0</v>
      </c>
      <c r="DB60" s="314">
        <f>IF($BI60&lt;&gt;"",IF('Capacity summary'!$D$14="Yes",IF(COUNTBLANK('Capacity summary'!$H179:$BG179)&lt;52,IF('Capacity summary'!AY179&lt;&gt;"",IF(LOWER('Capacity summary'!AY179)="x",$BI60*AY60,VALUE('Capacity summary'!AY179)),0),AY60*$BI60),AY60*$BI60),0)</f>
        <v>0</v>
      </c>
      <c r="DC60" s="314">
        <f>IF($BI60&lt;&gt;"",IF('Capacity summary'!$D$14="Yes",IF(COUNTBLANK('Capacity summary'!$H179:$BG179)&lt;52,IF('Capacity summary'!AZ179&lt;&gt;"",IF(LOWER('Capacity summary'!AZ179)="x",$BI60*AZ60,VALUE('Capacity summary'!AZ179)),0),AZ60*$BI60),AZ60*$BI60),0)</f>
        <v>0</v>
      </c>
      <c r="DD60" s="314">
        <f>IF($BI60&lt;&gt;"",IF('Capacity summary'!$D$14="Yes",IF(COUNTBLANK('Capacity summary'!$H179:$BG179)&lt;52,IF('Capacity summary'!BA179&lt;&gt;"",IF(LOWER('Capacity summary'!BA179)="x",$BI60*BA60,VALUE('Capacity summary'!BA179)),0),BA60*$BI60),BA60*$BI60),0)</f>
        <v>0</v>
      </c>
      <c r="DE60" s="314">
        <f>IF($BI60&lt;&gt;"",IF('Capacity summary'!$D$14="Yes",IF(COUNTBLANK('Capacity summary'!$H179:$BG179)&lt;52,IF('Capacity summary'!BB179&lt;&gt;"",IF(LOWER('Capacity summary'!BB179)="x",$BI60*BB60,VALUE('Capacity summary'!BB179)),0),BB60*$BI60),BB60*$BI60),0)</f>
        <v>0</v>
      </c>
      <c r="DF60" s="314">
        <f>IF($BI60&lt;&gt;"",IF('Capacity summary'!$D$14="Yes",IF(COUNTBLANK('Capacity summary'!$H179:$BG179)&lt;52,IF('Capacity summary'!BC179&lt;&gt;"",IF(LOWER('Capacity summary'!BC179)="x",$BI60*BC60,VALUE('Capacity summary'!BC179)),0),BC60*$BI60),BC60*$BI60),0)</f>
        <v>0</v>
      </c>
      <c r="DG60" s="314">
        <f>IF($BI60&lt;&gt;"",IF('Capacity summary'!$D$14="Yes",IF(COUNTBLANK('Capacity summary'!$H179:$BG179)&lt;52,IF('Capacity summary'!BD179&lt;&gt;"",IF(LOWER('Capacity summary'!BD179)="x",$BI60*BD60,VALUE('Capacity summary'!BD179)),0),BD60*$BI60),BD60*$BI60),0)</f>
        <v>0</v>
      </c>
      <c r="DH60" s="314">
        <f>IF($BI60&lt;&gt;"",IF('Capacity summary'!$D$14="Yes",IF(COUNTBLANK('Capacity summary'!$H179:$BG179)&lt;52,IF('Capacity summary'!BE179&lt;&gt;"",IF(LOWER('Capacity summary'!BE179)="x",$BI60*BE60,VALUE('Capacity summary'!BE179)),0),BE60*$BI60),BE60*$BI60),0)</f>
        <v>0</v>
      </c>
      <c r="DI60" s="314">
        <f>IF($BI60&lt;&gt;"",IF('Capacity summary'!$D$14="Yes",IF(COUNTBLANK('Capacity summary'!$H179:$BG179)&lt;52,IF('Capacity summary'!BF179&lt;&gt;"",IF(LOWER('Capacity summary'!BF179)="x",$BI60*BF60,VALUE('Capacity summary'!BF179)),0),BF60*$BI60),BF60*$BI60),0)</f>
        <v>0</v>
      </c>
      <c r="DJ60" s="314">
        <f>IF($BI60&lt;&gt;"",IF('Capacity summary'!$D$14="Yes",IF(COUNTBLANK('Capacity summary'!$H179:$BG179)&lt;52,IF('Capacity summary'!BG179&lt;&gt;"",IF(LOWER('Capacity summary'!BG179)="x",$BI60*BG60,VALUE('Capacity summary'!BG179)),0),BG60*$BI60),BG60*$BI60),0)</f>
        <v>0</v>
      </c>
      <c r="DK60" s="137">
        <f t="shared" si="2"/>
        <v>0</v>
      </c>
      <c r="DL60" s="314" t="str">
        <f>Capacity!H72</f>
        <v/>
      </c>
    </row>
    <row r="61" spans="2:120" x14ac:dyDescent="0.25">
      <c r="B61" s="67"/>
      <c r="C61" s="67" t="str">
        <f>ROW(A57)&amp;". "&amp;Capacity!B73</f>
        <v xml:space="preserve">57. </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IF(ROW(C57)&lt;=Capacity!$A$16,IF('Capacity summary'!$D$14="No",SUM(H61:BG61),'Capacity summary'!$E180),0)</f>
        <v>0</v>
      </c>
      <c r="BI61" s="5" t="str">
        <f>IF(BH61&gt;0,IF(BH61&lt;Capacity!E73,Capacity!F73,Capacity!H73/'Capacity calculation (hide)'!BH61),"")</f>
        <v/>
      </c>
      <c r="BK61" s="314">
        <f>IF($BI61&lt;&gt;"",IF('Capacity summary'!$D$14="Yes",IF(COUNTBLANK('Capacity summary'!$H180:$BG180)&lt;52,IF('Capacity summary'!H180&lt;&gt;"",IF(LOWER('Capacity summary'!H180)="x",$BI61*H61,VALUE('Capacity summary'!H180)),0),H61*$BI61),H61*$BI61),0)</f>
        <v>0</v>
      </c>
      <c r="BL61" s="314">
        <f>IF($BI61&lt;&gt;"",IF('Capacity summary'!$D$14="Yes",IF(COUNTBLANK('Capacity summary'!$H180:$BG180)&lt;52,IF('Capacity summary'!I180&lt;&gt;"",IF(LOWER('Capacity summary'!I180)="x",$BI61*I61,VALUE('Capacity summary'!I180)),0),I61*$BI61),I61*$BI61),0)</f>
        <v>0</v>
      </c>
      <c r="BM61" s="314">
        <f>IF($BI61&lt;&gt;"",IF('Capacity summary'!$D$14="Yes",IF(COUNTBLANK('Capacity summary'!$H180:$BG180)&lt;52,IF('Capacity summary'!J180&lt;&gt;"",IF(LOWER('Capacity summary'!J180)="x",$BI61*J61,VALUE('Capacity summary'!J180)),0),J61*$BI61),J61*$BI61),0)</f>
        <v>0</v>
      </c>
      <c r="BN61" s="314">
        <f>IF($BI61&lt;&gt;"",IF('Capacity summary'!$D$14="Yes",IF(COUNTBLANK('Capacity summary'!$H180:$BG180)&lt;52,IF('Capacity summary'!K180&lt;&gt;"",IF(LOWER('Capacity summary'!K180)="x",$BI61*K61,VALUE('Capacity summary'!K180)),0),K61*$BI61),K61*$BI61),0)</f>
        <v>0</v>
      </c>
      <c r="BO61" s="314">
        <f>IF($BI61&lt;&gt;"",IF('Capacity summary'!$D$14="Yes",IF(COUNTBLANK('Capacity summary'!$H180:$BG180)&lt;52,IF('Capacity summary'!L180&lt;&gt;"",IF(LOWER('Capacity summary'!L180)="x",$BI61*L61,VALUE('Capacity summary'!L180)),0),L61*$BI61),L61*$BI61),0)</f>
        <v>0</v>
      </c>
      <c r="BP61" s="314">
        <f>IF($BI61&lt;&gt;"",IF('Capacity summary'!$D$14="Yes",IF(COUNTBLANK('Capacity summary'!$H180:$BG180)&lt;52,IF('Capacity summary'!M180&lt;&gt;"",IF(LOWER('Capacity summary'!M180)="x",$BI61*M61,VALUE('Capacity summary'!M180)),0),M61*$BI61),M61*$BI61),0)</f>
        <v>0</v>
      </c>
      <c r="BQ61" s="314">
        <f>IF($BI61&lt;&gt;"",IF('Capacity summary'!$D$14="Yes",IF(COUNTBLANK('Capacity summary'!$H180:$BG180)&lt;52,IF('Capacity summary'!N180&lt;&gt;"",IF(LOWER('Capacity summary'!N180)="x",$BI61*N61,VALUE('Capacity summary'!N180)),0),N61*$BI61),N61*$BI61),0)</f>
        <v>0</v>
      </c>
      <c r="BR61" s="314">
        <f>IF($BI61&lt;&gt;"",IF('Capacity summary'!$D$14="Yes",IF(COUNTBLANK('Capacity summary'!$H180:$BG180)&lt;52,IF('Capacity summary'!O180&lt;&gt;"",IF(LOWER('Capacity summary'!O180)="x",$BI61*O61,VALUE('Capacity summary'!O180)),0),O61*$BI61),O61*$BI61),0)</f>
        <v>0</v>
      </c>
      <c r="BS61" s="314">
        <f>IF($BI61&lt;&gt;"",IF('Capacity summary'!$D$14="Yes",IF(COUNTBLANK('Capacity summary'!$H180:$BG180)&lt;52,IF('Capacity summary'!P180&lt;&gt;"",IF(LOWER('Capacity summary'!P180)="x",$BI61*P61,VALUE('Capacity summary'!P180)),0),P61*$BI61),P61*$BI61),0)</f>
        <v>0</v>
      </c>
      <c r="BT61" s="314">
        <f>IF($BI61&lt;&gt;"",IF('Capacity summary'!$D$14="Yes",IF(COUNTBLANK('Capacity summary'!$H180:$BG180)&lt;52,IF('Capacity summary'!Q180&lt;&gt;"",IF(LOWER('Capacity summary'!Q180)="x",$BI61*Q61,VALUE('Capacity summary'!Q180)),0),Q61*$BI61),Q61*$BI61),0)</f>
        <v>0</v>
      </c>
      <c r="BU61" s="314">
        <f>IF($BI61&lt;&gt;"",IF('Capacity summary'!$D$14="Yes",IF(COUNTBLANK('Capacity summary'!$H180:$BG180)&lt;52,IF('Capacity summary'!R180&lt;&gt;"",IF(LOWER('Capacity summary'!R180)="x",$BI61*R61,VALUE('Capacity summary'!R180)),0),R61*$BI61),R61*$BI61),0)</f>
        <v>0</v>
      </c>
      <c r="BV61" s="314">
        <f>IF($BI61&lt;&gt;"",IF('Capacity summary'!$D$14="Yes",IF(COUNTBLANK('Capacity summary'!$H180:$BG180)&lt;52,IF('Capacity summary'!S180&lt;&gt;"",IF(LOWER('Capacity summary'!S180)="x",$BI61*S61,VALUE('Capacity summary'!S180)),0),S61*$BI61),S61*$BI61),0)</f>
        <v>0</v>
      </c>
      <c r="BW61" s="314">
        <f>IF($BI61&lt;&gt;"",IF('Capacity summary'!$D$14="Yes",IF(COUNTBLANK('Capacity summary'!$H180:$BG180)&lt;52,IF('Capacity summary'!T180&lt;&gt;"",IF(LOWER('Capacity summary'!T180)="x",$BI61*T61,VALUE('Capacity summary'!T180)),0),T61*$BI61),T61*$BI61),0)</f>
        <v>0</v>
      </c>
      <c r="BX61" s="314">
        <f>IF($BI61&lt;&gt;"",IF('Capacity summary'!$D$14="Yes",IF(COUNTBLANK('Capacity summary'!$H180:$BG180)&lt;52,IF('Capacity summary'!U180&lt;&gt;"",IF(LOWER('Capacity summary'!U180)="x",$BI61*U61,VALUE('Capacity summary'!U180)),0),U61*$BI61),U61*$BI61),0)</f>
        <v>0</v>
      </c>
      <c r="BY61" s="314">
        <f>IF($BI61&lt;&gt;"",IF('Capacity summary'!$D$14="Yes",IF(COUNTBLANK('Capacity summary'!$H180:$BG180)&lt;52,IF('Capacity summary'!V180&lt;&gt;"",IF(LOWER('Capacity summary'!V180)="x",$BI61*V61,VALUE('Capacity summary'!V180)),0),V61*$BI61),V61*$BI61),0)</f>
        <v>0</v>
      </c>
      <c r="BZ61" s="314">
        <f>IF($BI61&lt;&gt;"",IF('Capacity summary'!$D$14="Yes",IF(COUNTBLANK('Capacity summary'!$H180:$BG180)&lt;52,IF('Capacity summary'!W180&lt;&gt;"",IF(LOWER('Capacity summary'!W180)="x",$BI61*W61,VALUE('Capacity summary'!W180)),0),W61*$BI61),W61*$BI61),0)</f>
        <v>0</v>
      </c>
      <c r="CA61" s="314">
        <f>IF($BI61&lt;&gt;"",IF('Capacity summary'!$D$14="Yes",IF(COUNTBLANK('Capacity summary'!$H180:$BG180)&lt;52,IF('Capacity summary'!X180&lt;&gt;"",IF(LOWER('Capacity summary'!X180)="x",$BI61*X61,VALUE('Capacity summary'!X180)),0),X61*$BI61),X61*$BI61),0)</f>
        <v>0</v>
      </c>
      <c r="CB61" s="314">
        <f>IF($BI61&lt;&gt;"",IF('Capacity summary'!$D$14="Yes",IF(COUNTBLANK('Capacity summary'!$H180:$BG180)&lt;52,IF('Capacity summary'!Y180&lt;&gt;"",IF(LOWER('Capacity summary'!Y180)="x",$BI61*Y61,VALUE('Capacity summary'!Y180)),0),Y61*$BI61),Y61*$BI61),0)</f>
        <v>0</v>
      </c>
      <c r="CC61" s="314">
        <f>IF($BI61&lt;&gt;"",IF('Capacity summary'!$D$14="Yes",IF(COUNTBLANK('Capacity summary'!$H180:$BG180)&lt;52,IF('Capacity summary'!Z180&lt;&gt;"",IF(LOWER('Capacity summary'!Z180)="x",$BI61*Z61,VALUE('Capacity summary'!Z180)),0),Z61*$BI61),Z61*$BI61),0)</f>
        <v>0</v>
      </c>
      <c r="CD61" s="314">
        <f>IF($BI61&lt;&gt;"",IF('Capacity summary'!$D$14="Yes",IF(COUNTBLANK('Capacity summary'!$H180:$BG180)&lt;52,IF('Capacity summary'!AA180&lt;&gt;"",IF(LOWER('Capacity summary'!AA180)="x",$BI61*AA61,VALUE('Capacity summary'!AA180)),0),AA61*$BI61),AA61*$BI61),0)</f>
        <v>0</v>
      </c>
      <c r="CE61" s="314">
        <f>IF($BI61&lt;&gt;"",IF('Capacity summary'!$D$14="Yes",IF(COUNTBLANK('Capacity summary'!$H180:$BG180)&lt;52,IF('Capacity summary'!AB180&lt;&gt;"",IF(LOWER('Capacity summary'!AB180)="x",$BI61*AB61,VALUE('Capacity summary'!AB180)),0),AB61*$BI61),AB61*$BI61),0)</f>
        <v>0</v>
      </c>
      <c r="CF61" s="314">
        <f>IF($BI61&lt;&gt;"",IF('Capacity summary'!$D$14="Yes",IF(COUNTBLANK('Capacity summary'!$H180:$BG180)&lt;52,IF('Capacity summary'!AC180&lt;&gt;"",IF(LOWER('Capacity summary'!AC180)="x",$BI61*AC61,VALUE('Capacity summary'!AC180)),0),AC61*$BI61),AC61*$BI61),0)</f>
        <v>0</v>
      </c>
      <c r="CG61" s="314">
        <f>IF($BI61&lt;&gt;"",IF('Capacity summary'!$D$14="Yes",IF(COUNTBLANK('Capacity summary'!$H180:$BG180)&lt;52,IF('Capacity summary'!AD180&lt;&gt;"",IF(LOWER('Capacity summary'!AD180)="x",$BI61*AD61,VALUE('Capacity summary'!AD180)),0),AD61*$BI61),AD61*$BI61),0)</f>
        <v>0</v>
      </c>
      <c r="CH61" s="314">
        <f>IF($BI61&lt;&gt;"",IF('Capacity summary'!$D$14="Yes",IF(COUNTBLANK('Capacity summary'!$H180:$BG180)&lt;52,IF('Capacity summary'!AE180&lt;&gt;"",IF(LOWER('Capacity summary'!AE180)="x",$BI61*AE61,VALUE('Capacity summary'!AE180)),0),AE61*$BI61),AE61*$BI61),0)</f>
        <v>0</v>
      </c>
      <c r="CI61" s="314">
        <f>IF($BI61&lt;&gt;"",IF('Capacity summary'!$D$14="Yes",IF(COUNTBLANK('Capacity summary'!$H180:$BG180)&lt;52,IF('Capacity summary'!AF180&lt;&gt;"",IF(LOWER('Capacity summary'!AF180)="x",$BI61*AF61,VALUE('Capacity summary'!AF180)),0),AF61*$BI61),AF61*$BI61),0)</f>
        <v>0</v>
      </c>
      <c r="CJ61" s="314">
        <f>IF($BI61&lt;&gt;"",IF('Capacity summary'!$D$14="Yes",IF(COUNTBLANK('Capacity summary'!$H180:$BG180)&lt;52,IF('Capacity summary'!AG180&lt;&gt;"",IF(LOWER('Capacity summary'!AG180)="x",$BI61*AG61,VALUE('Capacity summary'!AG180)),0),AG61*$BI61),AG61*$BI61),0)</f>
        <v>0</v>
      </c>
      <c r="CK61" s="314">
        <f>IF($BI61&lt;&gt;"",IF('Capacity summary'!$D$14="Yes",IF(COUNTBLANK('Capacity summary'!$H180:$BG180)&lt;52,IF('Capacity summary'!AH180&lt;&gt;"",IF(LOWER('Capacity summary'!AH180)="x",$BI61*AH61,VALUE('Capacity summary'!AH180)),0),AH61*$BI61),AH61*$BI61),0)</f>
        <v>0</v>
      </c>
      <c r="CL61" s="314">
        <f>IF($BI61&lt;&gt;"",IF('Capacity summary'!$D$14="Yes",IF(COUNTBLANK('Capacity summary'!$H180:$BG180)&lt;52,IF('Capacity summary'!AI180&lt;&gt;"",IF(LOWER('Capacity summary'!AI180)="x",$BI61*AI61,VALUE('Capacity summary'!AI180)),0),AI61*$BI61),AI61*$BI61),0)</f>
        <v>0</v>
      </c>
      <c r="CM61" s="314">
        <f>IF($BI61&lt;&gt;"",IF('Capacity summary'!$D$14="Yes",IF(COUNTBLANK('Capacity summary'!$H180:$BG180)&lt;52,IF('Capacity summary'!AJ180&lt;&gt;"",IF(LOWER('Capacity summary'!AJ180)="x",$BI61*AJ61,VALUE('Capacity summary'!AJ180)),0),AJ61*$BI61),AJ61*$BI61),0)</f>
        <v>0</v>
      </c>
      <c r="CN61" s="314">
        <f>IF($BI61&lt;&gt;"",IF('Capacity summary'!$D$14="Yes",IF(COUNTBLANK('Capacity summary'!$H180:$BG180)&lt;52,IF('Capacity summary'!AK180&lt;&gt;"",IF(LOWER('Capacity summary'!AK180)="x",$BI61*AK61,VALUE('Capacity summary'!AK180)),0),AK61*$BI61),AK61*$BI61),0)</f>
        <v>0</v>
      </c>
      <c r="CO61" s="314">
        <f>IF($BI61&lt;&gt;"",IF('Capacity summary'!$D$14="Yes",IF(COUNTBLANK('Capacity summary'!$H180:$BG180)&lt;52,IF('Capacity summary'!AL180&lt;&gt;"",IF(LOWER('Capacity summary'!AL180)="x",$BI61*AL61,VALUE('Capacity summary'!AL180)),0),AL61*$BI61),AL61*$BI61),0)</f>
        <v>0</v>
      </c>
      <c r="CP61" s="314">
        <f>IF($BI61&lt;&gt;"",IF('Capacity summary'!$D$14="Yes",IF(COUNTBLANK('Capacity summary'!$H180:$BG180)&lt;52,IF('Capacity summary'!AM180&lt;&gt;"",IF(LOWER('Capacity summary'!AM180)="x",$BI61*AM61,VALUE('Capacity summary'!AM180)),0),AM61*$BI61),AM61*$BI61),0)</f>
        <v>0</v>
      </c>
      <c r="CQ61" s="314">
        <f>IF($BI61&lt;&gt;"",IF('Capacity summary'!$D$14="Yes",IF(COUNTBLANK('Capacity summary'!$H180:$BG180)&lt;52,IF('Capacity summary'!AN180&lt;&gt;"",IF(LOWER('Capacity summary'!AN180)="x",$BI61*AN61,VALUE('Capacity summary'!AN180)),0),AN61*$BI61),AN61*$BI61),0)</f>
        <v>0</v>
      </c>
      <c r="CR61" s="314">
        <f>IF($BI61&lt;&gt;"",IF('Capacity summary'!$D$14="Yes",IF(COUNTBLANK('Capacity summary'!$H180:$BG180)&lt;52,IF('Capacity summary'!AO180&lt;&gt;"",IF(LOWER('Capacity summary'!AO180)="x",$BI61*AO61,VALUE('Capacity summary'!AO180)),0),AO61*$BI61),AO61*$BI61),0)</f>
        <v>0</v>
      </c>
      <c r="CS61" s="314">
        <f>IF($BI61&lt;&gt;"",IF('Capacity summary'!$D$14="Yes",IF(COUNTBLANK('Capacity summary'!$H180:$BG180)&lt;52,IF('Capacity summary'!AP180&lt;&gt;"",IF(LOWER('Capacity summary'!AP180)="x",$BI61*AP61,VALUE('Capacity summary'!AP180)),0),AP61*$BI61),AP61*$BI61),0)</f>
        <v>0</v>
      </c>
      <c r="CT61" s="314">
        <f>IF($BI61&lt;&gt;"",IF('Capacity summary'!$D$14="Yes",IF(COUNTBLANK('Capacity summary'!$H180:$BG180)&lt;52,IF('Capacity summary'!AQ180&lt;&gt;"",IF(LOWER('Capacity summary'!AQ180)="x",$BI61*AQ61,VALUE('Capacity summary'!AQ180)),0),AQ61*$BI61),AQ61*$BI61),0)</f>
        <v>0</v>
      </c>
      <c r="CU61" s="314">
        <f>IF($BI61&lt;&gt;"",IF('Capacity summary'!$D$14="Yes",IF(COUNTBLANK('Capacity summary'!$H180:$BG180)&lt;52,IF('Capacity summary'!AR180&lt;&gt;"",IF(LOWER('Capacity summary'!AR180)="x",$BI61*AR61,VALUE('Capacity summary'!AR180)),0),AR61*$BI61),AR61*$BI61),0)</f>
        <v>0</v>
      </c>
      <c r="CV61" s="314">
        <f>IF($BI61&lt;&gt;"",IF('Capacity summary'!$D$14="Yes",IF(COUNTBLANK('Capacity summary'!$H180:$BG180)&lt;52,IF('Capacity summary'!AS180&lt;&gt;"",IF(LOWER('Capacity summary'!AS180)="x",$BI61*AS61,VALUE('Capacity summary'!AS180)),0),AS61*$BI61),AS61*$BI61),0)</f>
        <v>0</v>
      </c>
      <c r="CW61" s="314">
        <f>IF($BI61&lt;&gt;"",IF('Capacity summary'!$D$14="Yes",IF(COUNTBLANK('Capacity summary'!$H180:$BG180)&lt;52,IF('Capacity summary'!AT180&lt;&gt;"",IF(LOWER('Capacity summary'!AT180)="x",$BI61*AT61,VALUE('Capacity summary'!AT180)),0),AT61*$BI61),AT61*$BI61),0)</f>
        <v>0</v>
      </c>
      <c r="CX61" s="314">
        <f>IF($BI61&lt;&gt;"",IF('Capacity summary'!$D$14="Yes",IF(COUNTBLANK('Capacity summary'!$H180:$BG180)&lt;52,IF('Capacity summary'!AU180&lt;&gt;"",IF(LOWER('Capacity summary'!AU180)="x",$BI61*AU61,VALUE('Capacity summary'!AU180)),0),AU61*$BI61),AU61*$BI61),0)</f>
        <v>0</v>
      </c>
      <c r="CY61" s="314">
        <f>IF($BI61&lt;&gt;"",IF('Capacity summary'!$D$14="Yes",IF(COUNTBLANK('Capacity summary'!$H180:$BG180)&lt;52,IF('Capacity summary'!AV180&lt;&gt;"",IF(LOWER('Capacity summary'!AV180)="x",$BI61*AV61,VALUE('Capacity summary'!AV180)),0),AV61*$BI61),AV61*$BI61),0)</f>
        <v>0</v>
      </c>
      <c r="CZ61" s="314">
        <f>IF($BI61&lt;&gt;"",IF('Capacity summary'!$D$14="Yes",IF(COUNTBLANK('Capacity summary'!$H180:$BG180)&lt;52,IF('Capacity summary'!AW180&lt;&gt;"",IF(LOWER('Capacity summary'!AW180)="x",$BI61*AW61,VALUE('Capacity summary'!AW180)),0),AW61*$BI61),AW61*$BI61),0)</f>
        <v>0</v>
      </c>
      <c r="DA61" s="314">
        <f>IF($BI61&lt;&gt;"",IF('Capacity summary'!$D$14="Yes",IF(COUNTBLANK('Capacity summary'!$H180:$BG180)&lt;52,IF('Capacity summary'!AX180&lt;&gt;"",IF(LOWER('Capacity summary'!AX180)="x",$BI61*AX61,VALUE('Capacity summary'!AX180)),0),AX61*$BI61),AX61*$BI61),0)</f>
        <v>0</v>
      </c>
      <c r="DB61" s="314">
        <f>IF($BI61&lt;&gt;"",IF('Capacity summary'!$D$14="Yes",IF(COUNTBLANK('Capacity summary'!$H180:$BG180)&lt;52,IF('Capacity summary'!AY180&lt;&gt;"",IF(LOWER('Capacity summary'!AY180)="x",$BI61*AY61,VALUE('Capacity summary'!AY180)),0),AY61*$BI61),AY61*$BI61),0)</f>
        <v>0</v>
      </c>
      <c r="DC61" s="314">
        <f>IF($BI61&lt;&gt;"",IF('Capacity summary'!$D$14="Yes",IF(COUNTBLANK('Capacity summary'!$H180:$BG180)&lt;52,IF('Capacity summary'!AZ180&lt;&gt;"",IF(LOWER('Capacity summary'!AZ180)="x",$BI61*AZ61,VALUE('Capacity summary'!AZ180)),0),AZ61*$BI61),AZ61*$BI61),0)</f>
        <v>0</v>
      </c>
      <c r="DD61" s="314">
        <f>IF($BI61&lt;&gt;"",IF('Capacity summary'!$D$14="Yes",IF(COUNTBLANK('Capacity summary'!$H180:$BG180)&lt;52,IF('Capacity summary'!BA180&lt;&gt;"",IF(LOWER('Capacity summary'!BA180)="x",$BI61*BA61,VALUE('Capacity summary'!BA180)),0),BA61*$BI61),BA61*$BI61),0)</f>
        <v>0</v>
      </c>
      <c r="DE61" s="314">
        <f>IF($BI61&lt;&gt;"",IF('Capacity summary'!$D$14="Yes",IF(COUNTBLANK('Capacity summary'!$H180:$BG180)&lt;52,IF('Capacity summary'!BB180&lt;&gt;"",IF(LOWER('Capacity summary'!BB180)="x",$BI61*BB61,VALUE('Capacity summary'!BB180)),0),BB61*$BI61),BB61*$BI61),0)</f>
        <v>0</v>
      </c>
      <c r="DF61" s="314">
        <f>IF($BI61&lt;&gt;"",IF('Capacity summary'!$D$14="Yes",IF(COUNTBLANK('Capacity summary'!$H180:$BG180)&lt;52,IF('Capacity summary'!BC180&lt;&gt;"",IF(LOWER('Capacity summary'!BC180)="x",$BI61*BC61,VALUE('Capacity summary'!BC180)),0),BC61*$BI61),BC61*$BI61),0)</f>
        <v>0</v>
      </c>
      <c r="DG61" s="314">
        <f>IF($BI61&lt;&gt;"",IF('Capacity summary'!$D$14="Yes",IF(COUNTBLANK('Capacity summary'!$H180:$BG180)&lt;52,IF('Capacity summary'!BD180&lt;&gt;"",IF(LOWER('Capacity summary'!BD180)="x",$BI61*BD61,VALUE('Capacity summary'!BD180)),0),BD61*$BI61),BD61*$BI61),0)</f>
        <v>0</v>
      </c>
      <c r="DH61" s="314">
        <f>IF($BI61&lt;&gt;"",IF('Capacity summary'!$D$14="Yes",IF(COUNTBLANK('Capacity summary'!$H180:$BG180)&lt;52,IF('Capacity summary'!BE180&lt;&gt;"",IF(LOWER('Capacity summary'!BE180)="x",$BI61*BE61,VALUE('Capacity summary'!BE180)),0),BE61*$BI61),BE61*$BI61),0)</f>
        <v>0</v>
      </c>
      <c r="DI61" s="314">
        <f>IF($BI61&lt;&gt;"",IF('Capacity summary'!$D$14="Yes",IF(COUNTBLANK('Capacity summary'!$H180:$BG180)&lt;52,IF('Capacity summary'!BF180&lt;&gt;"",IF(LOWER('Capacity summary'!BF180)="x",$BI61*BF61,VALUE('Capacity summary'!BF180)),0),BF61*$BI61),BF61*$BI61),0)</f>
        <v>0</v>
      </c>
      <c r="DJ61" s="314">
        <f>IF($BI61&lt;&gt;"",IF('Capacity summary'!$D$14="Yes",IF(COUNTBLANK('Capacity summary'!$H180:$BG180)&lt;52,IF('Capacity summary'!BG180&lt;&gt;"",IF(LOWER('Capacity summary'!BG180)="x",$BI61*BG61,VALUE('Capacity summary'!BG180)),0),BG61*$BI61),BG61*$BI61),0)</f>
        <v>0</v>
      </c>
      <c r="DK61" s="137">
        <f t="shared" si="2"/>
        <v>0</v>
      </c>
      <c r="DL61" s="314" t="str">
        <f>Capacity!H73</f>
        <v/>
      </c>
    </row>
    <row r="62" spans="2:120" x14ac:dyDescent="0.25">
      <c r="B62" s="67"/>
      <c r="C62" s="67" t="str">
        <f>ROW(A58)&amp;". "&amp;Capacity!B74</f>
        <v xml:space="preserve">58. </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IF(ROW(C58)&lt;=Capacity!$A$16,IF('Capacity summary'!$D$14="No",SUM(H62:BG62),'Capacity summary'!$E181),0)</f>
        <v>0</v>
      </c>
      <c r="BI62" s="5" t="str">
        <f>IF(BH62&gt;0,IF(BH62&lt;Capacity!E74,Capacity!F74,Capacity!H74/'Capacity calculation (hide)'!BH62),"")</f>
        <v/>
      </c>
      <c r="BK62" s="314">
        <f>IF($BI62&lt;&gt;"",IF('Capacity summary'!$D$14="Yes",IF(COUNTBLANK('Capacity summary'!$H181:$BG181)&lt;52,IF('Capacity summary'!H181&lt;&gt;"",IF(LOWER('Capacity summary'!H181)="x",$BI62*H62,VALUE('Capacity summary'!H181)),0),H62*$BI62),H62*$BI62),0)</f>
        <v>0</v>
      </c>
      <c r="BL62" s="314">
        <f>IF($BI62&lt;&gt;"",IF('Capacity summary'!$D$14="Yes",IF(COUNTBLANK('Capacity summary'!$H181:$BG181)&lt;52,IF('Capacity summary'!I181&lt;&gt;"",IF(LOWER('Capacity summary'!I181)="x",$BI62*I62,VALUE('Capacity summary'!I181)),0),I62*$BI62),I62*$BI62),0)</f>
        <v>0</v>
      </c>
      <c r="BM62" s="314">
        <f>IF($BI62&lt;&gt;"",IF('Capacity summary'!$D$14="Yes",IF(COUNTBLANK('Capacity summary'!$H181:$BG181)&lt;52,IF('Capacity summary'!J181&lt;&gt;"",IF(LOWER('Capacity summary'!J181)="x",$BI62*J62,VALUE('Capacity summary'!J181)),0),J62*$BI62),J62*$BI62),0)</f>
        <v>0</v>
      </c>
      <c r="BN62" s="314">
        <f>IF($BI62&lt;&gt;"",IF('Capacity summary'!$D$14="Yes",IF(COUNTBLANK('Capacity summary'!$H181:$BG181)&lt;52,IF('Capacity summary'!K181&lt;&gt;"",IF(LOWER('Capacity summary'!K181)="x",$BI62*K62,VALUE('Capacity summary'!K181)),0),K62*$BI62),K62*$BI62),0)</f>
        <v>0</v>
      </c>
      <c r="BO62" s="314">
        <f>IF($BI62&lt;&gt;"",IF('Capacity summary'!$D$14="Yes",IF(COUNTBLANK('Capacity summary'!$H181:$BG181)&lt;52,IF('Capacity summary'!L181&lt;&gt;"",IF(LOWER('Capacity summary'!L181)="x",$BI62*L62,VALUE('Capacity summary'!L181)),0),L62*$BI62),L62*$BI62),0)</f>
        <v>0</v>
      </c>
      <c r="BP62" s="314">
        <f>IF($BI62&lt;&gt;"",IF('Capacity summary'!$D$14="Yes",IF(COUNTBLANK('Capacity summary'!$H181:$BG181)&lt;52,IF('Capacity summary'!M181&lt;&gt;"",IF(LOWER('Capacity summary'!M181)="x",$BI62*M62,VALUE('Capacity summary'!M181)),0),M62*$BI62),M62*$BI62),0)</f>
        <v>0</v>
      </c>
      <c r="BQ62" s="314">
        <f>IF($BI62&lt;&gt;"",IF('Capacity summary'!$D$14="Yes",IF(COUNTBLANK('Capacity summary'!$H181:$BG181)&lt;52,IF('Capacity summary'!N181&lt;&gt;"",IF(LOWER('Capacity summary'!N181)="x",$BI62*N62,VALUE('Capacity summary'!N181)),0),N62*$BI62),N62*$BI62),0)</f>
        <v>0</v>
      </c>
      <c r="BR62" s="314">
        <f>IF($BI62&lt;&gt;"",IF('Capacity summary'!$D$14="Yes",IF(COUNTBLANK('Capacity summary'!$H181:$BG181)&lt;52,IF('Capacity summary'!O181&lt;&gt;"",IF(LOWER('Capacity summary'!O181)="x",$BI62*O62,VALUE('Capacity summary'!O181)),0),O62*$BI62),O62*$BI62),0)</f>
        <v>0</v>
      </c>
      <c r="BS62" s="314">
        <f>IF($BI62&lt;&gt;"",IF('Capacity summary'!$D$14="Yes",IF(COUNTBLANK('Capacity summary'!$H181:$BG181)&lt;52,IF('Capacity summary'!P181&lt;&gt;"",IF(LOWER('Capacity summary'!P181)="x",$BI62*P62,VALUE('Capacity summary'!P181)),0),P62*$BI62),P62*$BI62),0)</f>
        <v>0</v>
      </c>
      <c r="BT62" s="314">
        <f>IF($BI62&lt;&gt;"",IF('Capacity summary'!$D$14="Yes",IF(COUNTBLANK('Capacity summary'!$H181:$BG181)&lt;52,IF('Capacity summary'!Q181&lt;&gt;"",IF(LOWER('Capacity summary'!Q181)="x",$BI62*Q62,VALUE('Capacity summary'!Q181)),0),Q62*$BI62),Q62*$BI62),0)</f>
        <v>0</v>
      </c>
      <c r="BU62" s="314">
        <f>IF($BI62&lt;&gt;"",IF('Capacity summary'!$D$14="Yes",IF(COUNTBLANK('Capacity summary'!$H181:$BG181)&lt;52,IF('Capacity summary'!R181&lt;&gt;"",IF(LOWER('Capacity summary'!R181)="x",$BI62*R62,VALUE('Capacity summary'!R181)),0),R62*$BI62),R62*$BI62),0)</f>
        <v>0</v>
      </c>
      <c r="BV62" s="314">
        <f>IF($BI62&lt;&gt;"",IF('Capacity summary'!$D$14="Yes",IF(COUNTBLANK('Capacity summary'!$H181:$BG181)&lt;52,IF('Capacity summary'!S181&lt;&gt;"",IF(LOWER('Capacity summary'!S181)="x",$BI62*S62,VALUE('Capacity summary'!S181)),0),S62*$BI62),S62*$BI62),0)</f>
        <v>0</v>
      </c>
      <c r="BW62" s="314">
        <f>IF($BI62&lt;&gt;"",IF('Capacity summary'!$D$14="Yes",IF(COUNTBLANK('Capacity summary'!$H181:$BG181)&lt;52,IF('Capacity summary'!T181&lt;&gt;"",IF(LOWER('Capacity summary'!T181)="x",$BI62*T62,VALUE('Capacity summary'!T181)),0),T62*$BI62),T62*$BI62),0)</f>
        <v>0</v>
      </c>
      <c r="BX62" s="314">
        <f>IF($BI62&lt;&gt;"",IF('Capacity summary'!$D$14="Yes",IF(COUNTBLANK('Capacity summary'!$H181:$BG181)&lt;52,IF('Capacity summary'!U181&lt;&gt;"",IF(LOWER('Capacity summary'!U181)="x",$BI62*U62,VALUE('Capacity summary'!U181)),0),U62*$BI62),U62*$BI62),0)</f>
        <v>0</v>
      </c>
      <c r="BY62" s="314">
        <f>IF($BI62&lt;&gt;"",IF('Capacity summary'!$D$14="Yes",IF(COUNTBLANK('Capacity summary'!$H181:$BG181)&lt;52,IF('Capacity summary'!V181&lt;&gt;"",IF(LOWER('Capacity summary'!V181)="x",$BI62*V62,VALUE('Capacity summary'!V181)),0),V62*$BI62),V62*$BI62),0)</f>
        <v>0</v>
      </c>
      <c r="BZ62" s="314">
        <f>IF($BI62&lt;&gt;"",IF('Capacity summary'!$D$14="Yes",IF(COUNTBLANK('Capacity summary'!$H181:$BG181)&lt;52,IF('Capacity summary'!W181&lt;&gt;"",IF(LOWER('Capacity summary'!W181)="x",$BI62*W62,VALUE('Capacity summary'!W181)),0),W62*$BI62),W62*$BI62),0)</f>
        <v>0</v>
      </c>
      <c r="CA62" s="314">
        <f>IF($BI62&lt;&gt;"",IF('Capacity summary'!$D$14="Yes",IF(COUNTBLANK('Capacity summary'!$H181:$BG181)&lt;52,IF('Capacity summary'!X181&lt;&gt;"",IF(LOWER('Capacity summary'!X181)="x",$BI62*X62,VALUE('Capacity summary'!X181)),0),X62*$BI62),X62*$BI62),0)</f>
        <v>0</v>
      </c>
      <c r="CB62" s="314">
        <f>IF($BI62&lt;&gt;"",IF('Capacity summary'!$D$14="Yes",IF(COUNTBLANK('Capacity summary'!$H181:$BG181)&lt;52,IF('Capacity summary'!Y181&lt;&gt;"",IF(LOWER('Capacity summary'!Y181)="x",$BI62*Y62,VALUE('Capacity summary'!Y181)),0),Y62*$BI62),Y62*$BI62),0)</f>
        <v>0</v>
      </c>
      <c r="CC62" s="314">
        <f>IF($BI62&lt;&gt;"",IF('Capacity summary'!$D$14="Yes",IF(COUNTBLANK('Capacity summary'!$H181:$BG181)&lt;52,IF('Capacity summary'!Z181&lt;&gt;"",IF(LOWER('Capacity summary'!Z181)="x",$BI62*Z62,VALUE('Capacity summary'!Z181)),0),Z62*$BI62),Z62*$BI62),0)</f>
        <v>0</v>
      </c>
      <c r="CD62" s="314">
        <f>IF($BI62&lt;&gt;"",IF('Capacity summary'!$D$14="Yes",IF(COUNTBLANK('Capacity summary'!$H181:$BG181)&lt;52,IF('Capacity summary'!AA181&lt;&gt;"",IF(LOWER('Capacity summary'!AA181)="x",$BI62*AA62,VALUE('Capacity summary'!AA181)),0),AA62*$BI62),AA62*$BI62),0)</f>
        <v>0</v>
      </c>
      <c r="CE62" s="314">
        <f>IF($BI62&lt;&gt;"",IF('Capacity summary'!$D$14="Yes",IF(COUNTBLANK('Capacity summary'!$H181:$BG181)&lt;52,IF('Capacity summary'!AB181&lt;&gt;"",IF(LOWER('Capacity summary'!AB181)="x",$BI62*AB62,VALUE('Capacity summary'!AB181)),0),AB62*$BI62),AB62*$BI62),0)</f>
        <v>0</v>
      </c>
      <c r="CF62" s="314">
        <f>IF($BI62&lt;&gt;"",IF('Capacity summary'!$D$14="Yes",IF(COUNTBLANK('Capacity summary'!$H181:$BG181)&lt;52,IF('Capacity summary'!AC181&lt;&gt;"",IF(LOWER('Capacity summary'!AC181)="x",$BI62*AC62,VALUE('Capacity summary'!AC181)),0),AC62*$BI62),AC62*$BI62),0)</f>
        <v>0</v>
      </c>
      <c r="CG62" s="314">
        <f>IF($BI62&lt;&gt;"",IF('Capacity summary'!$D$14="Yes",IF(COUNTBLANK('Capacity summary'!$H181:$BG181)&lt;52,IF('Capacity summary'!AD181&lt;&gt;"",IF(LOWER('Capacity summary'!AD181)="x",$BI62*AD62,VALUE('Capacity summary'!AD181)),0),AD62*$BI62),AD62*$BI62),0)</f>
        <v>0</v>
      </c>
      <c r="CH62" s="314">
        <f>IF($BI62&lt;&gt;"",IF('Capacity summary'!$D$14="Yes",IF(COUNTBLANK('Capacity summary'!$H181:$BG181)&lt;52,IF('Capacity summary'!AE181&lt;&gt;"",IF(LOWER('Capacity summary'!AE181)="x",$BI62*AE62,VALUE('Capacity summary'!AE181)),0),AE62*$BI62),AE62*$BI62),0)</f>
        <v>0</v>
      </c>
      <c r="CI62" s="314">
        <f>IF($BI62&lt;&gt;"",IF('Capacity summary'!$D$14="Yes",IF(COUNTBLANK('Capacity summary'!$H181:$BG181)&lt;52,IF('Capacity summary'!AF181&lt;&gt;"",IF(LOWER('Capacity summary'!AF181)="x",$BI62*AF62,VALUE('Capacity summary'!AF181)),0),AF62*$BI62),AF62*$BI62),0)</f>
        <v>0</v>
      </c>
      <c r="CJ62" s="314">
        <f>IF($BI62&lt;&gt;"",IF('Capacity summary'!$D$14="Yes",IF(COUNTBLANK('Capacity summary'!$H181:$BG181)&lt;52,IF('Capacity summary'!AG181&lt;&gt;"",IF(LOWER('Capacity summary'!AG181)="x",$BI62*AG62,VALUE('Capacity summary'!AG181)),0),AG62*$BI62),AG62*$BI62),0)</f>
        <v>0</v>
      </c>
      <c r="CK62" s="314">
        <f>IF($BI62&lt;&gt;"",IF('Capacity summary'!$D$14="Yes",IF(COUNTBLANK('Capacity summary'!$H181:$BG181)&lt;52,IF('Capacity summary'!AH181&lt;&gt;"",IF(LOWER('Capacity summary'!AH181)="x",$BI62*AH62,VALUE('Capacity summary'!AH181)),0),AH62*$BI62),AH62*$BI62),0)</f>
        <v>0</v>
      </c>
      <c r="CL62" s="314">
        <f>IF($BI62&lt;&gt;"",IF('Capacity summary'!$D$14="Yes",IF(COUNTBLANK('Capacity summary'!$H181:$BG181)&lt;52,IF('Capacity summary'!AI181&lt;&gt;"",IF(LOWER('Capacity summary'!AI181)="x",$BI62*AI62,VALUE('Capacity summary'!AI181)),0),AI62*$BI62),AI62*$BI62),0)</f>
        <v>0</v>
      </c>
      <c r="CM62" s="314">
        <f>IF($BI62&lt;&gt;"",IF('Capacity summary'!$D$14="Yes",IF(COUNTBLANK('Capacity summary'!$H181:$BG181)&lt;52,IF('Capacity summary'!AJ181&lt;&gt;"",IF(LOWER('Capacity summary'!AJ181)="x",$BI62*AJ62,VALUE('Capacity summary'!AJ181)),0),AJ62*$BI62),AJ62*$BI62),0)</f>
        <v>0</v>
      </c>
      <c r="CN62" s="314">
        <f>IF($BI62&lt;&gt;"",IF('Capacity summary'!$D$14="Yes",IF(COUNTBLANK('Capacity summary'!$H181:$BG181)&lt;52,IF('Capacity summary'!AK181&lt;&gt;"",IF(LOWER('Capacity summary'!AK181)="x",$BI62*AK62,VALUE('Capacity summary'!AK181)),0),AK62*$BI62),AK62*$BI62),0)</f>
        <v>0</v>
      </c>
      <c r="CO62" s="314">
        <f>IF($BI62&lt;&gt;"",IF('Capacity summary'!$D$14="Yes",IF(COUNTBLANK('Capacity summary'!$H181:$BG181)&lt;52,IF('Capacity summary'!AL181&lt;&gt;"",IF(LOWER('Capacity summary'!AL181)="x",$BI62*AL62,VALUE('Capacity summary'!AL181)),0),AL62*$BI62),AL62*$BI62),0)</f>
        <v>0</v>
      </c>
      <c r="CP62" s="314">
        <f>IF($BI62&lt;&gt;"",IF('Capacity summary'!$D$14="Yes",IF(COUNTBLANK('Capacity summary'!$H181:$BG181)&lt;52,IF('Capacity summary'!AM181&lt;&gt;"",IF(LOWER('Capacity summary'!AM181)="x",$BI62*AM62,VALUE('Capacity summary'!AM181)),0),AM62*$BI62),AM62*$BI62),0)</f>
        <v>0</v>
      </c>
      <c r="CQ62" s="314">
        <f>IF($BI62&lt;&gt;"",IF('Capacity summary'!$D$14="Yes",IF(COUNTBLANK('Capacity summary'!$H181:$BG181)&lt;52,IF('Capacity summary'!AN181&lt;&gt;"",IF(LOWER('Capacity summary'!AN181)="x",$BI62*AN62,VALUE('Capacity summary'!AN181)),0),AN62*$BI62),AN62*$BI62),0)</f>
        <v>0</v>
      </c>
      <c r="CR62" s="314">
        <f>IF($BI62&lt;&gt;"",IF('Capacity summary'!$D$14="Yes",IF(COUNTBLANK('Capacity summary'!$H181:$BG181)&lt;52,IF('Capacity summary'!AO181&lt;&gt;"",IF(LOWER('Capacity summary'!AO181)="x",$BI62*AO62,VALUE('Capacity summary'!AO181)),0),AO62*$BI62),AO62*$BI62),0)</f>
        <v>0</v>
      </c>
      <c r="CS62" s="314">
        <f>IF($BI62&lt;&gt;"",IF('Capacity summary'!$D$14="Yes",IF(COUNTBLANK('Capacity summary'!$H181:$BG181)&lt;52,IF('Capacity summary'!AP181&lt;&gt;"",IF(LOWER('Capacity summary'!AP181)="x",$BI62*AP62,VALUE('Capacity summary'!AP181)),0),AP62*$BI62),AP62*$BI62),0)</f>
        <v>0</v>
      </c>
      <c r="CT62" s="314">
        <f>IF($BI62&lt;&gt;"",IF('Capacity summary'!$D$14="Yes",IF(COUNTBLANK('Capacity summary'!$H181:$BG181)&lt;52,IF('Capacity summary'!AQ181&lt;&gt;"",IF(LOWER('Capacity summary'!AQ181)="x",$BI62*AQ62,VALUE('Capacity summary'!AQ181)),0),AQ62*$BI62),AQ62*$BI62),0)</f>
        <v>0</v>
      </c>
      <c r="CU62" s="314">
        <f>IF($BI62&lt;&gt;"",IF('Capacity summary'!$D$14="Yes",IF(COUNTBLANK('Capacity summary'!$H181:$BG181)&lt;52,IF('Capacity summary'!AR181&lt;&gt;"",IF(LOWER('Capacity summary'!AR181)="x",$BI62*AR62,VALUE('Capacity summary'!AR181)),0),AR62*$BI62),AR62*$BI62),0)</f>
        <v>0</v>
      </c>
      <c r="CV62" s="314">
        <f>IF($BI62&lt;&gt;"",IF('Capacity summary'!$D$14="Yes",IF(COUNTBLANK('Capacity summary'!$H181:$BG181)&lt;52,IF('Capacity summary'!AS181&lt;&gt;"",IF(LOWER('Capacity summary'!AS181)="x",$BI62*AS62,VALUE('Capacity summary'!AS181)),0),AS62*$BI62),AS62*$BI62),0)</f>
        <v>0</v>
      </c>
      <c r="CW62" s="314">
        <f>IF($BI62&lt;&gt;"",IF('Capacity summary'!$D$14="Yes",IF(COUNTBLANK('Capacity summary'!$H181:$BG181)&lt;52,IF('Capacity summary'!AT181&lt;&gt;"",IF(LOWER('Capacity summary'!AT181)="x",$BI62*AT62,VALUE('Capacity summary'!AT181)),0),AT62*$BI62),AT62*$BI62),0)</f>
        <v>0</v>
      </c>
      <c r="CX62" s="314">
        <f>IF($BI62&lt;&gt;"",IF('Capacity summary'!$D$14="Yes",IF(COUNTBLANK('Capacity summary'!$H181:$BG181)&lt;52,IF('Capacity summary'!AU181&lt;&gt;"",IF(LOWER('Capacity summary'!AU181)="x",$BI62*AU62,VALUE('Capacity summary'!AU181)),0),AU62*$BI62),AU62*$BI62),0)</f>
        <v>0</v>
      </c>
      <c r="CY62" s="314">
        <f>IF($BI62&lt;&gt;"",IF('Capacity summary'!$D$14="Yes",IF(COUNTBLANK('Capacity summary'!$H181:$BG181)&lt;52,IF('Capacity summary'!AV181&lt;&gt;"",IF(LOWER('Capacity summary'!AV181)="x",$BI62*AV62,VALUE('Capacity summary'!AV181)),0),AV62*$BI62),AV62*$BI62),0)</f>
        <v>0</v>
      </c>
      <c r="CZ62" s="314">
        <f>IF($BI62&lt;&gt;"",IF('Capacity summary'!$D$14="Yes",IF(COUNTBLANK('Capacity summary'!$H181:$BG181)&lt;52,IF('Capacity summary'!AW181&lt;&gt;"",IF(LOWER('Capacity summary'!AW181)="x",$BI62*AW62,VALUE('Capacity summary'!AW181)),0),AW62*$BI62),AW62*$BI62),0)</f>
        <v>0</v>
      </c>
      <c r="DA62" s="314">
        <f>IF($BI62&lt;&gt;"",IF('Capacity summary'!$D$14="Yes",IF(COUNTBLANK('Capacity summary'!$H181:$BG181)&lt;52,IF('Capacity summary'!AX181&lt;&gt;"",IF(LOWER('Capacity summary'!AX181)="x",$BI62*AX62,VALUE('Capacity summary'!AX181)),0),AX62*$BI62),AX62*$BI62),0)</f>
        <v>0</v>
      </c>
      <c r="DB62" s="314">
        <f>IF($BI62&lt;&gt;"",IF('Capacity summary'!$D$14="Yes",IF(COUNTBLANK('Capacity summary'!$H181:$BG181)&lt;52,IF('Capacity summary'!AY181&lt;&gt;"",IF(LOWER('Capacity summary'!AY181)="x",$BI62*AY62,VALUE('Capacity summary'!AY181)),0),AY62*$BI62),AY62*$BI62),0)</f>
        <v>0</v>
      </c>
      <c r="DC62" s="314">
        <f>IF($BI62&lt;&gt;"",IF('Capacity summary'!$D$14="Yes",IF(COUNTBLANK('Capacity summary'!$H181:$BG181)&lt;52,IF('Capacity summary'!AZ181&lt;&gt;"",IF(LOWER('Capacity summary'!AZ181)="x",$BI62*AZ62,VALUE('Capacity summary'!AZ181)),0),AZ62*$BI62),AZ62*$BI62),0)</f>
        <v>0</v>
      </c>
      <c r="DD62" s="314">
        <f>IF($BI62&lt;&gt;"",IF('Capacity summary'!$D$14="Yes",IF(COUNTBLANK('Capacity summary'!$H181:$BG181)&lt;52,IF('Capacity summary'!BA181&lt;&gt;"",IF(LOWER('Capacity summary'!BA181)="x",$BI62*BA62,VALUE('Capacity summary'!BA181)),0),BA62*$BI62),BA62*$BI62),0)</f>
        <v>0</v>
      </c>
      <c r="DE62" s="314">
        <f>IF($BI62&lt;&gt;"",IF('Capacity summary'!$D$14="Yes",IF(COUNTBLANK('Capacity summary'!$H181:$BG181)&lt;52,IF('Capacity summary'!BB181&lt;&gt;"",IF(LOWER('Capacity summary'!BB181)="x",$BI62*BB62,VALUE('Capacity summary'!BB181)),0),BB62*$BI62),BB62*$BI62),0)</f>
        <v>0</v>
      </c>
      <c r="DF62" s="314">
        <f>IF($BI62&lt;&gt;"",IF('Capacity summary'!$D$14="Yes",IF(COUNTBLANK('Capacity summary'!$H181:$BG181)&lt;52,IF('Capacity summary'!BC181&lt;&gt;"",IF(LOWER('Capacity summary'!BC181)="x",$BI62*BC62,VALUE('Capacity summary'!BC181)),0),BC62*$BI62),BC62*$BI62),0)</f>
        <v>0</v>
      </c>
      <c r="DG62" s="314">
        <f>IF($BI62&lt;&gt;"",IF('Capacity summary'!$D$14="Yes",IF(COUNTBLANK('Capacity summary'!$H181:$BG181)&lt;52,IF('Capacity summary'!BD181&lt;&gt;"",IF(LOWER('Capacity summary'!BD181)="x",$BI62*BD62,VALUE('Capacity summary'!BD181)),0),BD62*$BI62),BD62*$BI62),0)</f>
        <v>0</v>
      </c>
      <c r="DH62" s="314">
        <f>IF($BI62&lt;&gt;"",IF('Capacity summary'!$D$14="Yes",IF(COUNTBLANK('Capacity summary'!$H181:$BG181)&lt;52,IF('Capacity summary'!BE181&lt;&gt;"",IF(LOWER('Capacity summary'!BE181)="x",$BI62*BE62,VALUE('Capacity summary'!BE181)),0),BE62*$BI62),BE62*$BI62),0)</f>
        <v>0</v>
      </c>
      <c r="DI62" s="314">
        <f>IF($BI62&lt;&gt;"",IF('Capacity summary'!$D$14="Yes",IF(COUNTBLANK('Capacity summary'!$H181:$BG181)&lt;52,IF('Capacity summary'!BF181&lt;&gt;"",IF(LOWER('Capacity summary'!BF181)="x",$BI62*BF62,VALUE('Capacity summary'!BF181)),0),BF62*$BI62),BF62*$BI62),0)</f>
        <v>0</v>
      </c>
      <c r="DJ62" s="314">
        <f>IF($BI62&lt;&gt;"",IF('Capacity summary'!$D$14="Yes",IF(COUNTBLANK('Capacity summary'!$H181:$BG181)&lt;52,IF('Capacity summary'!BG181&lt;&gt;"",IF(LOWER('Capacity summary'!BG181)="x",$BI62*BG62,VALUE('Capacity summary'!BG181)),0),BG62*$BI62),BG62*$BI62),0)</f>
        <v>0</v>
      </c>
      <c r="DK62" s="137">
        <f t="shared" si="2"/>
        <v>0</v>
      </c>
      <c r="DL62" s="314" t="str">
        <f>Capacity!H74</f>
        <v/>
      </c>
    </row>
    <row r="63" spans="2:120" x14ac:dyDescent="0.25">
      <c r="B63" s="67"/>
      <c r="C63" s="67" t="str">
        <f>ROW(A59)&amp;". "&amp;Capacity!B75</f>
        <v xml:space="preserve">59. </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IF(ROW(C59)&lt;=Capacity!$A$16,IF('Capacity summary'!$D$14="No",SUM(H63:BG63),'Capacity summary'!$E182),0)</f>
        <v>0</v>
      </c>
      <c r="BI63" s="5" t="str">
        <f>IF(BH63&gt;0,IF(BH63&lt;Capacity!E75,Capacity!F75,Capacity!H75/'Capacity calculation (hide)'!BH63),"")</f>
        <v/>
      </c>
      <c r="BK63" s="314">
        <f>IF($BI63&lt;&gt;"",IF('Capacity summary'!$D$14="Yes",IF(COUNTBLANK('Capacity summary'!$H182:$BG182)&lt;52,IF('Capacity summary'!H182&lt;&gt;"",IF(LOWER('Capacity summary'!H182)="x",$BI63*H63,VALUE('Capacity summary'!H182)),0),H63*$BI63),H63*$BI63),0)</f>
        <v>0</v>
      </c>
      <c r="BL63" s="314">
        <f>IF($BI63&lt;&gt;"",IF('Capacity summary'!$D$14="Yes",IF(COUNTBLANK('Capacity summary'!$H182:$BG182)&lt;52,IF('Capacity summary'!I182&lt;&gt;"",IF(LOWER('Capacity summary'!I182)="x",$BI63*I63,VALUE('Capacity summary'!I182)),0),I63*$BI63),I63*$BI63),0)</f>
        <v>0</v>
      </c>
      <c r="BM63" s="314">
        <f>IF($BI63&lt;&gt;"",IF('Capacity summary'!$D$14="Yes",IF(COUNTBLANK('Capacity summary'!$H182:$BG182)&lt;52,IF('Capacity summary'!J182&lt;&gt;"",IF(LOWER('Capacity summary'!J182)="x",$BI63*J63,VALUE('Capacity summary'!J182)),0),J63*$BI63),J63*$BI63),0)</f>
        <v>0</v>
      </c>
      <c r="BN63" s="314">
        <f>IF($BI63&lt;&gt;"",IF('Capacity summary'!$D$14="Yes",IF(COUNTBLANK('Capacity summary'!$H182:$BG182)&lt;52,IF('Capacity summary'!K182&lt;&gt;"",IF(LOWER('Capacity summary'!K182)="x",$BI63*K63,VALUE('Capacity summary'!K182)),0),K63*$BI63),K63*$BI63),0)</f>
        <v>0</v>
      </c>
      <c r="BO63" s="314">
        <f>IF($BI63&lt;&gt;"",IF('Capacity summary'!$D$14="Yes",IF(COUNTBLANK('Capacity summary'!$H182:$BG182)&lt;52,IF('Capacity summary'!L182&lt;&gt;"",IF(LOWER('Capacity summary'!L182)="x",$BI63*L63,VALUE('Capacity summary'!L182)),0),L63*$BI63),L63*$BI63),0)</f>
        <v>0</v>
      </c>
      <c r="BP63" s="314">
        <f>IF($BI63&lt;&gt;"",IF('Capacity summary'!$D$14="Yes",IF(COUNTBLANK('Capacity summary'!$H182:$BG182)&lt;52,IF('Capacity summary'!M182&lt;&gt;"",IF(LOWER('Capacity summary'!M182)="x",$BI63*M63,VALUE('Capacity summary'!M182)),0),M63*$BI63),M63*$BI63),0)</f>
        <v>0</v>
      </c>
      <c r="BQ63" s="314">
        <f>IF($BI63&lt;&gt;"",IF('Capacity summary'!$D$14="Yes",IF(COUNTBLANK('Capacity summary'!$H182:$BG182)&lt;52,IF('Capacity summary'!N182&lt;&gt;"",IF(LOWER('Capacity summary'!N182)="x",$BI63*N63,VALUE('Capacity summary'!N182)),0),N63*$BI63),N63*$BI63),0)</f>
        <v>0</v>
      </c>
      <c r="BR63" s="314">
        <f>IF($BI63&lt;&gt;"",IF('Capacity summary'!$D$14="Yes",IF(COUNTBLANK('Capacity summary'!$H182:$BG182)&lt;52,IF('Capacity summary'!O182&lt;&gt;"",IF(LOWER('Capacity summary'!O182)="x",$BI63*O63,VALUE('Capacity summary'!O182)),0),O63*$BI63),O63*$BI63),0)</f>
        <v>0</v>
      </c>
      <c r="BS63" s="314">
        <f>IF($BI63&lt;&gt;"",IF('Capacity summary'!$D$14="Yes",IF(COUNTBLANK('Capacity summary'!$H182:$BG182)&lt;52,IF('Capacity summary'!P182&lt;&gt;"",IF(LOWER('Capacity summary'!P182)="x",$BI63*P63,VALUE('Capacity summary'!P182)),0),P63*$BI63),P63*$BI63),0)</f>
        <v>0</v>
      </c>
      <c r="BT63" s="314">
        <f>IF($BI63&lt;&gt;"",IF('Capacity summary'!$D$14="Yes",IF(COUNTBLANK('Capacity summary'!$H182:$BG182)&lt;52,IF('Capacity summary'!Q182&lt;&gt;"",IF(LOWER('Capacity summary'!Q182)="x",$BI63*Q63,VALUE('Capacity summary'!Q182)),0),Q63*$BI63),Q63*$BI63),0)</f>
        <v>0</v>
      </c>
      <c r="BU63" s="314">
        <f>IF($BI63&lt;&gt;"",IF('Capacity summary'!$D$14="Yes",IF(COUNTBLANK('Capacity summary'!$H182:$BG182)&lt;52,IF('Capacity summary'!R182&lt;&gt;"",IF(LOWER('Capacity summary'!R182)="x",$BI63*R63,VALUE('Capacity summary'!R182)),0),R63*$BI63),R63*$BI63),0)</f>
        <v>0</v>
      </c>
      <c r="BV63" s="314">
        <f>IF($BI63&lt;&gt;"",IF('Capacity summary'!$D$14="Yes",IF(COUNTBLANK('Capacity summary'!$H182:$BG182)&lt;52,IF('Capacity summary'!S182&lt;&gt;"",IF(LOWER('Capacity summary'!S182)="x",$BI63*S63,VALUE('Capacity summary'!S182)),0),S63*$BI63),S63*$BI63),0)</f>
        <v>0</v>
      </c>
      <c r="BW63" s="314">
        <f>IF($BI63&lt;&gt;"",IF('Capacity summary'!$D$14="Yes",IF(COUNTBLANK('Capacity summary'!$H182:$BG182)&lt;52,IF('Capacity summary'!T182&lt;&gt;"",IF(LOWER('Capacity summary'!T182)="x",$BI63*T63,VALUE('Capacity summary'!T182)),0),T63*$BI63),T63*$BI63),0)</f>
        <v>0</v>
      </c>
      <c r="BX63" s="314">
        <f>IF($BI63&lt;&gt;"",IF('Capacity summary'!$D$14="Yes",IF(COUNTBLANK('Capacity summary'!$H182:$BG182)&lt;52,IF('Capacity summary'!U182&lt;&gt;"",IF(LOWER('Capacity summary'!U182)="x",$BI63*U63,VALUE('Capacity summary'!U182)),0),U63*$BI63),U63*$BI63),0)</f>
        <v>0</v>
      </c>
      <c r="BY63" s="314">
        <f>IF($BI63&lt;&gt;"",IF('Capacity summary'!$D$14="Yes",IF(COUNTBLANK('Capacity summary'!$H182:$BG182)&lt;52,IF('Capacity summary'!V182&lt;&gt;"",IF(LOWER('Capacity summary'!V182)="x",$BI63*V63,VALUE('Capacity summary'!V182)),0),V63*$BI63),V63*$BI63),0)</f>
        <v>0</v>
      </c>
      <c r="BZ63" s="314">
        <f>IF($BI63&lt;&gt;"",IF('Capacity summary'!$D$14="Yes",IF(COUNTBLANK('Capacity summary'!$H182:$BG182)&lt;52,IF('Capacity summary'!W182&lt;&gt;"",IF(LOWER('Capacity summary'!W182)="x",$BI63*W63,VALUE('Capacity summary'!W182)),0),W63*$BI63),W63*$BI63),0)</f>
        <v>0</v>
      </c>
      <c r="CA63" s="314">
        <f>IF($BI63&lt;&gt;"",IF('Capacity summary'!$D$14="Yes",IF(COUNTBLANK('Capacity summary'!$H182:$BG182)&lt;52,IF('Capacity summary'!X182&lt;&gt;"",IF(LOWER('Capacity summary'!X182)="x",$BI63*X63,VALUE('Capacity summary'!X182)),0),X63*$BI63),X63*$BI63),0)</f>
        <v>0</v>
      </c>
      <c r="CB63" s="314">
        <f>IF($BI63&lt;&gt;"",IF('Capacity summary'!$D$14="Yes",IF(COUNTBLANK('Capacity summary'!$H182:$BG182)&lt;52,IF('Capacity summary'!Y182&lt;&gt;"",IF(LOWER('Capacity summary'!Y182)="x",$BI63*Y63,VALUE('Capacity summary'!Y182)),0),Y63*$BI63),Y63*$BI63),0)</f>
        <v>0</v>
      </c>
      <c r="CC63" s="314">
        <f>IF($BI63&lt;&gt;"",IF('Capacity summary'!$D$14="Yes",IF(COUNTBLANK('Capacity summary'!$H182:$BG182)&lt;52,IF('Capacity summary'!Z182&lt;&gt;"",IF(LOWER('Capacity summary'!Z182)="x",$BI63*Z63,VALUE('Capacity summary'!Z182)),0),Z63*$BI63),Z63*$BI63),0)</f>
        <v>0</v>
      </c>
      <c r="CD63" s="314">
        <f>IF($BI63&lt;&gt;"",IF('Capacity summary'!$D$14="Yes",IF(COUNTBLANK('Capacity summary'!$H182:$BG182)&lt;52,IF('Capacity summary'!AA182&lt;&gt;"",IF(LOWER('Capacity summary'!AA182)="x",$BI63*AA63,VALUE('Capacity summary'!AA182)),0),AA63*$BI63),AA63*$BI63),0)</f>
        <v>0</v>
      </c>
      <c r="CE63" s="314">
        <f>IF($BI63&lt;&gt;"",IF('Capacity summary'!$D$14="Yes",IF(COUNTBLANK('Capacity summary'!$H182:$BG182)&lt;52,IF('Capacity summary'!AB182&lt;&gt;"",IF(LOWER('Capacity summary'!AB182)="x",$BI63*AB63,VALUE('Capacity summary'!AB182)),0),AB63*$BI63),AB63*$BI63),0)</f>
        <v>0</v>
      </c>
      <c r="CF63" s="314">
        <f>IF($BI63&lt;&gt;"",IF('Capacity summary'!$D$14="Yes",IF(COUNTBLANK('Capacity summary'!$H182:$BG182)&lt;52,IF('Capacity summary'!AC182&lt;&gt;"",IF(LOWER('Capacity summary'!AC182)="x",$BI63*AC63,VALUE('Capacity summary'!AC182)),0),AC63*$BI63),AC63*$BI63),0)</f>
        <v>0</v>
      </c>
      <c r="CG63" s="314">
        <f>IF($BI63&lt;&gt;"",IF('Capacity summary'!$D$14="Yes",IF(COUNTBLANK('Capacity summary'!$H182:$BG182)&lt;52,IF('Capacity summary'!AD182&lt;&gt;"",IF(LOWER('Capacity summary'!AD182)="x",$BI63*AD63,VALUE('Capacity summary'!AD182)),0),AD63*$BI63),AD63*$BI63),0)</f>
        <v>0</v>
      </c>
      <c r="CH63" s="314">
        <f>IF($BI63&lt;&gt;"",IF('Capacity summary'!$D$14="Yes",IF(COUNTBLANK('Capacity summary'!$H182:$BG182)&lt;52,IF('Capacity summary'!AE182&lt;&gt;"",IF(LOWER('Capacity summary'!AE182)="x",$BI63*AE63,VALUE('Capacity summary'!AE182)),0),AE63*$BI63),AE63*$BI63),0)</f>
        <v>0</v>
      </c>
      <c r="CI63" s="314">
        <f>IF($BI63&lt;&gt;"",IF('Capacity summary'!$D$14="Yes",IF(COUNTBLANK('Capacity summary'!$H182:$BG182)&lt;52,IF('Capacity summary'!AF182&lt;&gt;"",IF(LOWER('Capacity summary'!AF182)="x",$BI63*AF63,VALUE('Capacity summary'!AF182)),0),AF63*$BI63),AF63*$BI63),0)</f>
        <v>0</v>
      </c>
      <c r="CJ63" s="314">
        <f>IF($BI63&lt;&gt;"",IF('Capacity summary'!$D$14="Yes",IF(COUNTBLANK('Capacity summary'!$H182:$BG182)&lt;52,IF('Capacity summary'!AG182&lt;&gt;"",IF(LOWER('Capacity summary'!AG182)="x",$BI63*AG63,VALUE('Capacity summary'!AG182)),0),AG63*$BI63),AG63*$BI63),0)</f>
        <v>0</v>
      </c>
      <c r="CK63" s="314">
        <f>IF($BI63&lt;&gt;"",IF('Capacity summary'!$D$14="Yes",IF(COUNTBLANK('Capacity summary'!$H182:$BG182)&lt;52,IF('Capacity summary'!AH182&lt;&gt;"",IF(LOWER('Capacity summary'!AH182)="x",$BI63*AH63,VALUE('Capacity summary'!AH182)),0),AH63*$BI63),AH63*$BI63),0)</f>
        <v>0</v>
      </c>
      <c r="CL63" s="314">
        <f>IF($BI63&lt;&gt;"",IF('Capacity summary'!$D$14="Yes",IF(COUNTBLANK('Capacity summary'!$H182:$BG182)&lt;52,IF('Capacity summary'!AI182&lt;&gt;"",IF(LOWER('Capacity summary'!AI182)="x",$BI63*AI63,VALUE('Capacity summary'!AI182)),0),AI63*$BI63),AI63*$BI63),0)</f>
        <v>0</v>
      </c>
      <c r="CM63" s="314">
        <f>IF($BI63&lt;&gt;"",IF('Capacity summary'!$D$14="Yes",IF(COUNTBLANK('Capacity summary'!$H182:$BG182)&lt;52,IF('Capacity summary'!AJ182&lt;&gt;"",IF(LOWER('Capacity summary'!AJ182)="x",$BI63*AJ63,VALUE('Capacity summary'!AJ182)),0),AJ63*$BI63),AJ63*$BI63),0)</f>
        <v>0</v>
      </c>
      <c r="CN63" s="314">
        <f>IF($BI63&lt;&gt;"",IF('Capacity summary'!$D$14="Yes",IF(COUNTBLANK('Capacity summary'!$H182:$BG182)&lt;52,IF('Capacity summary'!AK182&lt;&gt;"",IF(LOWER('Capacity summary'!AK182)="x",$BI63*AK63,VALUE('Capacity summary'!AK182)),0),AK63*$BI63),AK63*$BI63),0)</f>
        <v>0</v>
      </c>
      <c r="CO63" s="314">
        <f>IF($BI63&lt;&gt;"",IF('Capacity summary'!$D$14="Yes",IF(COUNTBLANK('Capacity summary'!$H182:$BG182)&lt;52,IF('Capacity summary'!AL182&lt;&gt;"",IF(LOWER('Capacity summary'!AL182)="x",$BI63*AL63,VALUE('Capacity summary'!AL182)),0),AL63*$BI63),AL63*$BI63),0)</f>
        <v>0</v>
      </c>
      <c r="CP63" s="314">
        <f>IF($BI63&lt;&gt;"",IF('Capacity summary'!$D$14="Yes",IF(COUNTBLANK('Capacity summary'!$H182:$BG182)&lt;52,IF('Capacity summary'!AM182&lt;&gt;"",IF(LOWER('Capacity summary'!AM182)="x",$BI63*AM63,VALUE('Capacity summary'!AM182)),0),AM63*$BI63),AM63*$BI63),0)</f>
        <v>0</v>
      </c>
      <c r="CQ63" s="314">
        <f>IF($BI63&lt;&gt;"",IF('Capacity summary'!$D$14="Yes",IF(COUNTBLANK('Capacity summary'!$H182:$BG182)&lt;52,IF('Capacity summary'!AN182&lt;&gt;"",IF(LOWER('Capacity summary'!AN182)="x",$BI63*AN63,VALUE('Capacity summary'!AN182)),0),AN63*$BI63),AN63*$BI63),0)</f>
        <v>0</v>
      </c>
      <c r="CR63" s="314">
        <f>IF($BI63&lt;&gt;"",IF('Capacity summary'!$D$14="Yes",IF(COUNTBLANK('Capacity summary'!$H182:$BG182)&lt;52,IF('Capacity summary'!AO182&lt;&gt;"",IF(LOWER('Capacity summary'!AO182)="x",$BI63*AO63,VALUE('Capacity summary'!AO182)),0),AO63*$BI63),AO63*$BI63),0)</f>
        <v>0</v>
      </c>
      <c r="CS63" s="314">
        <f>IF($BI63&lt;&gt;"",IF('Capacity summary'!$D$14="Yes",IF(COUNTBLANK('Capacity summary'!$H182:$BG182)&lt;52,IF('Capacity summary'!AP182&lt;&gt;"",IF(LOWER('Capacity summary'!AP182)="x",$BI63*AP63,VALUE('Capacity summary'!AP182)),0),AP63*$BI63),AP63*$BI63),0)</f>
        <v>0</v>
      </c>
      <c r="CT63" s="314">
        <f>IF($BI63&lt;&gt;"",IF('Capacity summary'!$D$14="Yes",IF(COUNTBLANK('Capacity summary'!$H182:$BG182)&lt;52,IF('Capacity summary'!AQ182&lt;&gt;"",IF(LOWER('Capacity summary'!AQ182)="x",$BI63*AQ63,VALUE('Capacity summary'!AQ182)),0),AQ63*$BI63),AQ63*$BI63),0)</f>
        <v>0</v>
      </c>
      <c r="CU63" s="314">
        <f>IF($BI63&lt;&gt;"",IF('Capacity summary'!$D$14="Yes",IF(COUNTBLANK('Capacity summary'!$H182:$BG182)&lt;52,IF('Capacity summary'!AR182&lt;&gt;"",IF(LOWER('Capacity summary'!AR182)="x",$BI63*AR63,VALUE('Capacity summary'!AR182)),0),AR63*$BI63),AR63*$BI63),0)</f>
        <v>0</v>
      </c>
      <c r="CV63" s="314">
        <f>IF($BI63&lt;&gt;"",IF('Capacity summary'!$D$14="Yes",IF(COUNTBLANK('Capacity summary'!$H182:$BG182)&lt;52,IF('Capacity summary'!AS182&lt;&gt;"",IF(LOWER('Capacity summary'!AS182)="x",$BI63*AS63,VALUE('Capacity summary'!AS182)),0),AS63*$BI63),AS63*$BI63),0)</f>
        <v>0</v>
      </c>
      <c r="CW63" s="314">
        <f>IF($BI63&lt;&gt;"",IF('Capacity summary'!$D$14="Yes",IF(COUNTBLANK('Capacity summary'!$H182:$BG182)&lt;52,IF('Capacity summary'!AT182&lt;&gt;"",IF(LOWER('Capacity summary'!AT182)="x",$BI63*AT63,VALUE('Capacity summary'!AT182)),0),AT63*$BI63),AT63*$BI63),0)</f>
        <v>0</v>
      </c>
      <c r="CX63" s="314">
        <f>IF($BI63&lt;&gt;"",IF('Capacity summary'!$D$14="Yes",IF(COUNTBLANK('Capacity summary'!$H182:$BG182)&lt;52,IF('Capacity summary'!AU182&lt;&gt;"",IF(LOWER('Capacity summary'!AU182)="x",$BI63*AU63,VALUE('Capacity summary'!AU182)),0),AU63*$BI63),AU63*$BI63),0)</f>
        <v>0</v>
      </c>
      <c r="CY63" s="314">
        <f>IF($BI63&lt;&gt;"",IF('Capacity summary'!$D$14="Yes",IF(COUNTBLANK('Capacity summary'!$H182:$BG182)&lt;52,IF('Capacity summary'!AV182&lt;&gt;"",IF(LOWER('Capacity summary'!AV182)="x",$BI63*AV63,VALUE('Capacity summary'!AV182)),0),AV63*$BI63),AV63*$BI63),0)</f>
        <v>0</v>
      </c>
      <c r="CZ63" s="314">
        <f>IF($BI63&lt;&gt;"",IF('Capacity summary'!$D$14="Yes",IF(COUNTBLANK('Capacity summary'!$H182:$BG182)&lt;52,IF('Capacity summary'!AW182&lt;&gt;"",IF(LOWER('Capacity summary'!AW182)="x",$BI63*AW63,VALUE('Capacity summary'!AW182)),0),AW63*$BI63),AW63*$BI63),0)</f>
        <v>0</v>
      </c>
      <c r="DA63" s="314">
        <f>IF($BI63&lt;&gt;"",IF('Capacity summary'!$D$14="Yes",IF(COUNTBLANK('Capacity summary'!$H182:$BG182)&lt;52,IF('Capacity summary'!AX182&lt;&gt;"",IF(LOWER('Capacity summary'!AX182)="x",$BI63*AX63,VALUE('Capacity summary'!AX182)),0),AX63*$BI63),AX63*$BI63),0)</f>
        <v>0</v>
      </c>
      <c r="DB63" s="314">
        <f>IF($BI63&lt;&gt;"",IF('Capacity summary'!$D$14="Yes",IF(COUNTBLANK('Capacity summary'!$H182:$BG182)&lt;52,IF('Capacity summary'!AY182&lt;&gt;"",IF(LOWER('Capacity summary'!AY182)="x",$BI63*AY63,VALUE('Capacity summary'!AY182)),0),AY63*$BI63),AY63*$BI63),0)</f>
        <v>0</v>
      </c>
      <c r="DC63" s="314">
        <f>IF($BI63&lt;&gt;"",IF('Capacity summary'!$D$14="Yes",IF(COUNTBLANK('Capacity summary'!$H182:$BG182)&lt;52,IF('Capacity summary'!AZ182&lt;&gt;"",IF(LOWER('Capacity summary'!AZ182)="x",$BI63*AZ63,VALUE('Capacity summary'!AZ182)),0),AZ63*$BI63),AZ63*$BI63),0)</f>
        <v>0</v>
      </c>
      <c r="DD63" s="314">
        <f>IF($BI63&lt;&gt;"",IF('Capacity summary'!$D$14="Yes",IF(COUNTBLANK('Capacity summary'!$H182:$BG182)&lt;52,IF('Capacity summary'!BA182&lt;&gt;"",IF(LOWER('Capacity summary'!BA182)="x",$BI63*BA63,VALUE('Capacity summary'!BA182)),0),BA63*$BI63),BA63*$BI63),0)</f>
        <v>0</v>
      </c>
      <c r="DE63" s="314">
        <f>IF($BI63&lt;&gt;"",IF('Capacity summary'!$D$14="Yes",IF(COUNTBLANK('Capacity summary'!$H182:$BG182)&lt;52,IF('Capacity summary'!BB182&lt;&gt;"",IF(LOWER('Capacity summary'!BB182)="x",$BI63*BB63,VALUE('Capacity summary'!BB182)),0),BB63*$BI63),BB63*$BI63),0)</f>
        <v>0</v>
      </c>
      <c r="DF63" s="314">
        <f>IF($BI63&lt;&gt;"",IF('Capacity summary'!$D$14="Yes",IF(COUNTBLANK('Capacity summary'!$H182:$BG182)&lt;52,IF('Capacity summary'!BC182&lt;&gt;"",IF(LOWER('Capacity summary'!BC182)="x",$BI63*BC63,VALUE('Capacity summary'!BC182)),0),BC63*$BI63),BC63*$BI63),0)</f>
        <v>0</v>
      </c>
      <c r="DG63" s="314">
        <f>IF($BI63&lt;&gt;"",IF('Capacity summary'!$D$14="Yes",IF(COUNTBLANK('Capacity summary'!$H182:$BG182)&lt;52,IF('Capacity summary'!BD182&lt;&gt;"",IF(LOWER('Capacity summary'!BD182)="x",$BI63*BD63,VALUE('Capacity summary'!BD182)),0),BD63*$BI63),BD63*$BI63),0)</f>
        <v>0</v>
      </c>
      <c r="DH63" s="314">
        <f>IF($BI63&lt;&gt;"",IF('Capacity summary'!$D$14="Yes",IF(COUNTBLANK('Capacity summary'!$H182:$BG182)&lt;52,IF('Capacity summary'!BE182&lt;&gt;"",IF(LOWER('Capacity summary'!BE182)="x",$BI63*BE63,VALUE('Capacity summary'!BE182)),0),BE63*$BI63),BE63*$BI63),0)</f>
        <v>0</v>
      </c>
      <c r="DI63" s="314">
        <f>IF($BI63&lt;&gt;"",IF('Capacity summary'!$D$14="Yes",IF(COUNTBLANK('Capacity summary'!$H182:$BG182)&lt;52,IF('Capacity summary'!BF182&lt;&gt;"",IF(LOWER('Capacity summary'!BF182)="x",$BI63*BF63,VALUE('Capacity summary'!BF182)),0),BF63*$BI63),BF63*$BI63),0)</f>
        <v>0</v>
      </c>
      <c r="DJ63" s="314">
        <f>IF($BI63&lt;&gt;"",IF('Capacity summary'!$D$14="Yes",IF(COUNTBLANK('Capacity summary'!$H182:$BG182)&lt;52,IF('Capacity summary'!BG182&lt;&gt;"",IF(LOWER('Capacity summary'!BG182)="x",$BI63*BG63,VALUE('Capacity summary'!BG182)),0),BG63*$BI63),BG63*$BI63),0)</f>
        <v>0</v>
      </c>
      <c r="DK63" s="137">
        <f t="shared" si="2"/>
        <v>0</v>
      </c>
      <c r="DL63" s="314" t="str">
        <f>Capacity!H75</f>
        <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4">
        <f>IF($BI64&lt;&gt;"",IF('Capacity summary'!$D$14="Yes",IF(COUNTBLANK('Capacity summary'!$H183:$BG183)&lt;52,IF('Capacity summary'!H183&lt;&gt;"",IF(LOWER('Capacity summary'!H183)="x",$BI64*H64,VALUE('Capacity summary'!H183)),0),H64*$BI64),H64*$BI64),0)</f>
        <v>0</v>
      </c>
      <c r="BL64" s="314">
        <f>IF($BI64&lt;&gt;"",IF('Capacity summary'!$D$14="Yes",IF(COUNTBLANK('Capacity summary'!$H183:$BG183)&lt;52,IF('Capacity summary'!I183&lt;&gt;"",IF(LOWER('Capacity summary'!I183)="x",$BI64*I64,VALUE('Capacity summary'!I183)),0),I64*$BI64),I64*$BI64),0)</f>
        <v>0</v>
      </c>
      <c r="BM64" s="314">
        <f>IF($BI64&lt;&gt;"",IF('Capacity summary'!$D$14="Yes",IF(COUNTBLANK('Capacity summary'!$H183:$BG183)&lt;52,IF('Capacity summary'!J183&lt;&gt;"",IF(LOWER('Capacity summary'!J183)="x",$BI64*J64,VALUE('Capacity summary'!J183)),0),J64*$BI64),J64*$BI64),0)</f>
        <v>0</v>
      </c>
      <c r="BN64" s="314">
        <f>IF($BI64&lt;&gt;"",IF('Capacity summary'!$D$14="Yes",IF(COUNTBLANK('Capacity summary'!$H183:$BG183)&lt;52,IF('Capacity summary'!K183&lt;&gt;"",IF(LOWER('Capacity summary'!K183)="x",$BI64*K64,VALUE('Capacity summary'!K183)),0),K64*$BI64),K64*$BI64),0)</f>
        <v>0</v>
      </c>
      <c r="BO64" s="314">
        <f>IF($BI64&lt;&gt;"",IF('Capacity summary'!$D$14="Yes",IF(COUNTBLANK('Capacity summary'!$H183:$BG183)&lt;52,IF('Capacity summary'!L183&lt;&gt;"",IF(LOWER('Capacity summary'!L183)="x",$BI64*L64,VALUE('Capacity summary'!L183)),0),L64*$BI64),L64*$BI64),0)</f>
        <v>0</v>
      </c>
      <c r="BP64" s="314">
        <f>IF($BI64&lt;&gt;"",IF('Capacity summary'!$D$14="Yes",IF(COUNTBLANK('Capacity summary'!$H183:$BG183)&lt;52,IF('Capacity summary'!M183&lt;&gt;"",IF(LOWER('Capacity summary'!M183)="x",$BI64*M64,VALUE('Capacity summary'!M183)),0),M64*$BI64),M64*$BI64),0)</f>
        <v>0</v>
      </c>
      <c r="BQ64" s="314">
        <f>IF($BI64&lt;&gt;"",IF('Capacity summary'!$D$14="Yes",IF(COUNTBLANK('Capacity summary'!$H183:$BG183)&lt;52,IF('Capacity summary'!N183&lt;&gt;"",IF(LOWER('Capacity summary'!N183)="x",$BI64*N64,VALUE('Capacity summary'!N183)),0),N64*$BI64),N64*$BI64),0)</f>
        <v>0</v>
      </c>
      <c r="BR64" s="314">
        <f>IF($BI64&lt;&gt;"",IF('Capacity summary'!$D$14="Yes",IF(COUNTBLANK('Capacity summary'!$H183:$BG183)&lt;52,IF('Capacity summary'!O183&lt;&gt;"",IF(LOWER('Capacity summary'!O183)="x",$BI64*O64,VALUE('Capacity summary'!O183)),0),O64*$BI64),O64*$BI64),0)</f>
        <v>0</v>
      </c>
      <c r="BS64" s="314">
        <f>IF($BI64&lt;&gt;"",IF('Capacity summary'!$D$14="Yes",IF(COUNTBLANK('Capacity summary'!$H183:$BG183)&lt;52,IF('Capacity summary'!P183&lt;&gt;"",IF(LOWER('Capacity summary'!P183)="x",$BI64*P64,VALUE('Capacity summary'!P183)),0),P64*$BI64),P64*$BI64),0)</f>
        <v>0</v>
      </c>
      <c r="BT64" s="314">
        <f>IF($BI64&lt;&gt;"",IF('Capacity summary'!$D$14="Yes",IF(COUNTBLANK('Capacity summary'!$H183:$BG183)&lt;52,IF('Capacity summary'!Q183&lt;&gt;"",IF(LOWER('Capacity summary'!Q183)="x",$BI64*Q64,VALUE('Capacity summary'!Q183)),0),Q64*$BI64),Q64*$BI64),0)</f>
        <v>0</v>
      </c>
      <c r="BU64" s="314">
        <f>IF($BI64&lt;&gt;"",IF('Capacity summary'!$D$14="Yes",IF(COUNTBLANK('Capacity summary'!$H183:$BG183)&lt;52,IF('Capacity summary'!R183&lt;&gt;"",IF(LOWER('Capacity summary'!R183)="x",$BI64*R64,VALUE('Capacity summary'!R183)),0),R64*$BI64),R64*$BI64),0)</f>
        <v>0</v>
      </c>
      <c r="BV64" s="314">
        <f>IF($BI64&lt;&gt;"",IF('Capacity summary'!$D$14="Yes",IF(COUNTBLANK('Capacity summary'!$H183:$BG183)&lt;52,IF('Capacity summary'!S183&lt;&gt;"",IF(LOWER('Capacity summary'!S183)="x",$BI64*S64,VALUE('Capacity summary'!S183)),0),S64*$BI64),S64*$BI64),0)</f>
        <v>0</v>
      </c>
      <c r="BW64" s="314">
        <f>IF($BI64&lt;&gt;"",IF('Capacity summary'!$D$14="Yes",IF(COUNTBLANK('Capacity summary'!$H183:$BG183)&lt;52,IF('Capacity summary'!T183&lt;&gt;"",IF(LOWER('Capacity summary'!T183)="x",$BI64*T64,VALUE('Capacity summary'!T183)),0),T64*$BI64),T64*$BI64),0)</f>
        <v>0</v>
      </c>
      <c r="BX64" s="314">
        <f>IF($BI64&lt;&gt;"",IF('Capacity summary'!$D$14="Yes",IF(COUNTBLANK('Capacity summary'!$H183:$BG183)&lt;52,IF('Capacity summary'!U183&lt;&gt;"",IF(LOWER('Capacity summary'!U183)="x",$BI64*U64,VALUE('Capacity summary'!U183)),0),U64*$BI64),U64*$BI64),0)</f>
        <v>0</v>
      </c>
      <c r="BY64" s="314">
        <f>IF($BI64&lt;&gt;"",IF('Capacity summary'!$D$14="Yes",IF(COUNTBLANK('Capacity summary'!$H183:$BG183)&lt;52,IF('Capacity summary'!V183&lt;&gt;"",IF(LOWER('Capacity summary'!V183)="x",$BI64*V64,VALUE('Capacity summary'!V183)),0),V64*$BI64),V64*$BI64),0)</f>
        <v>0</v>
      </c>
      <c r="BZ64" s="314">
        <f>IF($BI64&lt;&gt;"",IF('Capacity summary'!$D$14="Yes",IF(COUNTBLANK('Capacity summary'!$H183:$BG183)&lt;52,IF('Capacity summary'!W183&lt;&gt;"",IF(LOWER('Capacity summary'!W183)="x",$BI64*W64,VALUE('Capacity summary'!W183)),0),W64*$BI64),W64*$BI64),0)</f>
        <v>0</v>
      </c>
      <c r="CA64" s="314">
        <f>IF($BI64&lt;&gt;"",IF('Capacity summary'!$D$14="Yes",IF(COUNTBLANK('Capacity summary'!$H183:$BG183)&lt;52,IF('Capacity summary'!X183&lt;&gt;"",IF(LOWER('Capacity summary'!X183)="x",$BI64*X64,VALUE('Capacity summary'!X183)),0),X64*$BI64),X64*$BI64),0)</f>
        <v>0</v>
      </c>
      <c r="CB64" s="314">
        <f>IF($BI64&lt;&gt;"",IF('Capacity summary'!$D$14="Yes",IF(COUNTBLANK('Capacity summary'!$H183:$BG183)&lt;52,IF('Capacity summary'!Y183&lt;&gt;"",IF(LOWER('Capacity summary'!Y183)="x",$BI64*Y64,VALUE('Capacity summary'!Y183)),0),Y64*$BI64),Y64*$BI64),0)</f>
        <v>0</v>
      </c>
      <c r="CC64" s="314">
        <f>IF($BI64&lt;&gt;"",IF('Capacity summary'!$D$14="Yes",IF(COUNTBLANK('Capacity summary'!$H183:$BG183)&lt;52,IF('Capacity summary'!Z183&lt;&gt;"",IF(LOWER('Capacity summary'!Z183)="x",$BI64*Z64,VALUE('Capacity summary'!Z183)),0),Z64*$BI64),Z64*$BI64),0)</f>
        <v>0</v>
      </c>
      <c r="CD64" s="314">
        <f>IF($BI64&lt;&gt;"",IF('Capacity summary'!$D$14="Yes",IF(COUNTBLANK('Capacity summary'!$H183:$BG183)&lt;52,IF('Capacity summary'!AA183&lt;&gt;"",IF(LOWER('Capacity summary'!AA183)="x",$BI64*AA64,VALUE('Capacity summary'!AA183)),0),AA64*$BI64),AA64*$BI64),0)</f>
        <v>0</v>
      </c>
      <c r="CE64" s="314">
        <f>IF($BI64&lt;&gt;"",IF('Capacity summary'!$D$14="Yes",IF(COUNTBLANK('Capacity summary'!$H183:$BG183)&lt;52,IF('Capacity summary'!AB183&lt;&gt;"",IF(LOWER('Capacity summary'!AB183)="x",$BI64*AB64,VALUE('Capacity summary'!AB183)),0),AB64*$BI64),AB64*$BI64),0)</f>
        <v>0</v>
      </c>
      <c r="CF64" s="314">
        <f>IF($BI64&lt;&gt;"",IF('Capacity summary'!$D$14="Yes",IF(COUNTBLANK('Capacity summary'!$H183:$BG183)&lt;52,IF('Capacity summary'!AC183&lt;&gt;"",IF(LOWER('Capacity summary'!AC183)="x",$BI64*AC64,VALUE('Capacity summary'!AC183)),0),AC64*$BI64),AC64*$BI64),0)</f>
        <v>0</v>
      </c>
      <c r="CG64" s="314">
        <f>IF($BI64&lt;&gt;"",IF('Capacity summary'!$D$14="Yes",IF(COUNTBLANK('Capacity summary'!$H183:$BG183)&lt;52,IF('Capacity summary'!AD183&lt;&gt;"",IF(LOWER('Capacity summary'!AD183)="x",$BI64*AD64,VALUE('Capacity summary'!AD183)),0),AD64*$BI64),AD64*$BI64),0)</f>
        <v>0</v>
      </c>
      <c r="CH64" s="314">
        <f>IF($BI64&lt;&gt;"",IF('Capacity summary'!$D$14="Yes",IF(COUNTBLANK('Capacity summary'!$H183:$BG183)&lt;52,IF('Capacity summary'!AE183&lt;&gt;"",IF(LOWER('Capacity summary'!AE183)="x",$BI64*AE64,VALUE('Capacity summary'!AE183)),0),AE64*$BI64),AE64*$BI64),0)</f>
        <v>0</v>
      </c>
      <c r="CI64" s="314">
        <f>IF($BI64&lt;&gt;"",IF('Capacity summary'!$D$14="Yes",IF(COUNTBLANK('Capacity summary'!$H183:$BG183)&lt;52,IF('Capacity summary'!AF183&lt;&gt;"",IF(LOWER('Capacity summary'!AF183)="x",$BI64*AF64,VALUE('Capacity summary'!AF183)),0),AF64*$BI64),AF64*$BI64),0)</f>
        <v>0</v>
      </c>
      <c r="CJ64" s="314">
        <f>IF($BI64&lt;&gt;"",IF('Capacity summary'!$D$14="Yes",IF(COUNTBLANK('Capacity summary'!$H183:$BG183)&lt;52,IF('Capacity summary'!AG183&lt;&gt;"",IF(LOWER('Capacity summary'!AG183)="x",$BI64*AG64,VALUE('Capacity summary'!AG183)),0),AG64*$BI64),AG64*$BI64),0)</f>
        <v>0</v>
      </c>
      <c r="CK64" s="314">
        <f>IF($BI64&lt;&gt;"",IF('Capacity summary'!$D$14="Yes",IF(COUNTBLANK('Capacity summary'!$H183:$BG183)&lt;52,IF('Capacity summary'!AH183&lt;&gt;"",IF(LOWER('Capacity summary'!AH183)="x",$BI64*AH64,VALUE('Capacity summary'!AH183)),0),AH64*$BI64),AH64*$BI64),0)</f>
        <v>0</v>
      </c>
      <c r="CL64" s="314">
        <f>IF($BI64&lt;&gt;"",IF('Capacity summary'!$D$14="Yes",IF(COUNTBLANK('Capacity summary'!$H183:$BG183)&lt;52,IF('Capacity summary'!AI183&lt;&gt;"",IF(LOWER('Capacity summary'!AI183)="x",$BI64*AI64,VALUE('Capacity summary'!AI183)),0),AI64*$BI64),AI64*$BI64),0)</f>
        <v>0</v>
      </c>
      <c r="CM64" s="314">
        <f>IF($BI64&lt;&gt;"",IF('Capacity summary'!$D$14="Yes",IF(COUNTBLANK('Capacity summary'!$H183:$BG183)&lt;52,IF('Capacity summary'!AJ183&lt;&gt;"",IF(LOWER('Capacity summary'!AJ183)="x",$BI64*AJ64,VALUE('Capacity summary'!AJ183)),0),AJ64*$BI64),AJ64*$BI64),0)</f>
        <v>0</v>
      </c>
      <c r="CN64" s="314">
        <f>IF($BI64&lt;&gt;"",IF('Capacity summary'!$D$14="Yes",IF(COUNTBLANK('Capacity summary'!$H183:$BG183)&lt;52,IF('Capacity summary'!AK183&lt;&gt;"",IF(LOWER('Capacity summary'!AK183)="x",$BI64*AK64,VALUE('Capacity summary'!AK183)),0),AK64*$BI64),AK64*$BI64),0)</f>
        <v>0</v>
      </c>
      <c r="CO64" s="314">
        <f>IF($BI64&lt;&gt;"",IF('Capacity summary'!$D$14="Yes",IF(COUNTBLANK('Capacity summary'!$H183:$BG183)&lt;52,IF('Capacity summary'!AL183&lt;&gt;"",IF(LOWER('Capacity summary'!AL183)="x",$BI64*AL64,VALUE('Capacity summary'!AL183)),0),AL64*$BI64),AL64*$BI64),0)</f>
        <v>0</v>
      </c>
      <c r="CP64" s="314">
        <f>IF($BI64&lt;&gt;"",IF('Capacity summary'!$D$14="Yes",IF(COUNTBLANK('Capacity summary'!$H183:$BG183)&lt;52,IF('Capacity summary'!AM183&lt;&gt;"",IF(LOWER('Capacity summary'!AM183)="x",$BI64*AM64,VALUE('Capacity summary'!AM183)),0),AM64*$BI64),AM64*$BI64),0)</f>
        <v>0</v>
      </c>
      <c r="CQ64" s="314">
        <f>IF($BI64&lt;&gt;"",IF('Capacity summary'!$D$14="Yes",IF(COUNTBLANK('Capacity summary'!$H183:$BG183)&lt;52,IF('Capacity summary'!AN183&lt;&gt;"",IF(LOWER('Capacity summary'!AN183)="x",$BI64*AN64,VALUE('Capacity summary'!AN183)),0),AN64*$BI64),AN64*$BI64),0)</f>
        <v>0</v>
      </c>
      <c r="CR64" s="314">
        <f>IF($BI64&lt;&gt;"",IF('Capacity summary'!$D$14="Yes",IF(COUNTBLANK('Capacity summary'!$H183:$BG183)&lt;52,IF('Capacity summary'!AO183&lt;&gt;"",IF(LOWER('Capacity summary'!AO183)="x",$BI64*AO64,VALUE('Capacity summary'!AO183)),0),AO64*$BI64),AO64*$BI64),0)</f>
        <v>0</v>
      </c>
      <c r="CS64" s="314">
        <f>IF($BI64&lt;&gt;"",IF('Capacity summary'!$D$14="Yes",IF(COUNTBLANK('Capacity summary'!$H183:$BG183)&lt;52,IF('Capacity summary'!AP183&lt;&gt;"",IF(LOWER('Capacity summary'!AP183)="x",$BI64*AP64,VALUE('Capacity summary'!AP183)),0),AP64*$BI64),AP64*$BI64),0)</f>
        <v>0</v>
      </c>
      <c r="CT64" s="314">
        <f>IF($BI64&lt;&gt;"",IF('Capacity summary'!$D$14="Yes",IF(COUNTBLANK('Capacity summary'!$H183:$BG183)&lt;52,IF('Capacity summary'!AQ183&lt;&gt;"",IF(LOWER('Capacity summary'!AQ183)="x",$BI64*AQ64,VALUE('Capacity summary'!AQ183)),0),AQ64*$BI64),AQ64*$BI64),0)</f>
        <v>0</v>
      </c>
      <c r="CU64" s="314">
        <f>IF($BI64&lt;&gt;"",IF('Capacity summary'!$D$14="Yes",IF(COUNTBLANK('Capacity summary'!$H183:$BG183)&lt;52,IF('Capacity summary'!AR183&lt;&gt;"",IF(LOWER('Capacity summary'!AR183)="x",$BI64*AR64,VALUE('Capacity summary'!AR183)),0),AR64*$BI64),AR64*$BI64),0)</f>
        <v>0</v>
      </c>
      <c r="CV64" s="314">
        <f>IF($BI64&lt;&gt;"",IF('Capacity summary'!$D$14="Yes",IF(COUNTBLANK('Capacity summary'!$H183:$BG183)&lt;52,IF('Capacity summary'!AS183&lt;&gt;"",IF(LOWER('Capacity summary'!AS183)="x",$BI64*AS64,VALUE('Capacity summary'!AS183)),0),AS64*$BI64),AS64*$BI64),0)</f>
        <v>0</v>
      </c>
      <c r="CW64" s="314">
        <f>IF($BI64&lt;&gt;"",IF('Capacity summary'!$D$14="Yes",IF(COUNTBLANK('Capacity summary'!$H183:$BG183)&lt;52,IF('Capacity summary'!AT183&lt;&gt;"",IF(LOWER('Capacity summary'!AT183)="x",$BI64*AT64,VALUE('Capacity summary'!AT183)),0),AT64*$BI64),AT64*$BI64),0)</f>
        <v>0</v>
      </c>
      <c r="CX64" s="314">
        <f>IF($BI64&lt;&gt;"",IF('Capacity summary'!$D$14="Yes",IF(COUNTBLANK('Capacity summary'!$H183:$BG183)&lt;52,IF('Capacity summary'!AU183&lt;&gt;"",IF(LOWER('Capacity summary'!AU183)="x",$BI64*AU64,VALUE('Capacity summary'!AU183)),0),AU64*$BI64),AU64*$BI64),0)</f>
        <v>0</v>
      </c>
      <c r="CY64" s="314">
        <f>IF($BI64&lt;&gt;"",IF('Capacity summary'!$D$14="Yes",IF(COUNTBLANK('Capacity summary'!$H183:$BG183)&lt;52,IF('Capacity summary'!AV183&lt;&gt;"",IF(LOWER('Capacity summary'!AV183)="x",$BI64*AV64,VALUE('Capacity summary'!AV183)),0),AV64*$BI64),AV64*$BI64),0)</f>
        <v>0</v>
      </c>
      <c r="CZ64" s="314">
        <f>IF($BI64&lt;&gt;"",IF('Capacity summary'!$D$14="Yes",IF(COUNTBLANK('Capacity summary'!$H183:$BG183)&lt;52,IF('Capacity summary'!AW183&lt;&gt;"",IF(LOWER('Capacity summary'!AW183)="x",$BI64*AW64,VALUE('Capacity summary'!AW183)),0),AW64*$BI64),AW64*$BI64),0)</f>
        <v>0</v>
      </c>
      <c r="DA64" s="314">
        <f>IF($BI64&lt;&gt;"",IF('Capacity summary'!$D$14="Yes",IF(COUNTBLANK('Capacity summary'!$H183:$BG183)&lt;52,IF('Capacity summary'!AX183&lt;&gt;"",IF(LOWER('Capacity summary'!AX183)="x",$BI64*AX64,VALUE('Capacity summary'!AX183)),0),AX64*$BI64),AX64*$BI64),0)</f>
        <v>0</v>
      </c>
      <c r="DB64" s="314">
        <f>IF($BI64&lt;&gt;"",IF('Capacity summary'!$D$14="Yes",IF(COUNTBLANK('Capacity summary'!$H183:$BG183)&lt;52,IF('Capacity summary'!AY183&lt;&gt;"",IF(LOWER('Capacity summary'!AY183)="x",$BI64*AY64,VALUE('Capacity summary'!AY183)),0),AY64*$BI64),AY64*$BI64),0)</f>
        <v>0</v>
      </c>
      <c r="DC64" s="314">
        <f>IF($BI64&lt;&gt;"",IF('Capacity summary'!$D$14="Yes",IF(COUNTBLANK('Capacity summary'!$H183:$BG183)&lt;52,IF('Capacity summary'!AZ183&lt;&gt;"",IF(LOWER('Capacity summary'!AZ183)="x",$BI64*AZ64,VALUE('Capacity summary'!AZ183)),0),AZ64*$BI64),AZ64*$BI64),0)</f>
        <v>0</v>
      </c>
      <c r="DD64" s="314">
        <f>IF($BI64&lt;&gt;"",IF('Capacity summary'!$D$14="Yes",IF(COUNTBLANK('Capacity summary'!$H183:$BG183)&lt;52,IF('Capacity summary'!BA183&lt;&gt;"",IF(LOWER('Capacity summary'!BA183)="x",$BI64*BA64,VALUE('Capacity summary'!BA183)),0),BA64*$BI64),BA64*$BI64),0)</f>
        <v>0</v>
      </c>
      <c r="DE64" s="314">
        <f>IF($BI64&lt;&gt;"",IF('Capacity summary'!$D$14="Yes",IF(COUNTBLANK('Capacity summary'!$H183:$BG183)&lt;52,IF('Capacity summary'!BB183&lt;&gt;"",IF(LOWER('Capacity summary'!BB183)="x",$BI64*BB64,VALUE('Capacity summary'!BB183)),0),BB64*$BI64),BB64*$BI64),0)</f>
        <v>0</v>
      </c>
      <c r="DF64" s="314">
        <f>IF($BI64&lt;&gt;"",IF('Capacity summary'!$D$14="Yes",IF(COUNTBLANK('Capacity summary'!$H183:$BG183)&lt;52,IF('Capacity summary'!BC183&lt;&gt;"",IF(LOWER('Capacity summary'!BC183)="x",$BI64*BC64,VALUE('Capacity summary'!BC183)),0),BC64*$BI64),BC64*$BI64),0)</f>
        <v>0</v>
      </c>
      <c r="DG64" s="314">
        <f>IF($BI64&lt;&gt;"",IF('Capacity summary'!$D$14="Yes",IF(COUNTBLANK('Capacity summary'!$H183:$BG183)&lt;52,IF('Capacity summary'!BD183&lt;&gt;"",IF(LOWER('Capacity summary'!BD183)="x",$BI64*BD64,VALUE('Capacity summary'!BD183)),0),BD64*$BI64),BD64*$BI64),0)</f>
        <v>0</v>
      </c>
      <c r="DH64" s="314">
        <f>IF($BI64&lt;&gt;"",IF('Capacity summary'!$D$14="Yes",IF(COUNTBLANK('Capacity summary'!$H183:$BG183)&lt;52,IF('Capacity summary'!BE183&lt;&gt;"",IF(LOWER('Capacity summary'!BE183)="x",$BI64*BE64,VALUE('Capacity summary'!BE183)),0),BE64*$BI64),BE64*$BI64),0)</f>
        <v>0</v>
      </c>
      <c r="DI64" s="314">
        <f>IF($BI64&lt;&gt;"",IF('Capacity summary'!$D$14="Yes",IF(COUNTBLANK('Capacity summary'!$H183:$BG183)&lt;52,IF('Capacity summary'!BF183&lt;&gt;"",IF(LOWER('Capacity summary'!BF183)="x",$BI64*BF64,VALUE('Capacity summary'!BF183)),0),BF64*$BI64),BF64*$BI64),0)</f>
        <v>0</v>
      </c>
      <c r="DJ64" s="314">
        <f>IF($BI64&lt;&gt;"",IF('Capacity summary'!$D$14="Yes",IF(COUNTBLANK('Capacity summary'!$H183:$BG183)&lt;52,IF('Capacity summary'!BG183&lt;&gt;"",IF(LOWER('Capacity summary'!BG183)="x",$BI64*BG64,VALUE('Capacity summary'!BG183)),0),BG64*$BI64),BG64*$BI64),0)</f>
        <v>0</v>
      </c>
      <c r="DK64" s="137">
        <f t="shared" si="2"/>
        <v>0</v>
      </c>
      <c r="DL64" s="314"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4">
        <f>IF($BI65&lt;&gt;"",IF('Capacity summary'!$D$14="Yes",IF(COUNTBLANK('Capacity summary'!$H184:$BG184)&lt;52,IF('Capacity summary'!H184&lt;&gt;"",IF(LOWER('Capacity summary'!H184)="x",$BI65*H65,VALUE('Capacity summary'!H184)),0),H65*$BI65),H65*$BI65),0)</f>
        <v>0</v>
      </c>
      <c r="BL65" s="314">
        <f>IF($BI65&lt;&gt;"",IF('Capacity summary'!$D$14="Yes",IF(COUNTBLANK('Capacity summary'!$H184:$BG184)&lt;52,IF('Capacity summary'!I184&lt;&gt;"",IF(LOWER('Capacity summary'!I184)="x",$BI65*I65,VALUE('Capacity summary'!I184)),0),I65*$BI65),I65*$BI65),0)</f>
        <v>0</v>
      </c>
      <c r="BM65" s="314">
        <f>IF($BI65&lt;&gt;"",IF('Capacity summary'!$D$14="Yes",IF(COUNTBLANK('Capacity summary'!$H184:$BG184)&lt;52,IF('Capacity summary'!J184&lt;&gt;"",IF(LOWER('Capacity summary'!J184)="x",$BI65*J65,VALUE('Capacity summary'!J184)),0),J65*$BI65),J65*$BI65),0)</f>
        <v>0</v>
      </c>
      <c r="BN65" s="314">
        <f>IF($BI65&lt;&gt;"",IF('Capacity summary'!$D$14="Yes",IF(COUNTBLANK('Capacity summary'!$H184:$BG184)&lt;52,IF('Capacity summary'!K184&lt;&gt;"",IF(LOWER('Capacity summary'!K184)="x",$BI65*K65,VALUE('Capacity summary'!K184)),0),K65*$BI65),K65*$BI65),0)</f>
        <v>0</v>
      </c>
      <c r="BO65" s="314">
        <f>IF($BI65&lt;&gt;"",IF('Capacity summary'!$D$14="Yes",IF(COUNTBLANK('Capacity summary'!$H184:$BG184)&lt;52,IF('Capacity summary'!L184&lt;&gt;"",IF(LOWER('Capacity summary'!L184)="x",$BI65*L65,VALUE('Capacity summary'!L184)),0),L65*$BI65),L65*$BI65),0)</f>
        <v>0</v>
      </c>
      <c r="BP65" s="314">
        <f>IF($BI65&lt;&gt;"",IF('Capacity summary'!$D$14="Yes",IF(COUNTBLANK('Capacity summary'!$H184:$BG184)&lt;52,IF('Capacity summary'!M184&lt;&gt;"",IF(LOWER('Capacity summary'!M184)="x",$BI65*M65,VALUE('Capacity summary'!M184)),0),M65*$BI65),M65*$BI65),0)</f>
        <v>0</v>
      </c>
      <c r="BQ65" s="314">
        <f>IF($BI65&lt;&gt;"",IF('Capacity summary'!$D$14="Yes",IF(COUNTBLANK('Capacity summary'!$H184:$BG184)&lt;52,IF('Capacity summary'!N184&lt;&gt;"",IF(LOWER('Capacity summary'!N184)="x",$BI65*N65,VALUE('Capacity summary'!N184)),0),N65*$BI65),N65*$BI65),0)</f>
        <v>0</v>
      </c>
      <c r="BR65" s="314">
        <f>IF($BI65&lt;&gt;"",IF('Capacity summary'!$D$14="Yes",IF(COUNTBLANK('Capacity summary'!$H184:$BG184)&lt;52,IF('Capacity summary'!O184&lt;&gt;"",IF(LOWER('Capacity summary'!O184)="x",$BI65*O65,VALUE('Capacity summary'!O184)),0),O65*$BI65),O65*$BI65),0)</f>
        <v>0</v>
      </c>
      <c r="BS65" s="314">
        <f>IF($BI65&lt;&gt;"",IF('Capacity summary'!$D$14="Yes",IF(COUNTBLANK('Capacity summary'!$H184:$BG184)&lt;52,IF('Capacity summary'!P184&lt;&gt;"",IF(LOWER('Capacity summary'!P184)="x",$BI65*P65,VALUE('Capacity summary'!P184)),0),P65*$BI65),P65*$BI65),0)</f>
        <v>0</v>
      </c>
      <c r="BT65" s="314">
        <f>IF($BI65&lt;&gt;"",IF('Capacity summary'!$D$14="Yes",IF(COUNTBLANK('Capacity summary'!$H184:$BG184)&lt;52,IF('Capacity summary'!Q184&lt;&gt;"",IF(LOWER('Capacity summary'!Q184)="x",$BI65*Q65,VALUE('Capacity summary'!Q184)),0),Q65*$BI65),Q65*$BI65),0)</f>
        <v>0</v>
      </c>
      <c r="BU65" s="314">
        <f>IF($BI65&lt;&gt;"",IF('Capacity summary'!$D$14="Yes",IF(COUNTBLANK('Capacity summary'!$H184:$BG184)&lt;52,IF('Capacity summary'!R184&lt;&gt;"",IF(LOWER('Capacity summary'!R184)="x",$BI65*R65,VALUE('Capacity summary'!R184)),0),R65*$BI65),R65*$BI65),0)</f>
        <v>0</v>
      </c>
      <c r="BV65" s="314">
        <f>IF($BI65&lt;&gt;"",IF('Capacity summary'!$D$14="Yes",IF(COUNTBLANK('Capacity summary'!$H184:$BG184)&lt;52,IF('Capacity summary'!S184&lt;&gt;"",IF(LOWER('Capacity summary'!S184)="x",$BI65*S65,VALUE('Capacity summary'!S184)),0),S65*$BI65),S65*$BI65),0)</f>
        <v>0</v>
      </c>
      <c r="BW65" s="314">
        <f>IF($BI65&lt;&gt;"",IF('Capacity summary'!$D$14="Yes",IF(COUNTBLANK('Capacity summary'!$H184:$BG184)&lt;52,IF('Capacity summary'!T184&lt;&gt;"",IF(LOWER('Capacity summary'!T184)="x",$BI65*T65,VALUE('Capacity summary'!T184)),0),T65*$BI65),T65*$BI65),0)</f>
        <v>0</v>
      </c>
      <c r="BX65" s="314">
        <f>IF($BI65&lt;&gt;"",IF('Capacity summary'!$D$14="Yes",IF(COUNTBLANK('Capacity summary'!$H184:$BG184)&lt;52,IF('Capacity summary'!U184&lt;&gt;"",IF(LOWER('Capacity summary'!U184)="x",$BI65*U65,VALUE('Capacity summary'!U184)),0),U65*$BI65),U65*$BI65),0)</f>
        <v>0</v>
      </c>
      <c r="BY65" s="314">
        <f>IF($BI65&lt;&gt;"",IF('Capacity summary'!$D$14="Yes",IF(COUNTBLANK('Capacity summary'!$H184:$BG184)&lt;52,IF('Capacity summary'!V184&lt;&gt;"",IF(LOWER('Capacity summary'!V184)="x",$BI65*V65,VALUE('Capacity summary'!V184)),0),V65*$BI65),V65*$BI65),0)</f>
        <v>0</v>
      </c>
      <c r="BZ65" s="314">
        <f>IF($BI65&lt;&gt;"",IF('Capacity summary'!$D$14="Yes",IF(COUNTBLANK('Capacity summary'!$H184:$BG184)&lt;52,IF('Capacity summary'!W184&lt;&gt;"",IF(LOWER('Capacity summary'!W184)="x",$BI65*W65,VALUE('Capacity summary'!W184)),0),W65*$BI65),W65*$BI65),0)</f>
        <v>0</v>
      </c>
      <c r="CA65" s="314">
        <f>IF($BI65&lt;&gt;"",IF('Capacity summary'!$D$14="Yes",IF(COUNTBLANK('Capacity summary'!$H184:$BG184)&lt;52,IF('Capacity summary'!X184&lt;&gt;"",IF(LOWER('Capacity summary'!X184)="x",$BI65*X65,VALUE('Capacity summary'!X184)),0),X65*$BI65),X65*$BI65),0)</f>
        <v>0</v>
      </c>
      <c r="CB65" s="314">
        <f>IF($BI65&lt;&gt;"",IF('Capacity summary'!$D$14="Yes",IF(COUNTBLANK('Capacity summary'!$H184:$BG184)&lt;52,IF('Capacity summary'!Y184&lt;&gt;"",IF(LOWER('Capacity summary'!Y184)="x",$BI65*Y65,VALUE('Capacity summary'!Y184)),0),Y65*$BI65),Y65*$BI65),0)</f>
        <v>0</v>
      </c>
      <c r="CC65" s="314">
        <f>IF($BI65&lt;&gt;"",IF('Capacity summary'!$D$14="Yes",IF(COUNTBLANK('Capacity summary'!$H184:$BG184)&lt;52,IF('Capacity summary'!Z184&lt;&gt;"",IF(LOWER('Capacity summary'!Z184)="x",$BI65*Z65,VALUE('Capacity summary'!Z184)),0),Z65*$BI65),Z65*$BI65),0)</f>
        <v>0</v>
      </c>
      <c r="CD65" s="314">
        <f>IF($BI65&lt;&gt;"",IF('Capacity summary'!$D$14="Yes",IF(COUNTBLANK('Capacity summary'!$H184:$BG184)&lt;52,IF('Capacity summary'!AA184&lt;&gt;"",IF(LOWER('Capacity summary'!AA184)="x",$BI65*AA65,VALUE('Capacity summary'!AA184)),0),AA65*$BI65),AA65*$BI65),0)</f>
        <v>0</v>
      </c>
      <c r="CE65" s="314">
        <f>IF($BI65&lt;&gt;"",IF('Capacity summary'!$D$14="Yes",IF(COUNTBLANK('Capacity summary'!$H184:$BG184)&lt;52,IF('Capacity summary'!AB184&lt;&gt;"",IF(LOWER('Capacity summary'!AB184)="x",$BI65*AB65,VALUE('Capacity summary'!AB184)),0),AB65*$BI65),AB65*$BI65),0)</f>
        <v>0</v>
      </c>
      <c r="CF65" s="314">
        <f>IF($BI65&lt;&gt;"",IF('Capacity summary'!$D$14="Yes",IF(COUNTBLANK('Capacity summary'!$H184:$BG184)&lt;52,IF('Capacity summary'!AC184&lt;&gt;"",IF(LOWER('Capacity summary'!AC184)="x",$BI65*AC65,VALUE('Capacity summary'!AC184)),0),AC65*$BI65),AC65*$BI65),0)</f>
        <v>0</v>
      </c>
      <c r="CG65" s="314">
        <f>IF($BI65&lt;&gt;"",IF('Capacity summary'!$D$14="Yes",IF(COUNTBLANK('Capacity summary'!$H184:$BG184)&lt;52,IF('Capacity summary'!AD184&lt;&gt;"",IF(LOWER('Capacity summary'!AD184)="x",$BI65*AD65,VALUE('Capacity summary'!AD184)),0),AD65*$BI65),AD65*$BI65),0)</f>
        <v>0</v>
      </c>
      <c r="CH65" s="314">
        <f>IF($BI65&lt;&gt;"",IF('Capacity summary'!$D$14="Yes",IF(COUNTBLANK('Capacity summary'!$H184:$BG184)&lt;52,IF('Capacity summary'!AE184&lt;&gt;"",IF(LOWER('Capacity summary'!AE184)="x",$BI65*AE65,VALUE('Capacity summary'!AE184)),0),AE65*$BI65),AE65*$BI65),0)</f>
        <v>0</v>
      </c>
      <c r="CI65" s="314">
        <f>IF($BI65&lt;&gt;"",IF('Capacity summary'!$D$14="Yes",IF(COUNTBLANK('Capacity summary'!$H184:$BG184)&lt;52,IF('Capacity summary'!AF184&lt;&gt;"",IF(LOWER('Capacity summary'!AF184)="x",$BI65*AF65,VALUE('Capacity summary'!AF184)),0),AF65*$BI65),AF65*$BI65),0)</f>
        <v>0</v>
      </c>
      <c r="CJ65" s="314">
        <f>IF($BI65&lt;&gt;"",IF('Capacity summary'!$D$14="Yes",IF(COUNTBLANK('Capacity summary'!$H184:$BG184)&lt;52,IF('Capacity summary'!AG184&lt;&gt;"",IF(LOWER('Capacity summary'!AG184)="x",$BI65*AG65,VALUE('Capacity summary'!AG184)),0),AG65*$BI65),AG65*$BI65),0)</f>
        <v>0</v>
      </c>
      <c r="CK65" s="314">
        <f>IF($BI65&lt;&gt;"",IF('Capacity summary'!$D$14="Yes",IF(COUNTBLANK('Capacity summary'!$H184:$BG184)&lt;52,IF('Capacity summary'!AH184&lt;&gt;"",IF(LOWER('Capacity summary'!AH184)="x",$BI65*AH65,VALUE('Capacity summary'!AH184)),0),AH65*$BI65),AH65*$BI65),0)</f>
        <v>0</v>
      </c>
      <c r="CL65" s="314">
        <f>IF($BI65&lt;&gt;"",IF('Capacity summary'!$D$14="Yes",IF(COUNTBLANK('Capacity summary'!$H184:$BG184)&lt;52,IF('Capacity summary'!AI184&lt;&gt;"",IF(LOWER('Capacity summary'!AI184)="x",$BI65*AI65,VALUE('Capacity summary'!AI184)),0),AI65*$BI65),AI65*$BI65),0)</f>
        <v>0</v>
      </c>
      <c r="CM65" s="314">
        <f>IF($BI65&lt;&gt;"",IF('Capacity summary'!$D$14="Yes",IF(COUNTBLANK('Capacity summary'!$H184:$BG184)&lt;52,IF('Capacity summary'!AJ184&lt;&gt;"",IF(LOWER('Capacity summary'!AJ184)="x",$BI65*AJ65,VALUE('Capacity summary'!AJ184)),0),AJ65*$BI65),AJ65*$BI65),0)</f>
        <v>0</v>
      </c>
      <c r="CN65" s="314">
        <f>IF($BI65&lt;&gt;"",IF('Capacity summary'!$D$14="Yes",IF(COUNTBLANK('Capacity summary'!$H184:$BG184)&lt;52,IF('Capacity summary'!AK184&lt;&gt;"",IF(LOWER('Capacity summary'!AK184)="x",$BI65*AK65,VALUE('Capacity summary'!AK184)),0),AK65*$BI65),AK65*$BI65),0)</f>
        <v>0</v>
      </c>
      <c r="CO65" s="314">
        <f>IF($BI65&lt;&gt;"",IF('Capacity summary'!$D$14="Yes",IF(COUNTBLANK('Capacity summary'!$H184:$BG184)&lt;52,IF('Capacity summary'!AL184&lt;&gt;"",IF(LOWER('Capacity summary'!AL184)="x",$BI65*AL65,VALUE('Capacity summary'!AL184)),0),AL65*$BI65),AL65*$BI65),0)</f>
        <v>0</v>
      </c>
      <c r="CP65" s="314">
        <f>IF($BI65&lt;&gt;"",IF('Capacity summary'!$D$14="Yes",IF(COUNTBLANK('Capacity summary'!$H184:$BG184)&lt;52,IF('Capacity summary'!AM184&lt;&gt;"",IF(LOWER('Capacity summary'!AM184)="x",$BI65*AM65,VALUE('Capacity summary'!AM184)),0),AM65*$BI65),AM65*$BI65),0)</f>
        <v>0</v>
      </c>
      <c r="CQ65" s="314">
        <f>IF($BI65&lt;&gt;"",IF('Capacity summary'!$D$14="Yes",IF(COUNTBLANK('Capacity summary'!$H184:$BG184)&lt;52,IF('Capacity summary'!AN184&lt;&gt;"",IF(LOWER('Capacity summary'!AN184)="x",$BI65*AN65,VALUE('Capacity summary'!AN184)),0),AN65*$BI65),AN65*$BI65),0)</f>
        <v>0</v>
      </c>
      <c r="CR65" s="314">
        <f>IF($BI65&lt;&gt;"",IF('Capacity summary'!$D$14="Yes",IF(COUNTBLANK('Capacity summary'!$H184:$BG184)&lt;52,IF('Capacity summary'!AO184&lt;&gt;"",IF(LOWER('Capacity summary'!AO184)="x",$BI65*AO65,VALUE('Capacity summary'!AO184)),0),AO65*$BI65),AO65*$BI65),0)</f>
        <v>0</v>
      </c>
      <c r="CS65" s="314">
        <f>IF($BI65&lt;&gt;"",IF('Capacity summary'!$D$14="Yes",IF(COUNTBLANK('Capacity summary'!$H184:$BG184)&lt;52,IF('Capacity summary'!AP184&lt;&gt;"",IF(LOWER('Capacity summary'!AP184)="x",$BI65*AP65,VALUE('Capacity summary'!AP184)),0),AP65*$BI65),AP65*$BI65),0)</f>
        <v>0</v>
      </c>
      <c r="CT65" s="314">
        <f>IF($BI65&lt;&gt;"",IF('Capacity summary'!$D$14="Yes",IF(COUNTBLANK('Capacity summary'!$H184:$BG184)&lt;52,IF('Capacity summary'!AQ184&lt;&gt;"",IF(LOWER('Capacity summary'!AQ184)="x",$BI65*AQ65,VALUE('Capacity summary'!AQ184)),0),AQ65*$BI65),AQ65*$BI65),0)</f>
        <v>0</v>
      </c>
      <c r="CU65" s="314">
        <f>IF($BI65&lt;&gt;"",IF('Capacity summary'!$D$14="Yes",IF(COUNTBLANK('Capacity summary'!$H184:$BG184)&lt;52,IF('Capacity summary'!AR184&lt;&gt;"",IF(LOWER('Capacity summary'!AR184)="x",$BI65*AR65,VALUE('Capacity summary'!AR184)),0),AR65*$BI65),AR65*$BI65),0)</f>
        <v>0</v>
      </c>
      <c r="CV65" s="314">
        <f>IF($BI65&lt;&gt;"",IF('Capacity summary'!$D$14="Yes",IF(COUNTBLANK('Capacity summary'!$H184:$BG184)&lt;52,IF('Capacity summary'!AS184&lt;&gt;"",IF(LOWER('Capacity summary'!AS184)="x",$BI65*AS65,VALUE('Capacity summary'!AS184)),0),AS65*$BI65),AS65*$BI65),0)</f>
        <v>0</v>
      </c>
      <c r="CW65" s="314">
        <f>IF($BI65&lt;&gt;"",IF('Capacity summary'!$D$14="Yes",IF(COUNTBLANK('Capacity summary'!$H184:$BG184)&lt;52,IF('Capacity summary'!AT184&lt;&gt;"",IF(LOWER('Capacity summary'!AT184)="x",$BI65*AT65,VALUE('Capacity summary'!AT184)),0),AT65*$BI65),AT65*$BI65),0)</f>
        <v>0</v>
      </c>
      <c r="CX65" s="314">
        <f>IF($BI65&lt;&gt;"",IF('Capacity summary'!$D$14="Yes",IF(COUNTBLANK('Capacity summary'!$H184:$BG184)&lt;52,IF('Capacity summary'!AU184&lt;&gt;"",IF(LOWER('Capacity summary'!AU184)="x",$BI65*AU65,VALUE('Capacity summary'!AU184)),0),AU65*$BI65),AU65*$BI65),0)</f>
        <v>0</v>
      </c>
      <c r="CY65" s="314">
        <f>IF($BI65&lt;&gt;"",IF('Capacity summary'!$D$14="Yes",IF(COUNTBLANK('Capacity summary'!$H184:$BG184)&lt;52,IF('Capacity summary'!AV184&lt;&gt;"",IF(LOWER('Capacity summary'!AV184)="x",$BI65*AV65,VALUE('Capacity summary'!AV184)),0),AV65*$BI65),AV65*$BI65),0)</f>
        <v>0</v>
      </c>
      <c r="CZ65" s="314">
        <f>IF($BI65&lt;&gt;"",IF('Capacity summary'!$D$14="Yes",IF(COUNTBLANK('Capacity summary'!$H184:$BG184)&lt;52,IF('Capacity summary'!AW184&lt;&gt;"",IF(LOWER('Capacity summary'!AW184)="x",$BI65*AW65,VALUE('Capacity summary'!AW184)),0),AW65*$BI65),AW65*$BI65),0)</f>
        <v>0</v>
      </c>
      <c r="DA65" s="314">
        <f>IF($BI65&lt;&gt;"",IF('Capacity summary'!$D$14="Yes",IF(COUNTBLANK('Capacity summary'!$H184:$BG184)&lt;52,IF('Capacity summary'!AX184&lt;&gt;"",IF(LOWER('Capacity summary'!AX184)="x",$BI65*AX65,VALUE('Capacity summary'!AX184)),0),AX65*$BI65),AX65*$BI65),0)</f>
        <v>0</v>
      </c>
      <c r="DB65" s="314">
        <f>IF($BI65&lt;&gt;"",IF('Capacity summary'!$D$14="Yes",IF(COUNTBLANK('Capacity summary'!$H184:$BG184)&lt;52,IF('Capacity summary'!AY184&lt;&gt;"",IF(LOWER('Capacity summary'!AY184)="x",$BI65*AY65,VALUE('Capacity summary'!AY184)),0),AY65*$BI65),AY65*$BI65),0)</f>
        <v>0</v>
      </c>
      <c r="DC65" s="314">
        <f>IF($BI65&lt;&gt;"",IF('Capacity summary'!$D$14="Yes",IF(COUNTBLANK('Capacity summary'!$H184:$BG184)&lt;52,IF('Capacity summary'!AZ184&lt;&gt;"",IF(LOWER('Capacity summary'!AZ184)="x",$BI65*AZ65,VALUE('Capacity summary'!AZ184)),0),AZ65*$BI65),AZ65*$BI65),0)</f>
        <v>0</v>
      </c>
      <c r="DD65" s="314">
        <f>IF($BI65&lt;&gt;"",IF('Capacity summary'!$D$14="Yes",IF(COUNTBLANK('Capacity summary'!$H184:$BG184)&lt;52,IF('Capacity summary'!BA184&lt;&gt;"",IF(LOWER('Capacity summary'!BA184)="x",$BI65*BA65,VALUE('Capacity summary'!BA184)),0),BA65*$BI65),BA65*$BI65),0)</f>
        <v>0</v>
      </c>
      <c r="DE65" s="314">
        <f>IF($BI65&lt;&gt;"",IF('Capacity summary'!$D$14="Yes",IF(COUNTBLANK('Capacity summary'!$H184:$BG184)&lt;52,IF('Capacity summary'!BB184&lt;&gt;"",IF(LOWER('Capacity summary'!BB184)="x",$BI65*BB65,VALUE('Capacity summary'!BB184)),0),BB65*$BI65),BB65*$BI65),0)</f>
        <v>0</v>
      </c>
      <c r="DF65" s="314">
        <f>IF($BI65&lt;&gt;"",IF('Capacity summary'!$D$14="Yes",IF(COUNTBLANK('Capacity summary'!$H184:$BG184)&lt;52,IF('Capacity summary'!BC184&lt;&gt;"",IF(LOWER('Capacity summary'!BC184)="x",$BI65*BC65,VALUE('Capacity summary'!BC184)),0),BC65*$BI65),BC65*$BI65),0)</f>
        <v>0</v>
      </c>
      <c r="DG65" s="314">
        <f>IF($BI65&lt;&gt;"",IF('Capacity summary'!$D$14="Yes",IF(COUNTBLANK('Capacity summary'!$H184:$BG184)&lt;52,IF('Capacity summary'!BD184&lt;&gt;"",IF(LOWER('Capacity summary'!BD184)="x",$BI65*BD65,VALUE('Capacity summary'!BD184)),0),BD65*$BI65),BD65*$BI65),0)</f>
        <v>0</v>
      </c>
      <c r="DH65" s="314">
        <f>IF($BI65&lt;&gt;"",IF('Capacity summary'!$D$14="Yes",IF(COUNTBLANK('Capacity summary'!$H184:$BG184)&lt;52,IF('Capacity summary'!BE184&lt;&gt;"",IF(LOWER('Capacity summary'!BE184)="x",$BI65*BE65,VALUE('Capacity summary'!BE184)),0),BE65*$BI65),BE65*$BI65),0)</f>
        <v>0</v>
      </c>
      <c r="DI65" s="314">
        <f>IF($BI65&lt;&gt;"",IF('Capacity summary'!$D$14="Yes",IF(COUNTBLANK('Capacity summary'!$H184:$BG184)&lt;52,IF('Capacity summary'!BF184&lt;&gt;"",IF(LOWER('Capacity summary'!BF184)="x",$BI65*BF65,VALUE('Capacity summary'!BF184)),0),BF65*$BI65),BF65*$BI65),0)</f>
        <v>0</v>
      </c>
      <c r="DJ65" s="314">
        <f>IF($BI65&lt;&gt;"",IF('Capacity summary'!$D$14="Yes",IF(COUNTBLANK('Capacity summary'!$H184:$BG184)&lt;52,IF('Capacity summary'!BG184&lt;&gt;"",IF(LOWER('Capacity summary'!BG184)="x",$BI65*BG65,VALUE('Capacity summary'!BG184)),0),BG65*$BI65),BG65*$BI65),0)</f>
        <v>0</v>
      </c>
      <c r="DK65" s="137">
        <f t="shared" si="2"/>
        <v>0</v>
      </c>
      <c r="DL65" s="314"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4">
        <f>IF($BI66&lt;&gt;"",IF('Capacity summary'!$D$14="Yes",IF(COUNTBLANK('Capacity summary'!$H185:$BG185)&lt;52,IF('Capacity summary'!H185&lt;&gt;"",IF(LOWER('Capacity summary'!H185)="x",$BI66*H66,VALUE('Capacity summary'!H185)),0),H66*$BI66),H66*$BI66),0)</f>
        <v>0</v>
      </c>
      <c r="BL66" s="314">
        <f>IF($BI66&lt;&gt;"",IF('Capacity summary'!$D$14="Yes",IF(COUNTBLANK('Capacity summary'!$H185:$BG185)&lt;52,IF('Capacity summary'!I185&lt;&gt;"",IF(LOWER('Capacity summary'!I185)="x",$BI66*I66,VALUE('Capacity summary'!I185)),0),I66*$BI66),I66*$BI66),0)</f>
        <v>0</v>
      </c>
      <c r="BM66" s="314">
        <f>IF($BI66&lt;&gt;"",IF('Capacity summary'!$D$14="Yes",IF(COUNTBLANK('Capacity summary'!$H185:$BG185)&lt;52,IF('Capacity summary'!J185&lt;&gt;"",IF(LOWER('Capacity summary'!J185)="x",$BI66*J66,VALUE('Capacity summary'!J185)),0),J66*$BI66),J66*$BI66),0)</f>
        <v>0</v>
      </c>
      <c r="BN66" s="314">
        <f>IF($BI66&lt;&gt;"",IF('Capacity summary'!$D$14="Yes",IF(COUNTBLANK('Capacity summary'!$H185:$BG185)&lt;52,IF('Capacity summary'!K185&lt;&gt;"",IF(LOWER('Capacity summary'!K185)="x",$BI66*K66,VALUE('Capacity summary'!K185)),0),K66*$BI66),K66*$BI66),0)</f>
        <v>0</v>
      </c>
      <c r="BO66" s="314">
        <f>IF($BI66&lt;&gt;"",IF('Capacity summary'!$D$14="Yes",IF(COUNTBLANK('Capacity summary'!$H185:$BG185)&lt;52,IF('Capacity summary'!L185&lt;&gt;"",IF(LOWER('Capacity summary'!L185)="x",$BI66*L66,VALUE('Capacity summary'!L185)),0),L66*$BI66),L66*$BI66),0)</f>
        <v>0</v>
      </c>
      <c r="BP66" s="314">
        <f>IF($BI66&lt;&gt;"",IF('Capacity summary'!$D$14="Yes",IF(COUNTBLANK('Capacity summary'!$H185:$BG185)&lt;52,IF('Capacity summary'!M185&lt;&gt;"",IF(LOWER('Capacity summary'!M185)="x",$BI66*M66,VALUE('Capacity summary'!M185)),0),M66*$BI66),M66*$BI66),0)</f>
        <v>0</v>
      </c>
      <c r="BQ66" s="314">
        <f>IF($BI66&lt;&gt;"",IF('Capacity summary'!$D$14="Yes",IF(COUNTBLANK('Capacity summary'!$H185:$BG185)&lt;52,IF('Capacity summary'!N185&lt;&gt;"",IF(LOWER('Capacity summary'!N185)="x",$BI66*N66,VALUE('Capacity summary'!N185)),0),N66*$BI66),N66*$BI66),0)</f>
        <v>0</v>
      </c>
      <c r="BR66" s="314">
        <f>IF($BI66&lt;&gt;"",IF('Capacity summary'!$D$14="Yes",IF(COUNTBLANK('Capacity summary'!$H185:$BG185)&lt;52,IF('Capacity summary'!O185&lt;&gt;"",IF(LOWER('Capacity summary'!O185)="x",$BI66*O66,VALUE('Capacity summary'!O185)),0),O66*$BI66),O66*$BI66),0)</f>
        <v>0</v>
      </c>
      <c r="BS66" s="314">
        <f>IF($BI66&lt;&gt;"",IF('Capacity summary'!$D$14="Yes",IF(COUNTBLANK('Capacity summary'!$H185:$BG185)&lt;52,IF('Capacity summary'!P185&lt;&gt;"",IF(LOWER('Capacity summary'!P185)="x",$BI66*P66,VALUE('Capacity summary'!P185)),0),P66*$BI66),P66*$BI66),0)</f>
        <v>0</v>
      </c>
      <c r="BT66" s="314">
        <f>IF($BI66&lt;&gt;"",IF('Capacity summary'!$D$14="Yes",IF(COUNTBLANK('Capacity summary'!$H185:$BG185)&lt;52,IF('Capacity summary'!Q185&lt;&gt;"",IF(LOWER('Capacity summary'!Q185)="x",$BI66*Q66,VALUE('Capacity summary'!Q185)),0),Q66*$BI66),Q66*$BI66),0)</f>
        <v>0</v>
      </c>
      <c r="BU66" s="314">
        <f>IF($BI66&lt;&gt;"",IF('Capacity summary'!$D$14="Yes",IF(COUNTBLANK('Capacity summary'!$H185:$BG185)&lt;52,IF('Capacity summary'!R185&lt;&gt;"",IF(LOWER('Capacity summary'!R185)="x",$BI66*R66,VALUE('Capacity summary'!R185)),0),R66*$BI66),R66*$BI66),0)</f>
        <v>0</v>
      </c>
      <c r="BV66" s="314">
        <f>IF($BI66&lt;&gt;"",IF('Capacity summary'!$D$14="Yes",IF(COUNTBLANK('Capacity summary'!$H185:$BG185)&lt;52,IF('Capacity summary'!S185&lt;&gt;"",IF(LOWER('Capacity summary'!S185)="x",$BI66*S66,VALUE('Capacity summary'!S185)),0),S66*$BI66),S66*$BI66),0)</f>
        <v>0</v>
      </c>
      <c r="BW66" s="314">
        <f>IF($BI66&lt;&gt;"",IF('Capacity summary'!$D$14="Yes",IF(COUNTBLANK('Capacity summary'!$H185:$BG185)&lt;52,IF('Capacity summary'!T185&lt;&gt;"",IF(LOWER('Capacity summary'!T185)="x",$BI66*T66,VALUE('Capacity summary'!T185)),0),T66*$BI66),T66*$BI66),0)</f>
        <v>0</v>
      </c>
      <c r="BX66" s="314">
        <f>IF($BI66&lt;&gt;"",IF('Capacity summary'!$D$14="Yes",IF(COUNTBLANK('Capacity summary'!$H185:$BG185)&lt;52,IF('Capacity summary'!U185&lt;&gt;"",IF(LOWER('Capacity summary'!U185)="x",$BI66*U66,VALUE('Capacity summary'!U185)),0),U66*$BI66),U66*$BI66),0)</f>
        <v>0</v>
      </c>
      <c r="BY66" s="314">
        <f>IF($BI66&lt;&gt;"",IF('Capacity summary'!$D$14="Yes",IF(COUNTBLANK('Capacity summary'!$H185:$BG185)&lt;52,IF('Capacity summary'!V185&lt;&gt;"",IF(LOWER('Capacity summary'!V185)="x",$BI66*V66,VALUE('Capacity summary'!V185)),0),V66*$BI66),V66*$BI66),0)</f>
        <v>0</v>
      </c>
      <c r="BZ66" s="314">
        <f>IF($BI66&lt;&gt;"",IF('Capacity summary'!$D$14="Yes",IF(COUNTBLANK('Capacity summary'!$H185:$BG185)&lt;52,IF('Capacity summary'!W185&lt;&gt;"",IF(LOWER('Capacity summary'!W185)="x",$BI66*W66,VALUE('Capacity summary'!W185)),0),W66*$BI66),W66*$BI66),0)</f>
        <v>0</v>
      </c>
      <c r="CA66" s="314">
        <f>IF($BI66&lt;&gt;"",IF('Capacity summary'!$D$14="Yes",IF(COUNTBLANK('Capacity summary'!$H185:$BG185)&lt;52,IF('Capacity summary'!X185&lt;&gt;"",IF(LOWER('Capacity summary'!X185)="x",$BI66*X66,VALUE('Capacity summary'!X185)),0),X66*$BI66),X66*$BI66),0)</f>
        <v>0</v>
      </c>
      <c r="CB66" s="314">
        <f>IF($BI66&lt;&gt;"",IF('Capacity summary'!$D$14="Yes",IF(COUNTBLANK('Capacity summary'!$H185:$BG185)&lt;52,IF('Capacity summary'!Y185&lt;&gt;"",IF(LOWER('Capacity summary'!Y185)="x",$BI66*Y66,VALUE('Capacity summary'!Y185)),0),Y66*$BI66),Y66*$BI66),0)</f>
        <v>0</v>
      </c>
      <c r="CC66" s="314">
        <f>IF($BI66&lt;&gt;"",IF('Capacity summary'!$D$14="Yes",IF(COUNTBLANK('Capacity summary'!$H185:$BG185)&lt;52,IF('Capacity summary'!Z185&lt;&gt;"",IF(LOWER('Capacity summary'!Z185)="x",$BI66*Z66,VALUE('Capacity summary'!Z185)),0),Z66*$BI66),Z66*$BI66),0)</f>
        <v>0</v>
      </c>
      <c r="CD66" s="314">
        <f>IF($BI66&lt;&gt;"",IF('Capacity summary'!$D$14="Yes",IF(COUNTBLANK('Capacity summary'!$H185:$BG185)&lt;52,IF('Capacity summary'!AA185&lt;&gt;"",IF(LOWER('Capacity summary'!AA185)="x",$BI66*AA66,VALUE('Capacity summary'!AA185)),0),AA66*$BI66),AA66*$BI66),0)</f>
        <v>0</v>
      </c>
      <c r="CE66" s="314">
        <f>IF($BI66&lt;&gt;"",IF('Capacity summary'!$D$14="Yes",IF(COUNTBLANK('Capacity summary'!$H185:$BG185)&lt;52,IF('Capacity summary'!AB185&lt;&gt;"",IF(LOWER('Capacity summary'!AB185)="x",$BI66*AB66,VALUE('Capacity summary'!AB185)),0),AB66*$BI66),AB66*$BI66),0)</f>
        <v>0</v>
      </c>
      <c r="CF66" s="314">
        <f>IF($BI66&lt;&gt;"",IF('Capacity summary'!$D$14="Yes",IF(COUNTBLANK('Capacity summary'!$H185:$BG185)&lt;52,IF('Capacity summary'!AC185&lt;&gt;"",IF(LOWER('Capacity summary'!AC185)="x",$BI66*AC66,VALUE('Capacity summary'!AC185)),0),AC66*$BI66),AC66*$BI66),0)</f>
        <v>0</v>
      </c>
      <c r="CG66" s="314">
        <f>IF($BI66&lt;&gt;"",IF('Capacity summary'!$D$14="Yes",IF(COUNTBLANK('Capacity summary'!$H185:$BG185)&lt;52,IF('Capacity summary'!AD185&lt;&gt;"",IF(LOWER('Capacity summary'!AD185)="x",$BI66*AD66,VALUE('Capacity summary'!AD185)),0),AD66*$BI66),AD66*$BI66),0)</f>
        <v>0</v>
      </c>
      <c r="CH66" s="314">
        <f>IF($BI66&lt;&gt;"",IF('Capacity summary'!$D$14="Yes",IF(COUNTBLANK('Capacity summary'!$H185:$BG185)&lt;52,IF('Capacity summary'!AE185&lt;&gt;"",IF(LOWER('Capacity summary'!AE185)="x",$BI66*AE66,VALUE('Capacity summary'!AE185)),0),AE66*$BI66),AE66*$BI66),0)</f>
        <v>0</v>
      </c>
      <c r="CI66" s="314">
        <f>IF($BI66&lt;&gt;"",IF('Capacity summary'!$D$14="Yes",IF(COUNTBLANK('Capacity summary'!$H185:$BG185)&lt;52,IF('Capacity summary'!AF185&lt;&gt;"",IF(LOWER('Capacity summary'!AF185)="x",$BI66*AF66,VALUE('Capacity summary'!AF185)),0),AF66*$BI66),AF66*$BI66),0)</f>
        <v>0</v>
      </c>
      <c r="CJ66" s="314">
        <f>IF($BI66&lt;&gt;"",IF('Capacity summary'!$D$14="Yes",IF(COUNTBLANK('Capacity summary'!$H185:$BG185)&lt;52,IF('Capacity summary'!AG185&lt;&gt;"",IF(LOWER('Capacity summary'!AG185)="x",$BI66*AG66,VALUE('Capacity summary'!AG185)),0),AG66*$BI66),AG66*$BI66),0)</f>
        <v>0</v>
      </c>
      <c r="CK66" s="314">
        <f>IF($BI66&lt;&gt;"",IF('Capacity summary'!$D$14="Yes",IF(COUNTBLANK('Capacity summary'!$H185:$BG185)&lt;52,IF('Capacity summary'!AH185&lt;&gt;"",IF(LOWER('Capacity summary'!AH185)="x",$BI66*AH66,VALUE('Capacity summary'!AH185)),0),AH66*$BI66),AH66*$BI66),0)</f>
        <v>0</v>
      </c>
      <c r="CL66" s="314">
        <f>IF($BI66&lt;&gt;"",IF('Capacity summary'!$D$14="Yes",IF(COUNTBLANK('Capacity summary'!$H185:$BG185)&lt;52,IF('Capacity summary'!AI185&lt;&gt;"",IF(LOWER('Capacity summary'!AI185)="x",$BI66*AI66,VALUE('Capacity summary'!AI185)),0),AI66*$BI66),AI66*$BI66),0)</f>
        <v>0</v>
      </c>
      <c r="CM66" s="314">
        <f>IF($BI66&lt;&gt;"",IF('Capacity summary'!$D$14="Yes",IF(COUNTBLANK('Capacity summary'!$H185:$BG185)&lt;52,IF('Capacity summary'!AJ185&lt;&gt;"",IF(LOWER('Capacity summary'!AJ185)="x",$BI66*AJ66,VALUE('Capacity summary'!AJ185)),0),AJ66*$BI66),AJ66*$BI66),0)</f>
        <v>0</v>
      </c>
      <c r="CN66" s="314">
        <f>IF($BI66&lt;&gt;"",IF('Capacity summary'!$D$14="Yes",IF(COUNTBLANK('Capacity summary'!$H185:$BG185)&lt;52,IF('Capacity summary'!AK185&lt;&gt;"",IF(LOWER('Capacity summary'!AK185)="x",$BI66*AK66,VALUE('Capacity summary'!AK185)),0),AK66*$BI66),AK66*$BI66),0)</f>
        <v>0</v>
      </c>
      <c r="CO66" s="314">
        <f>IF($BI66&lt;&gt;"",IF('Capacity summary'!$D$14="Yes",IF(COUNTBLANK('Capacity summary'!$H185:$BG185)&lt;52,IF('Capacity summary'!AL185&lt;&gt;"",IF(LOWER('Capacity summary'!AL185)="x",$BI66*AL66,VALUE('Capacity summary'!AL185)),0),AL66*$BI66),AL66*$BI66),0)</f>
        <v>0</v>
      </c>
      <c r="CP66" s="314">
        <f>IF($BI66&lt;&gt;"",IF('Capacity summary'!$D$14="Yes",IF(COUNTBLANK('Capacity summary'!$H185:$BG185)&lt;52,IF('Capacity summary'!AM185&lt;&gt;"",IF(LOWER('Capacity summary'!AM185)="x",$BI66*AM66,VALUE('Capacity summary'!AM185)),0),AM66*$BI66),AM66*$BI66),0)</f>
        <v>0</v>
      </c>
      <c r="CQ66" s="314">
        <f>IF($BI66&lt;&gt;"",IF('Capacity summary'!$D$14="Yes",IF(COUNTBLANK('Capacity summary'!$H185:$BG185)&lt;52,IF('Capacity summary'!AN185&lt;&gt;"",IF(LOWER('Capacity summary'!AN185)="x",$BI66*AN66,VALUE('Capacity summary'!AN185)),0),AN66*$BI66),AN66*$BI66),0)</f>
        <v>0</v>
      </c>
      <c r="CR66" s="314">
        <f>IF($BI66&lt;&gt;"",IF('Capacity summary'!$D$14="Yes",IF(COUNTBLANK('Capacity summary'!$H185:$BG185)&lt;52,IF('Capacity summary'!AO185&lt;&gt;"",IF(LOWER('Capacity summary'!AO185)="x",$BI66*AO66,VALUE('Capacity summary'!AO185)),0),AO66*$BI66),AO66*$BI66),0)</f>
        <v>0</v>
      </c>
      <c r="CS66" s="314">
        <f>IF($BI66&lt;&gt;"",IF('Capacity summary'!$D$14="Yes",IF(COUNTBLANK('Capacity summary'!$H185:$BG185)&lt;52,IF('Capacity summary'!AP185&lt;&gt;"",IF(LOWER('Capacity summary'!AP185)="x",$BI66*AP66,VALUE('Capacity summary'!AP185)),0),AP66*$BI66),AP66*$BI66),0)</f>
        <v>0</v>
      </c>
      <c r="CT66" s="314">
        <f>IF($BI66&lt;&gt;"",IF('Capacity summary'!$D$14="Yes",IF(COUNTBLANK('Capacity summary'!$H185:$BG185)&lt;52,IF('Capacity summary'!AQ185&lt;&gt;"",IF(LOWER('Capacity summary'!AQ185)="x",$BI66*AQ66,VALUE('Capacity summary'!AQ185)),0),AQ66*$BI66),AQ66*$BI66),0)</f>
        <v>0</v>
      </c>
      <c r="CU66" s="314">
        <f>IF($BI66&lt;&gt;"",IF('Capacity summary'!$D$14="Yes",IF(COUNTBLANK('Capacity summary'!$H185:$BG185)&lt;52,IF('Capacity summary'!AR185&lt;&gt;"",IF(LOWER('Capacity summary'!AR185)="x",$BI66*AR66,VALUE('Capacity summary'!AR185)),0),AR66*$BI66),AR66*$BI66),0)</f>
        <v>0</v>
      </c>
      <c r="CV66" s="314">
        <f>IF($BI66&lt;&gt;"",IF('Capacity summary'!$D$14="Yes",IF(COUNTBLANK('Capacity summary'!$H185:$BG185)&lt;52,IF('Capacity summary'!AS185&lt;&gt;"",IF(LOWER('Capacity summary'!AS185)="x",$BI66*AS66,VALUE('Capacity summary'!AS185)),0),AS66*$BI66),AS66*$BI66),0)</f>
        <v>0</v>
      </c>
      <c r="CW66" s="314">
        <f>IF($BI66&lt;&gt;"",IF('Capacity summary'!$D$14="Yes",IF(COUNTBLANK('Capacity summary'!$H185:$BG185)&lt;52,IF('Capacity summary'!AT185&lt;&gt;"",IF(LOWER('Capacity summary'!AT185)="x",$BI66*AT66,VALUE('Capacity summary'!AT185)),0),AT66*$BI66),AT66*$BI66),0)</f>
        <v>0</v>
      </c>
      <c r="CX66" s="314">
        <f>IF($BI66&lt;&gt;"",IF('Capacity summary'!$D$14="Yes",IF(COUNTBLANK('Capacity summary'!$H185:$BG185)&lt;52,IF('Capacity summary'!AU185&lt;&gt;"",IF(LOWER('Capacity summary'!AU185)="x",$BI66*AU66,VALUE('Capacity summary'!AU185)),0),AU66*$BI66),AU66*$BI66),0)</f>
        <v>0</v>
      </c>
      <c r="CY66" s="314">
        <f>IF($BI66&lt;&gt;"",IF('Capacity summary'!$D$14="Yes",IF(COUNTBLANK('Capacity summary'!$H185:$BG185)&lt;52,IF('Capacity summary'!AV185&lt;&gt;"",IF(LOWER('Capacity summary'!AV185)="x",$BI66*AV66,VALUE('Capacity summary'!AV185)),0),AV66*$BI66),AV66*$BI66),0)</f>
        <v>0</v>
      </c>
      <c r="CZ66" s="314">
        <f>IF($BI66&lt;&gt;"",IF('Capacity summary'!$D$14="Yes",IF(COUNTBLANK('Capacity summary'!$H185:$BG185)&lt;52,IF('Capacity summary'!AW185&lt;&gt;"",IF(LOWER('Capacity summary'!AW185)="x",$BI66*AW66,VALUE('Capacity summary'!AW185)),0),AW66*$BI66),AW66*$BI66),0)</f>
        <v>0</v>
      </c>
      <c r="DA66" s="314">
        <f>IF($BI66&lt;&gt;"",IF('Capacity summary'!$D$14="Yes",IF(COUNTBLANK('Capacity summary'!$H185:$BG185)&lt;52,IF('Capacity summary'!AX185&lt;&gt;"",IF(LOWER('Capacity summary'!AX185)="x",$BI66*AX66,VALUE('Capacity summary'!AX185)),0),AX66*$BI66),AX66*$BI66),0)</f>
        <v>0</v>
      </c>
      <c r="DB66" s="314">
        <f>IF($BI66&lt;&gt;"",IF('Capacity summary'!$D$14="Yes",IF(COUNTBLANK('Capacity summary'!$H185:$BG185)&lt;52,IF('Capacity summary'!AY185&lt;&gt;"",IF(LOWER('Capacity summary'!AY185)="x",$BI66*AY66,VALUE('Capacity summary'!AY185)),0),AY66*$BI66),AY66*$BI66),0)</f>
        <v>0</v>
      </c>
      <c r="DC66" s="314">
        <f>IF($BI66&lt;&gt;"",IF('Capacity summary'!$D$14="Yes",IF(COUNTBLANK('Capacity summary'!$H185:$BG185)&lt;52,IF('Capacity summary'!AZ185&lt;&gt;"",IF(LOWER('Capacity summary'!AZ185)="x",$BI66*AZ66,VALUE('Capacity summary'!AZ185)),0),AZ66*$BI66),AZ66*$BI66),0)</f>
        <v>0</v>
      </c>
      <c r="DD66" s="314">
        <f>IF($BI66&lt;&gt;"",IF('Capacity summary'!$D$14="Yes",IF(COUNTBLANK('Capacity summary'!$H185:$BG185)&lt;52,IF('Capacity summary'!BA185&lt;&gt;"",IF(LOWER('Capacity summary'!BA185)="x",$BI66*BA66,VALUE('Capacity summary'!BA185)),0),BA66*$BI66),BA66*$BI66),0)</f>
        <v>0</v>
      </c>
      <c r="DE66" s="314">
        <f>IF($BI66&lt;&gt;"",IF('Capacity summary'!$D$14="Yes",IF(COUNTBLANK('Capacity summary'!$H185:$BG185)&lt;52,IF('Capacity summary'!BB185&lt;&gt;"",IF(LOWER('Capacity summary'!BB185)="x",$BI66*BB66,VALUE('Capacity summary'!BB185)),0),BB66*$BI66),BB66*$BI66),0)</f>
        <v>0</v>
      </c>
      <c r="DF66" s="314">
        <f>IF($BI66&lt;&gt;"",IF('Capacity summary'!$D$14="Yes",IF(COUNTBLANK('Capacity summary'!$H185:$BG185)&lt;52,IF('Capacity summary'!BC185&lt;&gt;"",IF(LOWER('Capacity summary'!BC185)="x",$BI66*BC66,VALUE('Capacity summary'!BC185)),0),BC66*$BI66),BC66*$BI66),0)</f>
        <v>0</v>
      </c>
      <c r="DG66" s="314">
        <f>IF($BI66&lt;&gt;"",IF('Capacity summary'!$D$14="Yes",IF(COUNTBLANK('Capacity summary'!$H185:$BG185)&lt;52,IF('Capacity summary'!BD185&lt;&gt;"",IF(LOWER('Capacity summary'!BD185)="x",$BI66*BD66,VALUE('Capacity summary'!BD185)),0),BD66*$BI66),BD66*$BI66),0)</f>
        <v>0</v>
      </c>
      <c r="DH66" s="314">
        <f>IF($BI66&lt;&gt;"",IF('Capacity summary'!$D$14="Yes",IF(COUNTBLANK('Capacity summary'!$H185:$BG185)&lt;52,IF('Capacity summary'!BE185&lt;&gt;"",IF(LOWER('Capacity summary'!BE185)="x",$BI66*BE66,VALUE('Capacity summary'!BE185)),0),BE66*$BI66),BE66*$BI66),0)</f>
        <v>0</v>
      </c>
      <c r="DI66" s="314">
        <f>IF($BI66&lt;&gt;"",IF('Capacity summary'!$D$14="Yes",IF(COUNTBLANK('Capacity summary'!$H185:$BG185)&lt;52,IF('Capacity summary'!BF185&lt;&gt;"",IF(LOWER('Capacity summary'!BF185)="x",$BI66*BF66,VALUE('Capacity summary'!BF185)),0),BF66*$BI66),BF66*$BI66),0)</f>
        <v>0</v>
      </c>
      <c r="DJ66" s="314">
        <f>IF($BI66&lt;&gt;"",IF('Capacity summary'!$D$14="Yes",IF(COUNTBLANK('Capacity summary'!$H185:$BG185)&lt;52,IF('Capacity summary'!BG185&lt;&gt;"",IF(LOWER('Capacity summary'!BG185)="x",$BI66*BG66,VALUE('Capacity summary'!BG185)),0),BG66*$BI66),BG66*$BI66),0)</f>
        <v>0</v>
      </c>
      <c r="DK66" s="137">
        <f t="shared" si="2"/>
        <v>0</v>
      </c>
      <c r="DL66" s="314"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4">
        <f>IF($BI67&lt;&gt;"",IF('Capacity summary'!$D$14="Yes",IF(COUNTBLANK('Capacity summary'!$H186:$BG186)&lt;52,IF('Capacity summary'!H186&lt;&gt;"",IF(LOWER('Capacity summary'!H186)="x",$BI67*H67,VALUE('Capacity summary'!H186)),0),H67*$BI67),H67*$BI67),0)</f>
        <v>0</v>
      </c>
      <c r="BL67" s="314">
        <f>IF($BI67&lt;&gt;"",IF('Capacity summary'!$D$14="Yes",IF(COUNTBLANK('Capacity summary'!$H186:$BG186)&lt;52,IF('Capacity summary'!I186&lt;&gt;"",IF(LOWER('Capacity summary'!I186)="x",$BI67*I67,VALUE('Capacity summary'!I186)),0),I67*$BI67),I67*$BI67),0)</f>
        <v>0</v>
      </c>
      <c r="BM67" s="314">
        <f>IF($BI67&lt;&gt;"",IF('Capacity summary'!$D$14="Yes",IF(COUNTBLANK('Capacity summary'!$H186:$BG186)&lt;52,IF('Capacity summary'!J186&lt;&gt;"",IF(LOWER('Capacity summary'!J186)="x",$BI67*J67,VALUE('Capacity summary'!J186)),0),J67*$BI67),J67*$BI67),0)</f>
        <v>0</v>
      </c>
      <c r="BN67" s="314">
        <f>IF($BI67&lt;&gt;"",IF('Capacity summary'!$D$14="Yes",IF(COUNTBLANK('Capacity summary'!$H186:$BG186)&lt;52,IF('Capacity summary'!K186&lt;&gt;"",IF(LOWER('Capacity summary'!K186)="x",$BI67*K67,VALUE('Capacity summary'!K186)),0),K67*$BI67),K67*$BI67),0)</f>
        <v>0</v>
      </c>
      <c r="BO67" s="314">
        <f>IF($BI67&lt;&gt;"",IF('Capacity summary'!$D$14="Yes",IF(COUNTBLANK('Capacity summary'!$H186:$BG186)&lt;52,IF('Capacity summary'!L186&lt;&gt;"",IF(LOWER('Capacity summary'!L186)="x",$BI67*L67,VALUE('Capacity summary'!L186)),0),L67*$BI67),L67*$BI67),0)</f>
        <v>0</v>
      </c>
      <c r="BP67" s="314">
        <f>IF($BI67&lt;&gt;"",IF('Capacity summary'!$D$14="Yes",IF(COUNTBLANK('Capacity summary'!$H186:$BG186)&lt;52,IF('Capacity summary'!M186&lt;&gt;"",IF(LOWER('Capacity summary'!M186)="x",$BI67*M67,VALUE('Capacity summary'!M186)),0),M67*$BI67),M67*$BI67),0)</f>
        <v>0</v>
      </c>
      <c r="BQ67" s="314">
        <f>IF($BI67&lt;&gt;"",IF('Capacity summary'!$D$14="Yes",IF(COUNTBLANK('Capacity summary'!$H186:$BG186)&lt;52,IF('Capacity summary'!N186&lt;&gt;"",IF(LOWER('Capacity summary'!N186)="x",$BI67*N67,VALUE('Capacity summary'!N186)),0),N67*$BI67),N67*$BI67),0)</f>
        <v>0</v>
      </c>
      <c r="BR67" s="314">
        <f>IF($BI67&lt;&gt;"",IF('Capacity summary'!$D$14="Yes",IF(COUNTBLANK('Capacity summary'!$H186:$BG186)&lt;52,IF('Capacity summary'!O186&lt;&gt;"",IF(LOWER('Capacity summary'!O186)="x",$BI67*O67,VALUE('Capacity summary'!O186)),0),O67*$BI67),O67*$BI67),0)</f>
        <v>0</v>
      </c>
      <c r="BS67" s="314">
        <f>IF($BI67&lt;&gt;"",IF('Capacity summary'!$D$14="Yes",IF(COUNTBLANK('Capacity summary'!$H186:$BG186)&lt;52,IF('Capacity summary'!P186&lt;&gt;"",IF(LOWER('Capacity summary'!P186)="x",$BI67*P67,VALUE('Capacity summary'!P186)),0),P67*$BI67),P67*$BI67),0)</f>
        <v>0</v>
      </c>
      <c r="BT67" s="314">
        <f>IF($BI67&lt;&gt;"",IF('Capacity summary'!$D$14="Yes",IF(COUNTBLANK('Capacity summary'!$H186:$BG186)&lt;52,IF('Capacity summary'!Q186&lt;&gt;"",IF(LOWER('Capacity summary'!Q186)="x",$BI67*Q67,VALUE('Capacity summary'!Q186)),0),Q67*$BI67),Q67*$BI67),0)</f>
        <v>0</v>
      </c>
      <c r="BU67" s="314">
        <f>IF($BI67&lt;&gt;"",IF('Capacity summary'!$D$14="Yes",IF(COUNTBLANK('Capacity summary'!$H186:$BG186)&lt;52,IF('Capacity summary'!R186&lt;&gt;"",IF(LOWER('Capacity summary'!R186)="x",$BI67*R67,VALUE('Capacity summary'!R186)),0),R67*$BI67),R67*$BI67),0)</f>
        <v>0</v>
      </c>
      <c r="BV67" s="314">
        <f>IF($BI67&lt;&gt;"",IF('Capacity summary'!$D$14="Yes",IF(COUNTBLANK('Capacity summary'!$H186:$BG186)&lt;52,IF('Capacity summary'!S186&lt;&gt;"",IF(LOWER('Capacity summary'!S186)="x",$BI67*S67,VALUE('Capacity summary'!S186)),0),S67*$BI67),S67*$BI67),0)</f>
        <v>0</v>
      </c>
      <c r="BW67" s="314">
        <f>IF($BI67&lt;&gt;"",IF('Capacity summary'!$D$14="Yes",IF(COUNTBLANK('Capacity summary'!$H186:$BG186)&lt;52,IF('Capacity summary'!T186&lt;&gt;"",IF(LOWER('Capacity summary'!T186)="x",$BI67*T67,VALUE('Capacity summary'!T186)),0),T67*$BI67),T67*$BI67),0)</f>
        <v>0</v>
      </c>
      <c r="BX67" s="314">
        <f>IF($BI67&lt;&gt;"",IF('Capacity summary'!$D$14="Yes",IF(COUNTBLANK('Capacity summary'!$H186:$BG186)&lt;52,IF('Capacity summary'!U186&lt;&gt;"",IF(LOWER('Capacity summary'!U186)="x",$BI67*U67,VALUE('Capacity summary'!U186)),0),U67*$BI67),U67*$BI67),0)</f>
        <v>0</v>
      </c>
      <c r="BY67" s="314">
        <f>IF($BI67&lt;&gt;"",IF('Capacity summary'!$D$14="Yes",IF(COUNTBLANK('Capacity summary'!$H186:$BG186)&lt;52,IF('Capacity summary'!V186&lt;&gt;"",IF(LOWER('Capacity summary'!V186)="x",$BI67*V67,VALUE('Capacity summary'!V186)),0),V67*$BI67),V67*$BI67),0)</f>
        <v>0</v>
      </c>
      <c r="BZ67" s="314">
        <f>IF($BI67&lt;&gt;"",IF('Capacity summary'!$D$14="Yes",IF(COUNTBLANK('Capacity summary'!$H186:$BG186)&lt;52,IF('Capacity summary'!W186&lt;&gt;"",IF(LOWER('Capacity summary'!W186)="x",$BI67*W67,VALUE('Capacity summary'!W186)),0),W67*$BI67),W67*$BI67),0)</f>
        <v>0</v>
      </c>
      <c r="CA67" s="314">
        <f>IF($BI67&lt;&gt;"",IF('Capacity summary'!$D$14="Yes",IF(COUNTBLANK('Capacity summary'!$H186:$BG186)&lt;52,IF('Capacity summary'!X186&lt;&gt;"",IF(LOWER('Capacity summary'!X186)="x",$BI67*X67,VALUE('Capacity summary'!X186)),0),X67*$BI67),X67*$BI67),0)</f>
        <v>0</v>
      </c>
      <c r="CB67" s="314">
        <f>IF($BI67&lt;&gt;"",IF('Capacity summary'!$D$14="Yes",IF(COUNTBLANK('Capacity summary'!$H186:$BG186)&lt;52,IF('Capacity summary'!Y186&lt;&gt;"",IF(LOWER('Capacity summary'!Y186)="x",$BI67*Y67,VALUE('Capacity summary'!Y186)),0),Y67*$BI67),Y67*$BI67),0)</f>
        <v>0</v>
      </c>
      <c r="CC67" s="314">
        <f>IF($BI67&lt;&gt;"",IF('Capacity summary'!$D$14="Yes",IF(COUNTBLANK('Capacity summary'!$H186:$BG186)&lt;52,IF('Capacity summary'!Z186&lt;&gt;"",IF(LOWER('Capacity summary'!Z186)="x",$BI67*Z67,VALUE('Capacity summary'!Z186)),0),Z67*$BI67),Z67*$BI67),0)</f>
        <v>0</v>
      </c>
      <c r="CD67" s="314">
        <f>IF($BI67&lt;&gt;"",IF('Capacity summary'!$D$14="Yes",IF(COUNTBLANK('Capacity summary'!$H186:$BG186)&lt;52,IF('Capacity summary'!AA186&lt;&gt;"",IF(LOWER('Capacity summary'!AA186)="x",$BI67*AA67,VALUE('Capacity summary'!AA186)),0),AA67*$BI67),AA67*$BI67),0)</f>
        <v>0</v>
      </c>
      <c r="CE67" s="314">
        <f>IF($BI67&lt;&gt;"",IF('Capacity summary'!$D$14="Yes",IF(COUNTBLANK('Capacity summary'!$H186:$BG186)&lt;52,IF('Capacity summary'!AB186&lt;&gt;"",IF(LOWER('Capacity summary'!AB186)="x",$BI67*AB67,VALUE('Capacity summary'!AB186)),0),AB67*$BI67),AB67*$BI67),0)</f>
        <v>0</v>
      </c>
      <c r="CF67" s="314">
        <f>IF($BI67&lt;&gt;"",IF('Capacity summary'!$D$14="Yes",IF(COUNTBLANK('Capacity summary'!$H186:$BG186)&lt;52,IF('Capacity summary'!AC186&lt;&gt;"",IF(LOWER('Capacity summary'!AC186)="x",$BI67*AC67,VALUE('Capacity summary'!AC186)),0),AC67*$BI67),AC67*$BI67),0)</f>
        <v>0</v>
      </c>
      <c r="CG67" s="314">
        <f>IF($BI67&lt;&gt;"",IF('Capacity summary'!$D$14="Yes",IF(COUNTBLANK('Capacity summary'!$H186:$BG186)&lt;52,IF('Capacity summary'!AD186&lt;&gt;"",IF(LOWER('Capacity summary'!AD186)="x",$BI67*AD67,VALUE('Capacity summary'!AD186)),0),AD67*$BI67),AD67*$BI67),0)</f>
        <v>0</v>
      </c>
      <c r="CH67" s="314">
        <f>IF($BI67&lt;&gt;"",IF('Capacity summary'!$D$14="Yes",IF(COUNTBLANK('Capacity summary'!$H186:$BG186)&lt;52,IF('Capacity summary'!AE186&lt;&gt;"",IF(LOWER('Capacity summary'!AE186)="x",$BI67*AE67,VALUE('Capacity summary'!AE186)),0),AE67*$BI67),AE67*$BI67),0)</f>
        <v>0</v>
      </c>
      <c r="CI67" s="314">
        <f>IF($BI67&lt;&gt;"",IF('Capacity summary'!$D$14="Yes",IF(COUNTBLANK('Capacity summary'!$H186:$BG186)&lt;52,IF('Capacity summary'!AF186&lt;&gt;"",IF(LOWER('Capacity summary'!AF186)="x",$BI67*AF67,VALUE('Capacity summary'!AF186)),0),AF67*$BI67),AF67*$BI67),0)</f>
        <v>0</v>
      </c>
      <c r="CJ67" s="314">
        <f>IF($BI67&lt;&gt;"",IF('Capacity summary'!$D$14="Yes",IF(COUNTBLANK('Capacity summary'!$H186:$BG186)&lt;52,IF('Capacity summary'!AG186&lt;&gt;"",IF(LOWER('Capacity summary'!AG186)="x",$BI67*AG67,VALUE('Capacity summary'!AG186)),0),AG67*$BI67),AG67*$BI67),0)</f>
        <v>0</v>
      </c>
      <c r="CK67" s="314">
        <f>IF($BI67&lt;&gt;"",IF('Capacity summary'!$D$14="Yes",IF(COUNTBLANK('Capacity summary'!$H186:$BG186)&lt;52,IF('Capacity summary'!AH186&lt;&gt;"",IF(LOWER('Capacity summary'!AH186)="x",$BI67*AH67,VALUE('Capacity summary'!AH186)),0),AH67*$BI67),AH67*$BI67),0)</f>
        <v>0</v>
      </c>
      <c r="CL67" s="314">
        <f>IF($BI67&lt;&gt;"",IF('Capacity summary'!$D$14="Yes",IF(COUNTBLANK('Capacity summary'!$H186:$BG186)&lt;52,IF('Capacity summary'!AI186&lt;&gt;"",IF(LOWER('Capacity summary'!AI186)="x",$BI67*AI67,VALUE('Capacity summary'!AI186)),0),AI67*$BI67),AI67*$BI67),0)</f>
        <v>0</v>
      </c>
      <c r="CM67" s="314">
        <f>IF($BI67&lt;&gt;"",IF('Capacity summary'!$D$14="Yes",IF(COUNTBLANK('Capacity summary'!$H186:$BG186)&lt;52,IF('Capacity summary'!AJ186&lt;&gt;"",IF(LOWER('Capacity summary'!AJ186)="x",$BI67*AJ67,VALUE('Capacity summary'!AJ186)),0),AJ67*$BI67),AJ67*$BI67),0)</f>
        <v>0</v>
      </c>
      <c r="CN67" s="314">
        <f>IF($BI67&lt;&gt;"",IF('Capacity summary'!$D$14="Yes",IF(COUNTBLANK('Capacity summary'!$H186:$BG186)&lt;52,IF('Capacity summary'!AK186&lt;&gt;"",IF(LOWER('Capacity summary'!AK186)="x",$BI67*AK67,VALUE('Capacity summary'!AK186)),0),AK67*$BI67),AK67*$BI67),0)</f>
        <v>0</v>
      </c>
      <c r="CO67" s="314">
        <f>IF($BI67&lt;&gt;"",IF('Capacity summary'!$D$14="Yes",IF(COUNTBLANK('Capacity summary'!$H186:$BG186)&lt;52,IF('Capacity summary'!AL186&lt;&gt;"",IF(LOWER('Capacity summary'!AL186)="x",$BI67*AL67,VALUE('Capacity summary'!AL186)),0),AL67*$BI67),AL67*$BI67),0)</f>
        <v>0</v>
      </c>
      <c r="CP67" s="314">
        <f>IF($BI67&lt;&gt;"",IF('Capacity summary'!$D$14="Yes",IF(COUNTBLANK('Capacity summary'!$H186:$BG186)&lt;52,IF('Capacity summary'!AM186&lt;&gt;"",IF(LOWER('Capacity summary'!AM186)="x",$BI67*AM67,VALUE('Capacity summary'!AM186)),0),AM67*$BI67),AM67*$BI67),0)</f>
        <v>0</v>
      </c>
      <c r="CQ67" s="314">
        <f>IF($BI67&lt;&gt;"",IF('Capacity summary'!$D$14="Yes",IF(COUNTBLANK('Capacity summary'!$H186:$BG186)&lt;52,IF('Capacity summary'!AN186&lt;&gt;"",IF(LOWER('Capacity summary'!AN186)="x",$BI67*AN67,VALUE('Capacity summary'!AN186)),0),AN67*$BI67),AN67*$BI67),0)</f>
        <v>0</v>
      </c>
      <c r="CR67" s="314">
        <f>IF($BI67&lt;&gt;"",IF('Capacity summary'!$D$14="Yes",IF(COUNTBLANK('Capacity summary'!$H186:$BG186)&lt;52,IF('Capacity summary'!AO186&lt;&gt;"",IF(LOWER('Capacity summary'!AO186)="x",$BI67*AO67,VALUE('Capacity summary'!AO186)),0),AO67*$BI67),AO67*$BI67),0)</f>
        <v>0</v>
      </c>
      <c r="CS67" s="314">
        <f>IF($BI67&lt;&gt;"",IF('Capacity summary'!$D$14="Yes",IF(COUNTBLANK('Capacity summary'!$H186:$BG186)&lt;52,IF('Capacity summary'!AP186&lt;&gt;"",IF(LOWER('Capacity summary'!AP186)="x",$BI67*AP67,VALUE('Capacity summary'!AP186)),0),AP67*$BI67),AP67*$BI67),0)</f>
        <v>0</v>
      </c>
      <c r="CT67" s="314">
        <f>IF($BI67&lt;&gt;"",IF('Capacity summary'!$D$14="Yes",IF(COUNTBLANK('Capacity summary'!$H186:$BG186)&lt;52,IF('Capacity summary'!AQ186&lt;&gt;"",IF(LOWER('Capacity summary'!AQ186)="x",$BI67*AQ67,VALUE('Capacity summary'!AQ186)),0),AQ67*$BI67),AQ67*$BI67),0)</f>
        <v>0</v>
      </c>
      <c r="CU67" s="314">
        <f>IF($BI67&lt;&gt;"",IF('Capacity summary'!$D$14="Yes",IF(COUNTBLANK('Capacity summary'!$H186:$BG186)&lt;52,IF('Capacity summary'!AR186&lt;&gt;"",IF(LOWER('Capacity summary'!AR186)="x",$BI67*AR67,VALUE('Capacity summary'!AR186)),0),AR67*$BI67),AR67*$BI67),0)</f>
        <v>0</v>
      </c>
      <c r="CV67" s="314">
        <f>IF($BI67&lt;&gt;"",IF('Capacity summary'!$D$14="Yes",IF(COUNTBLANK('Capacity summary'!$H186:$BG186)&lt;52,IF('Capacity summary'!AS186&lt;&gt;"",IF(LOWER('Capacity summary'!AS186)="x",$BI67*AS67,VALUE('Capacity summary'!AS186)),0),AS67*$BI67),AS67*$BI67),0)</f>
        <v>0</v>
      </c>
      <c r="CW67" s="314">
        <f>IF($BI67&lt;&gt;"",IF('Capacity summary'!$D$14="Yes",IF(COUNTBLANK('Capacity summary'!$H186:$BG186)&lt;52,IF('Capacity summary'!AT186&lt;&gt;"",IF(LOWER('Capacity summary'!AT186)="x",$BI67*AT67,VALUE('Capacity summary'!AT186)),0),AT67*$BI67),AT67*$BI67),0)</f>
        <v>0</v>
      </c>
      <c r="CX67" s="314">
        <f>IF($BI67&lt;&gt;"",IF('Capacity summary'!$D$14="Yes",IF(COUNTBLANK('Capacity summary'!$H186:$BG186)&lt;52,IF('Capacity summary'!AU186&lt;&gt;"",IF(LOWER('Capacity summary'!AU186)="x",$BI67*AU67,VALUE('Capacity summary'!AU186)),0),AU67*$BI67),AU67*$BI67),0)</f>
        <v>0</v>
      </c>
      <c r="CY67" s="314">
        <f>IF($BI67&lt;&gt;"",IF('Capacity summary'!$D$14="Yes",IF(COUNTBLANK('Capacity summary'!$H186:$BG186)&lt;52,IF('Capacity summary'!AV186&lt;&gt;"",IF(LOWER('Capacity summary'!AV186)="x",$BI67*AV67,VALUE('Capacity summary'!AV186)),0),AV67*$BI67),AV67*$BI67),0)</f>
        <v>0</v>
      </c>
      <c r="CZ67" s="314">
        <f>IF($BI67&lt;&gt;"",IF('Capacity summary'!$D$14="Yes",IF(COUNTBLANK('Capacity summary'!$H186:$BG186)&lt;52,IF('Capacity summary'!AW186&lt;&gt;"",IF(LOWER('Capacity summary'!AW186)="x",$BI67*AW67,VALUE('Capacity summary'!AW186)),0),AW67*$BI67),AW67*$BI67),0)</f>
        <v>0</v>
      </c>
      <c r="DA67" s="314">
        <f>IF($BI67&lt;&gt;"",IF('Capacity summary'!$D$14="Yes",IF(COUNTBLANK('Capacity summary'!$H186:$BG186)&lt;52,IF('Capacity summary'!AX186&lt;&gt;"",IF(LOWER('Capacity summary'!AX186)="x",$BI67*AX67,VALUE('Capacity summary'!AX186)),0),AX67*$BI67),AX67*$BI67),0)</f>
        <v>0</v>
      </c>
      <c r="DB67" s="314">
        <f>IF($BI67&lt;&gt;"",IF('Capacity summary'!$D$14="Yes",IF(COUNTBLANK('Capacity summary'!$H186:$BG186)&lt;52,IF('Capacity summary'!AY186&lt;&gt;"",IF(LOWER('Capacity summary'!AY186)="x",$BI67*AY67,VALUE('Capacity summary'!AY186)),0),AY67*$BI67),AY67*$BI67),0)</f>
        <v>0</v>
      </c>
      <c r="DC67" s="314">
        <f>IF($BI67&lt;&gt;"",IF('Capacity summary'!$D$14="Yes",IF(COUNTBLANK('Capacity summary'!$H186:$BG186)&lt;52,IF('Capacity summary'!AZ186&lt;&gt;"",IF(LOWER('Capacity summary'!AZ186)="x",$BI67*AZ67,VALUE('Capacity summary'!AZ186)),0),AZ67*$BI67),AZ67*$BI67),0)</f>
        <v>0</v>
      </c>
      <c r="DD67" s="314">
        <f>IF($BI67&lt;&gt;"",IF('Capacity summary'!$D$14="Yes",IF(COUNTBLANK('Capacity summary'!$H186:$BG186)&lt;52,IF('Capacity summary'!BA186&lt;&gt;"",IF(LOWER('Capacity summary'!BA186)="x",$BI67*BA67,VALUE('Capacity summary'!BA186)),0),BA67*$BI67),BA67*$BI67),0)</f>
        <v>0</v>
      </c>
      <c r="DE67" s="314">
        <f>IF($BI67&lt;&gt;"",IF('Capacity summary'!$D$14="Yes",IF(COUNTBLANK('Capacity summary'!$H186:$BG186)&lt;52,IF('Capacity summary'!BB186&lt;&gt;"",IF(LOWER('Capacity summary'!BB186)="x",$BI67*BB67,VALUE('Capacity summary'!BB186)),0),BB67*$BI67),BB67*$BI67),0)</f>
        <v>0</v>
      </c>
      <c r="DF67" s="314">
        <f>IF($BI67&lt;&gt;"",IF('Capacity summary'!$D$14="Yes",IF(COUNTBLANK('Capacity summary'!$H186:$BG186)&lt;52,IF('Capacity summary'!BC186&lt;&gt;"",IF(LOWER('Capacity summary'!BC186)="x",$BI67*BC67,VALUE('Capacity summary'!BC186)),0),BC67*$BI67),BC67*$BI67),0)</f>
        <v>0</v>
      </c>
      <c r="DG67" s="314">
        <f>IF($BI67&lt;&gt;"",IF('Capacity summary'!$D$14="Yes",IF(COUNTBLANK('Capacity summary'!$H186:$BG186)&lt;52,IF('Capacity summary'!BD186&lt;&gt;"",IF(LOWER('Capacity summary'!BD186)="x",$BI67*BD67,VALUE('Capacity summary'!BD186)),0),BD67*$BI67),BD67*$BI67),0)</f>
        <v>0</v>
      </c>
      <c r="DH67" s="314">
        <f>IF($BI67&lt;&gt;"",IF('Capacity summary'!$D$14="Yes",IF(COUNTBLANK('Capacity summary'!$H186:$BG186)&lt;52,IF('Capacity summary'!BE186&lt;&gt;"",IF(LOWER('Capacity summary'!BE186)="x",$BI67*BE67,VALUE('Capacity summary'!BE186)),0),BE67*$BI67),BE67*$BI67),0)</f>
        <v>0</v>
      </c>
      <c r="DI67" s="314">
        <f>IF($BI67&lt;&gt;"",IF('Capacity summary'!$D$14="Yes",IF(COUNTBLANK('Capacity summary'!$H186:$BG186)&lt;52,IF('Capacity summary'!BF186&lt;&gt;"",IF(LOWER('Capacity summary'!BF186)="x",$BI67*BF67,VALUE('Capacity summary'!BF186)),0),BF67*$BI67),BF67*$BI67),0)</f>
        <v>0</v>
      </c>
      <c r="DJ67" s="314">
        <f>IF($BI67&lt;&gt;"",IF('Capacity summary'!$D$14="Yes",IF(COUNTBLANK('Capacity summary'!$H186:$BG186)&lt;52,IF('Capacity summary'!BG186&lt;&gt;"",IF(LOWER('Capacity summary'!BG186)="x",$BI67*BG67,VALUE('Capacity summary'!BG186)),0),BG67*$BI67),BG67*$BI67),0)</f>
        <v>0</v>
      </c>
      <c r="DK67" s="137">
        <f t="shared" si="2"/>
        <v>0</v>
      </c>
      <c r="DL67" s="314"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4">
        <f>IF($BI68&lt;&gt;"",IF('Capacity summary'!$D$14="Yes",IF(COUNTBLANK('Capacity summary'!$H187:$BG187)&lt;52,IF('Capacity summary'!H187&lt;&gt;"",IF(LOWER('Capacity summary'!H187)="x",$BI68*H68,VALUE('Capacity summary'!H187)),0),H68*$BI68),H68*$BI68),0)</f>
        <v>0</v>
      </c>
      <c r="BL68" s="314">
        <f>IF($BI68&lt;&gt;"",IF('Capacity summary'!$D$14="Yes",IF(COUNTBLANK('Capacity summary'!$H187:$BG187)&lt;52,IF('Capacity summary'!I187&lt;&gt;"",IF(LOWER('Capacity summary'!I187)="x",$BI68*I68,VALUE('Capacity summary'!I187)),0),I68*$BI68),I68*$BI68),0)</f>
        <v>0</v>
      </c>
      <c r="BM68" s="314">
        <f>IF($BI68&lt;&gt;"",IF('Capacity summary'!$D$14="Yes",IF(COUNTBLANK('Capacity summary'!$H187:$BG187)&lt;52,IF('Capacity summary'!J187&lt;&gt;"",IF(LOWER('Capacity summary'!J187)="x",$BI68*J68,VALUE('Capacity summary'!J187)),0),J68*$BI68),J68*$BI68),0)</f>
        <v>0</v>
      </c>
      <c r="BN68" s="314">
        <f>IF($BI68&lt;&gt;"",IF('Capacity summary'!$D$14="Yes",IF(COUNTBLANK('Capacity summary'!$H187:$BG187)&lt;52,IF('Capacity summary'!K187&lt;&gt;"",IF(LOWER('Capacity summary'!K187)="x",$BI68*K68,VALUE('Capacity summary'!K187)),0),K68*$BI68),K68*$BI68),0)</f>
        <v>0</v>
      </c>
      <c r="BO68" s="314">
        <f>IF($BI68&lt;&gt;"",IF('Capacity summary'!$D$14="Yes",IF(COUNTBLANK('Capacity summary'!$H187:$BG187)&lt;52,IF('Capacity summary'!L187&lt;&gt;"",IF(LOWER('Capacity summary'!L187)="x",$BI68*L68,VALUE('Capacity summary'!L187)),0),L68*$BI68),L68*$BI68),0)</f>
        <v>0</v>
      </c>
      <c r="BP68" s="314">
        <f>IF($BI68&lt;&gt;"",IF('Capacity summary'!$D$14="Yes",IF(COUNTBLANK('Capacity summary'!$H187:$BG187)&lt;52,IF('Capacity summary'!M187&lt;&gt;"",IF(LOWER('Capacity summary'!M187)="x",$BI68*M68,VALUE('Capacity summary'!M187)),0),M68*$BI68),M68*$BI68),0)</f>
        <v>0</v>
      </c>
      <c r="BQ68" s="314">
        <f>IF($BI68&lt;&gt;"",IF('Capacity summary'!$D$14="Yes",IF(COUNTBLANK('Capacity summary'!$H187:$BG187)&lt;52,IF('Capacity summary'!N187&lt;&gt;"",IF(LOWER('Capacity summary'!N187)="x",$BI68*N68,VALUE('Capacity summary'!N187)),0),N68*$BI68),N68*$BI68),0)</f>
        <v>0</v>
      </c>
      <c r="BR68" s="314">
        <f>IF($BI68&lt;&gt;"",IF('Capacity summary'!$D$14="Yes",IF(COUNTBLANK('Capacity summary'!$H187:$BG187)&lt;52,IF('Capacity summary'!O187&lt;&gt;"",IF(LOWER('Capacity summary'!O187)="x",$BI68*O68,VALUE('Capacity summary'!O187)),0),O68*$BI68),O68*$BI68),0)</f>
        <v>0</v>
      </c>
      <c r="BS68" s="314">
        <f>IF($BI68&lt;&gt;"",IF('Capacity summary'!$D$14="Yes",IF(COUNTBLANK('Capacity summary'!$H187:$BG187)&lt;52,IF('Capacity summary'!P187&lt;&gt;"",IF(LOWER('Capacity summary'!P187)="x",$BI68*P68,VALUE('Capacity summary'!P187)),0),P68*$BI68),P68*$BI68),0)</f>
        <v>0</v>
      </c>
      <c r="BT68" s="314">
        <f>IF($BI68&lt;&gt;"",IF('Capacity summary'!$D$14="Yes",IF(COUNTBLANK('Capacity summary'!$H187:$BG187)&lt;52,IF('Capacity summary'!Q187&lt;&gt;"",IF(LOWER('Capacity summary'!Q187)="x",$BI68*Q68,VALUE('Capacity summary'!Q187)),0),Q68*$BI68),Q68*$BI68),0)</f>
        <v>0</v>
      </c>
      <c r="BU68" s="314">
        <f>IF($BI68&lt;&gt;"",IF('Capacity summary'!$D$14="Yes",IF(COUNTBLANK('Capacity summary'!$H187:$BG187)&lt;52,IF('Capacity summary'!R187&lt;&gt;"",IF(LOWER('Capacity summary'!R187)="x",$BI68*R68,VALUE('Capacity summary'!R187)),0),R68*$BI68),R68*$BI68),0)</f>
        <v>0</v>
      </c>
      <c r="BV68" s="314">
        <f>IF($BI68&lt;&gt;"",IF('Capacity summary'!$D$14="Yes",IF(COUNTBLANK('Capacity summary'!$H187:$BG187)&lt;52,IF('Capacity summary'!S187&lt;&gt;"",IF(LOWER('Capacity summary'!S187)="x",$BI68*S68,VALUE('Capacity summary'!S187)),0),S68*$BI68),S68*$BI68),0)</f>
        <v>0</v>
      </c>
      <c r="BW68" s="314">
        <f>IF($BI68&lt;&gt;"",IF('Capacity summary'!$D$14="Yes",IF(COUNTBLANK('Capacity summary'!$H187:$BG187)&lt;52,IF('Capacity summary'!T187&lt;&gt;"",IF(LOWER('Capacity summary'!T187)="x",$BI68*T68,VALUE('Capacity summary'!T187)),0),T68*$BI68),T68*$BI68),0)</f>
        <v>0</v>
      </c>
      <c r="BX68" s="314">
        <f>IF($BI68&lt;&gt;"",IF('Capacity summary'!$D$14="Yes",IF(COUNTBLANK('Capacity summary'!$H187:$BG187)&lt;52,IF('Capacity summary'!U187&lt;&gt;"",IF(LOWER('Capacity summary'!U187)="x",$BI68*U68,VALUE('Capacity summary'!U187)),0),U68*$BI68),U68*$BI68),0)</f>
        <v>0</v>
      </c>
      <c r="BY68" s="314">
        <f>IF($BI68&lt;&gt;"",IF('Capacity summary'!$D$14="Yes",IF(COUNTBLANK('Capacity summary'!$H187:$BG187)&lt;52,IF('Capacity summary'!V187&lt;&gt;"",IF(LOWER('Capacity summary'!V187)="x",$BI68*V68,VALUE('Capacity summary'!V187)),0),V68*$BI68),V68*$BI68),0)</f>
        <v>0</v>
      </c>
      <c r="BZ68" s="314">
        <f>IF($BI68&lt;&gt;"",IF('Capacity summary'!$D$14="Yes",IF(COUNTBLANK('Capacity summary'!$H187:$BG187)&lt;52,IF('Capacity summary'!W187&lt;&gt;"",IF(LOWER('Capacity summary'!W187)="x",$BI68*W68,VALUE('Capacity summary'!W187)),0),W68*$BI68),W68*$BI68),0)</f>
        <v>0</v>
      </c>
      <c r="CA68" s="314">
        <f>IF($BI68&lt;&gt;"",IF('Capacity summary'!$D$14="Yes",IF(COUNTBLANK('Capacity summary'!$H187:$BG187)&lt;52,IF('Capacity summary'!X187&lt;&gt;"",IF(LOWER('Capacity summary'!X187)="x",$BI68*X68,VALUE('Capacity summary'!X187)),0),X68*$BI68),X68*$BI68),0)</f>
        <v>0</v>
      </c>
      <c r="CB68" s="314">
        <f>IF($BI68&lt;&gt;"",IF('Capacity summary'!$D$14="Yes",IF(COUNTBLANK('Capacity summary'!$H187:$BG187)&lt;52,IF('Capacity summary'!Y187&lt;&gt;"",IF(LOWER('Capacity summary'!Y187)="x",$BI68*Y68,VALUE('Capacity summary'!Y187)),0),Y68*$BI68),Y68*$BI68),0)</f>
        <v>0</v>
      </c>
      <c r="CC68" s="314">
        <f>IF($BI68&lt;&gt;"",IF('Capacity summary'!$D$14="Yes",IF(COUNTBLANK('Capacity summary'!$H187:$BG187)&lt;52,IF('Capacity summary'!Z187&lt;&gt;"",IF(LOWER('Capacity summary'!Z187)="x",$BI68*Z68,VALUE('Capacity summary'!Z187)),0),Z68*$BI68),Z68*$BI68),0)</f>
        <v>0</v>
      </c>
      <c r="CD68" s="314">
        <f>IF($BI68&lt;&gt;"",IF('Capacity summary'!$D$14="Yes",IF(COUNTBLANK('Capacity summary'!$H187:$BG187)&lt;52,IF('Capacity summary'!AA187&lt;&gt;"",IF(LOWER('Capacity summary'!AA187)="x",$BI68*AA68,VALUE('Capacity summary'!AA187)),0),AA68*$BI68),AA68*$BI68),0)</f>
        <v>0</v>
      </c>
      <c r="CE68" s="314">
        <f>IF($BI68&lt;&gt;"",IF('Capacity summary'!$D$14="Yes",IF(COUNTBLANK('Capacity summary'!$H187:$BG187)&lt;52,IF('Capacity summary'!AB187&lt;&gt;"",IF(LOWER('Capacity summary'!AB187)="x",$BI68*AB68,VALUE('Capacity summary'!AB187)),0),AB68*$BI68),AB68*$BI68),0)</f>
        <v>0</v>
      </c>
      <c r="CF68" s="314">
        <f>IF($BI68&lt;&gt;"",IF('Capacity summary'!$D$14="Yes",IF(COUNTBLANK('Capacity summary'!$H187:$BG187)&lt;52,IF('Capacity summary'!AC187&lt;&gt;"",IF(LOWER('Capacity summary'!AC187)="x",$BI68*AC68,VALUE('Capacity summary'!AC187)),0),AC68*$BI68),AC68*$BI68),0)</f>
        <v>0</v>
      </c>
      <c r="CG68" s="314">
        <f>IF($BI68&lt;&gt;"",IF('Capacity summary'!$D$14="Yes",IF(COUNTBLANK('Capacity summary'!$H187:$BG187)&lt;52,IF('Capacity summary'!AD187&lt;&gt;"",IF(LOWER('Capacity summary'!AD187)="x",$BI68*AD68,VALUE('Capacity summary'!AD187)),0),AD68*$BI68),AD68*$BI68),0)</f>
        <v>0</v>
      </c>
      <c r="CH68" s="314">
        <f>IF($BI68&lt;&gt;"",IF('Capacity summary'!$D$14="Yes",IF(COUNTBLANK('Capacity summary'!$H187:$BG187)&lt;52,IF('Capacity summary'!AE187&lt;&gt;"",IF(LOWER('Capacity summary'!AE187)="x",$BI68*AE68,VALUE('Capacity summary'!AE187)),0),AE68*$BI68),AE68*$BI68),0)</f>
        <v>0</v>
      </c>
      <c r="CI68" s="314">
        <f>IF($BI68&lt;&gt;"",IF('Capacity summary'!$D$14="Yes",IF(COUNTBLANK('Capacity summary'!$H187:$BG187)&lt;52,IF('Capacity summary'!AF187&lt;&gt;"",IF(LOWER('Capacity summary'!AF187)="x",$BI68*AF68,VALUE('Capacity summary'!AF187)),0),AF68*$BI68),AF68*$BI68),0)</f>
        <v>0</v>
      </c>
      <c r="CJ68" s="314">
        <f>IF($BI68&lt;&gt;"",IF('Capacity summary'!$D$14="Yes",IF(COUNTBLANK('Capacity summary'!$H187:$BG187)&lt;52,IF('Capacity summary'!AG187&lt;&gt;"",IF(LOWER('Capacity summary'!AG187)="x",$BI68*AG68,VALUE('Capacity summary'!AG187)),0),AG68*$BI68),AG68*$BI68),0)</f>
        <v>0</v>
      </c>
      <c r="CK68" s="314">
        <f>IF($BI68&lt;&gt;"",IF('Capacity summary'!$D$14="Yes",IF(COUNTBLANK('Capacity summary'!$H187:$BG187)&lt;52,IF('Capacity summary'!AH187&lt;&gt;"",IF(LOWER('Capacity summary'!AH187)="x",$BI68*AH68,VALUE('Capacity summary'!AH187)),0),AH68*$BI68),AH68*$BI68),0)</f>
        <v>0</v>
      </c>
      <c r="CL68" s="314">
        <f>IF($BI68&lt;&gt;"",IF('Capacity summary'!$D$14="Yes",IF(COUNTBLANK('Capacity summary'!$H187:$BG187)&lt;52,IF('Capacity summary'!AI187&lt;&gt;"",IF(LOWER('Capacity summary'!AI187)="x",$BI68*AI68,VALUE('Capacity summary'!AI187)),0),AI68*$BI68),AI68*$BI68),0)</f>
        <v>0</v>
      </c>
      <c r="CM68" s="314">
        <f>IF($BI68&lt;&gt;"",IF('Capacity summary'!$D$14="Yes",IF(COUNTBLANK('Capacity summary'!$H187:$BG187)&lt;52,IF('Capacity summary'!AJ187&lt;&gt;"",IF(LOWER('Capacity summary'!AJ187)="x",$BI68*AJ68,VALUE('Capacity summary'!AJ187)),0),AJ68*$BI68),AJ68*$BI68),0)</f>
        <v>0</v>
      </c>
      <c r="CN68" s="314">
        <f>IF($BI68&lt;&gt;"",IF('Capacity summary'!$D$14="Yes",IF(COUNTBLANK('Capacity summary'!$H187:$BG187)&lt;52,IF('Capacity summary'!AK187&lt;&gt;"",IF(LOWER('Capacity summary'!AK187)="x",$BI68*AK68,VALUE('Capacity summary'!AK187)),0),AK68*$BI68),AK68*$BI68),0)</f>
        <v>0</v>
      </c>
      <c r="CO68" s="314">
        <f>IF($BI68&lt;&gt;"",IF('Capacity summary'!$D$14="Yes",IF(COUNTBLANK('Capacity summary'!$H187:$BG187)&lt;52,IF('Capacity summary'!AL187&lt;&gt;"",IF(LOWER('Capacity summary'!AL187)="x",$BI68*AL68,VALUE('Capacity summary'!AL187)),0),AL68*$BI68),AL68*$BI68),0)</f>
        <v>0</v>
      </c>
      <c r="CP68" s="314">
        <f>IF($BI68&lt;&gt;"",IF('Capacity summary'!$D$14="Yes",IF(COUNTBLANK('Capacity summary'!$H187:$BG187)&lt;52,IF('Capacity summary'!AM187&lt;&gt;"",IF(LOWER('Capacity summary'!AM187)="x",$BI68*AM68,VALUE('Capacity summary'!AM187)),0),AM68*$BI68),AM68*$BI68),0)</f>
        <v>0</v>
      </c>
      <c r="CQ68" s="314">
        <f>IF($BI68&lt;&gt;"",IF('Capacity summary'!$D$14="Yes",IF(COUNTBLANK('Capacity summary'!$H187:$BG187)&lt;52,IF('Capacity summary'!AN187&lt;&gt;"",IF(LOWER('Capacity summary'!AN187)="x",$BI68*AN68,VALUE('Capacity summary'!AN187)),0),AN68*$BI68),AN68*$BI68),0)</f>
        <v>0</v>
      </c>
      <c r="CR68" s="314">
        <f>IF($BI68&lt;&gt;"",IF('Capacity summary'!$D$14="Yes",IF(COUNTBLANK('Capacity summary'!$H187:$BG187)&lt;52,IF('Capacity summary'!AO187&lt;&gt;"",IF(LOWER('Capacity summary'!AO187)="x",$BI68*AO68,VALUE('Capacity summary'!AO187)),0),AO68*$BI68),AO68*$BI68),0)</f>
        <v>0</v>
      </c>
      <c r="CS68" s="314">
        <f>IF($BI68&lt;&gt;"",IF('Capacity summary'!$D$14="Yes",IF(COUNTBLANK('Capacity summary'!$H187:$BG187)&lt;52,IF('Capacity summary'!AP187&lt;&gt;"",IF(LOWER('Capacity summary'!AP187)="x",$BI68*AP68,VALUE('Capacity summary'!AP187)),0),AP68*$BI68),AP68*$BI68),0)</f>
        <v>0</v>
      </c>
      <c r="CT68" s="314">
        <f>IF($BI68&lt;&gt;"",IF('Capacity summary'!$D$14="Yes",IF(COUNTBLANK('Capacity summary'!$H187:$BG187)&lt;52,IF('Capacity summary'!AQ187&lt;&gt;"",IF(LOWER('Capacity summary'!AQ187)="x",$BI68*AQ68,VALUE('Capacity summary'!AQ187)),0),AQ68*$BI68),AQ68*$BI68),0)</f>
        <v>0</v>
      </c>
      <c r="CU68" s="314">
        <f>IF($BI68&lt;&gt;"",IF('Capacity summary'!$D$14="Yes",IF(COUNTBLANK('Capacity summary'!$H187:$BG187)&lt;52,IF('Capacity summary'!AR187&lt;&gt;"",IF(LOWER('Capacity summary'!AR187)="x",$BI68*AR68,VALUE('Capacity summary'!AR187)),0),AR68*$BI68),AR68*$BI68),0)</f>
        <v>0</v>
      </c>
      <c r="CV68" s="314">
        <f>IF($BI68&lt;&gt;"",IF('Capacity summary'!$D$14="Yes",IF(COUNTBLANK('Capacity summary'!$H187:$BG187)&lt;52,IF('Capacity summary'!AS187&lt;&gt;"",IF(LOWER('Capacity summary'!AS187)="x",$BI68*AS68,VALUE('Capacity summary'!AS187)),0),AS68*$BI68),AS68*$BI68),0)</f>
        <v>0</v>
      </c>
      <c r="CW68" s="314">
        <f>IF($BI68&lt;&gt;"",IF('Capacity summary'!$D$14="Yes",IF(COUNTBLANK('Capacity summary'!$H187:$BG187)&lt;52,IF('Capacity summary'!AT187&lt;&gt;"",IF(LOWER('Capacity summary'!AT187)="x",$BI68*AT68,VALUE('Capacity summary'!AT187)),0),AT68*$BI68),AT68*$BI68),0)</f>
        <v>0</v>
      </c>
      <c r="CX68" s="314">
        <f>IF($BI68&lt;&gt;"",IF('Capacity summary'!$D$14="Yes",IF(COUNTBLANK('Capacity summary'!$H187:$BG187)&lt;52,IF('Capacity summary'!AU187&lt;&gt;"",IF(LOWER('Capacity summary'!AU187)="x",$BI68*AU68,VALUE('Capacity summary'!AU187)),0),AU68*$BI68),AU68*$BI68),0)</f>
        <v>0</v>
      </c>
      <c r="CY68" s="314">
        <f>IF($BI68&lt;&gt;"",IF('Capacity summary'!$D$14="Yes",IF(COUNTBLANK('Capacity summary'!$H187:$BG187)&lt;52,IF('Capacity summary'!AV187&lt;&gt;"",IF(LOWER('Capacity summary'!AV187)="x",$BI68*AV68,VALUE('Capacity summary'!AV187)),0),AV68*$BI68),AV68*$BI68),0)</f>
        <v>0</v>
      </c>
      <c r="CZ68" s="314">
        <f>IF($BI68&lt;&gt;"",IF('Capacity summary'!$D$14="Yes",IF(COUNTBLANK('Capacity summary'!$H187:$BG187)&lt;52,IF('Capacity summary'!AW187&lt;&gt;"",IF(LOWER('Capacity summary'!AW187)="x",$BI68*AW68,VALUE('Capacity summary'!AW187)),0),AW68*$BI68),AW68*$BI68),0)</f>
        <v>0</v>
      </c>
      <c r="DA68" s="314">
        <f>IF($BI68&lt;&gt;"",IF('Capacity summary'!$D$14="Yes",IF(COUNTBLANK('Capacity summary'!$H187:$BG187)&lt;52,IF('Capacity summary'!AX187&lt;&gt;"",IF(LOWER('Capacity summary'!AX187)="x",$BI68*AX68,VALUE('Capacity summary'!AX187)),0),AX68*$BI68),AX68*$BI68),0)</f>
        <v>0</v>
      </c>
      <c r="DB68" s="314">
        <f>IF($BI68&lt;&gt;"",IF('Capacity summary'!$D$14="Yes",IF(COUNTBLANK('Capacity summary'!$H187:$BG187)&lt;52,IF('Capacity summary'!AY187&lt;&gt;"",IF(LOWER('Capacity summary'!AY187)="x",$BI68*AY68,VALUE('Capacity summary'!AY187)),0),AY68*$BI68),AY68*$BI68),0)</f>
        <v>0</v>
      </c>
      <c r="DC68" s="314">
        <f>IF($BI68&lt;&gt;"",IF('Capacity summary'!$D$14="Yes",IF(COUNTBLANK('Capacity summary'!$H187:$BG187)&lt;52,IF('Capacity summary'!AZ187&lt;&gt;"",IF(LOWER('Capacity summary'!AZ187)="x",$BI68*AZ68,VALUE('Capacity summary'!AZ187)),0),AZ68*$BI68),AZ68*$BI68),0)</f>
        <v>0</v>
      </c>
      <c r="DD68" s="314">
        <f>IF($BI68&lt;&gt;"",IF('Capacity summary'!$D$14="Yes",IF(COUNTBLANK('Capacity summary'!$H187:$BG187)&lt;52,IF('Capacity summary'!BA187&lt;&gt;"",IF(LOWER('Capacity summary'!BA187)="x",$BI68*BA68,VALUE('Capacity summary'!BA187)),0),BA68*$BI68),BA68*$BI68),0)</f>
        <v>0</v>
      </c>
      <c r="DE68" s="314">
        <f>IF($BI68&lt;&gt;"",IF('Capacity summary'!$D$14="Yes",IF(COUNTBLANK('Capacity summary'!$H187:$BG187)&lt;52,IF('Capacity summary'!BB187&lt;&gt;"",IF(LOWER('Capacity summary'!BB187)="x",$BI68*BB68,VALUE('Capacity summary'!BB187)),0),BB68*$BI68),BB68*$BI68),0)</f>
        <v>0</v>
      </c>
      <c r="DF68" s="314">
        <f>IF($BI68&lt;&gt;"",IF('Capacity summary'!$D$14="Yes",IF(COUNTBLANK('Capacity summary'!$H187:$BG187)&lt;52,IF('Capacity summary'!BC187&lt;&gt;"",IF(LOWER('Capacity summary'!BC187)="x",$BI68*BC68,VALUE('Capacity summary'!BC187)),0),BC68*$BI68),BC68*$BI68),0)</f>
        <v>0</v>
      </c>
      <c r="DG68" s="314">
        <f>IF($BI68&lt;&gt;"",IF('Capacity summary'!$D$14="Yes",IF(COUNTBLANK('Capacity summary'!$H187:$BG187)&lt;52,IF('Capacity summary'!BD187&lt;&gt;"",IF(LOWER('Capacity summary'!BD187)="x",$BI68*BD68,VALUE('Capacity summary'!BD187)),0),BD68*$BI68),BD68*$BI68),0)</f>
        <v>0</v>
      </c>
      <c r="DH68" s="314">
        <f>IF($BI68&lt;&gt;"",IF('Capacity summary'!$D$14="Yes",IF(COUNTBLANK('Capacity summary'!$H187:$BG187)&lt;52,IF('Capacity summary'!BE187&lt;&gt;"",IF(LOWER('Capacity summary'!BE187)="x",$BI68*BE68,VALUE('Capacity summary'!BE187)),0),BE68*$BI68),BE68*$BI68),0)</f>
        <v>0</v>
      </c>
      <c r="DI68" s="314">
        <f>IF($BI68&lt;&gt;"",IF('Capacity summary'!$D$14="Yes",IF(COUNTBLANK('Capacity summary'!$H187:$BG187)&lt;52,IF('Capacity summary'!BF187&lt;&gt;"",IF(LOWER('Capacity summary'!BF187)="x",$BI68*BF68,VALUE('Capacity summary'!BF187)),0),BF68*$BI68),BF68*$BI68),0)</f>
        <v>0</v>
      </c>
      <c r="DJ68" s="314">
        <f>IF($BI68&lt;&gt;"",IF('Capacity summary'!$D$14="Yes",IF(COUNTBLANK('Capacity summary'!$H187:$BG187)&lt;52,IF('Capacity summary'!BG187&lt;&gt;"",IF(LOWER('Capacity summary'!BG187)="x",$BI68*BG68,VALUE('Capacity summary'!BG187)),0),BG68*$BI68),BG68*$BI68),0)</f>
        <v>0</v>
      </c>
      <c r="DK68" s="137">
        <f t="shared" si="2"/>
        <v>0</v>
      </c>
      <c r="DL68" s="314"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4">
        <f>IF($BI69&lt;&gt;"",IF('Capacity summary'!$D$14="Yes",IF(COUNTBLANK('Capacity summary'!$H188:$BG188)&lt;52,IF('Capacity summary'!H188&lt;&gt;"",IF(LOWER('Capacity summary'!H188)="x",$BI69*H69,VALUE('Capacity summary'!H188)),0),H69*$BI69),H69*$BI69),0)</f>
        <v>0</v>
      </c>
      <c r="BL69" s="314">
        <f>IF($BI69&lt;&gt;"",IF('Capacity summary'!$D$14="Yes",IF(COUNTBLANK('Capacity summary'!$H188:$BG188)&lt;52,IF('Capacity summary'!I188&lt;&gt;"",IF(LOWER('Capacity summary'!I188)="x",$BI69*I69,VALUE('Capacity summary'!I188)),0),I69*$BI69),I69*$BI69),0)</f>
        <v>0</v>
      </c>
      <c r="BM69" s="314">
        <f>IF($BI69&lt;&gt;"",IF('Capacity summary'!$D$14="Yes",IF(COUNTBLANK('Capacity summary'!$H188:$BG188)&lt;52,IF('Capacity summary'!J188&lt;&gt;"",IF(LOWER('Capacity summary'!J188)="x",$BI69*J69,VALUE('Capacity summary'!J188)),0),J69*$BI69),J69*$BI69),0)</f>
        <v>0</v>
      </c>
      <c r="BN69" s="314">
        <f>IF($BI69&lt;&gt;"",IF('Capacity summary'!$D$14="Yes",IF(COUNTBLANK('Capacity summary'!$H188:$BG188)&lt;52,IF('Capacity summary'!K188&lt;&gt;"",IF(LOWER('Capacity summary'!K188)="x",$BI69*K69,VALUE('Capacity summary'!K188)),0),K69*$BI69),K69*$BI69),0)</f>
        <v>0</v>
      </c>
      <c r="BO69" s="314">
        <f>IF($BI69&lt;&gt;"",IF('Capacity summary'!$D$14="Yes",IF(COUNTBLANK('Capacity summary'!$H188:$BG188)&lt;52,IF('Capacity summary'!L188&lt;&gt;"",IF(LOWER('Capacity summary'!L188)="x",$BI69*L69,VALUE('Capacity summary'!L188)),0),L69*$BI69),L69*$BI69),0)</f>
        <v>0</v>
      </c>
      <c r="BP69" s="314">
        <f>IF($BI69&lt;&gt;"",IF('Capacity summary'!$D$14="Yes",IF(COUNTBLANK('Capacity summary'!$H188:$BG188)&lt;52,IF('Capacity summary'!M188&lt;&gt;"",IF(LOWER('Capacity summary'!M188)="x",$BI69*M69,VALUE('Capacity summary'!M188)),0),M69*$BI69),M69*$BI69),0)</f>
        <v>0</v>
      </c>
      <c r="BQ69" s="314">
        <f>IF($BI69&lt;&gt;"",IF('Capacity summary'!$D$14="Yes",IF(COUNTBLANK('Capacity summary'!$H188:$BG188)&lt;52,IF('Capacity summary'!N188&lt;&gt;"",IF(LOWER('Capacity summary'!N188)="x",$BI69*N69,VALUE('Capacity summary'!N188)),0),N69*$BI69),N69*$BI69),0)</f>
        <v>0</v>
      </c>
      <c r="BR69" s="314">
        <f>IF($BI69&lt;&gt;"",IF('Capacity summary'!$D$14="Yes",IF(COUNTBLANK('Capacity summary'!$H188:$BG188)&lt;52,IF('Capacity summary'!O188&lt;&gt;"",IF(LOWER('Capacity summary'!O188)="x",$BI69*O69,VALUE('Capacity summary'!O188)),0),O69*$BI69),O69*$BI69),0)</f>
        <v>0</v>
      </c>
      <c r="BS69" s="314">
        <f>IF($BI69&lt;&gt;"",IF('Capacity summary'!$D$14="Yes",IF(COUNTBLANK('Capacity summary'!$H188:$BG188)&lt;52,IF('Capacity summary'!P188&lt;&gt;"",IF(LOWER('Capacity summary'!P188)="x",$BI69*P69,VALUE('Capacity summary'!P188)),0),P69*$BI69),P69*$BI69),0)</f>
        <v>0</v>
      </c>
      <c r="BT69" s="314">
        <f>IF($BI69&lt;&gt;"",IF('Capacity summary'!$D$14="Yes",IF(COUNTBLANK('Capacity summary'!$H188:$BG188)&lt;52,IF('Capacity summary'!Q188&lt;&gt;"",IF(LOWER('Capacity summary'!Q188)="x",$BI69*Q69,VALUE('Capacity summary'!Q188)),0),Q69*$BI69),Q69*$BI69),0)</f>
        <v>0</v>
      </c>
      <c r="BU69" s="314">
        <f>IF($BI69&lt;&gt;"",IF('Capacity summary'!$D$14="Yes",IF(COUNTBLANK('Capacity summary'!$H188:$BG188)&lt;52,IF('Capacity summary'!R188&lt;&gt;"",IF(LOWER('Capacity summary'!R188)="x",$BI69*R69,VALUE('Capacity summary'!R188)),0),R69*$BI69),R69*$BI69),0)</f>
        <v>0</v>
      </c>
      <c r="BV69" s="314">
        <f>IF($BI69&lt;&gt;"",IF('Capacity summary'!$D$14="Yes",IF(COUNTBLANK('Capacity summary'!$H188:$BG188)&lt;52,IF('Capacity summary'!S188&lt;&gt;"",IF(LOWER('Capacity summary'!S188)="x",$BI69*S69,VALUE('Capacity summary'!S188)),0),S69*$BI69),S69*$BI69),0)</f>
        <v>0</v>
      </c>
      <c r="BW69" s="314">
        <f>IF($BI69&lt;&gt;"",IF('Capacity summary'!$D$14="Yes",IF(COUNTBLANK('Capacity summary'!$H188:$BG188)&lt;52,IF('Capacity summary'!T188&lt;&gt;"",IF(LOWER('Capacity summary'!T188)="x",$BI69*T69,VALUE('Capacity summary'!T188)),0),T69*$BI69),T69*$BI69),0)</f>
        <v>0</v>
      </c>
      <c r="BX69" s="314">
        <f>IF($BI69&lt;&gt;"",IF('Capacity summary'!$D$14="Yes",IF(COUNTBLANK('Capacity summary'!$H188:$BG188)&lt;52,IF('Capacity summary'!U188&lt;&gt;"",IF(LOWER('Capacity summary'!U188)="x",$BI69*U69,VALUE('Capacity summary'!U188)),0),U69*$BI69),U69*$BI69),0)</f>
        <v>0</v>
      </c>
      <c r="BY69" s="314">
        <f>IF($BI69&lt;&gt;"",IF('Capacity summary'!$D$14="Yes",IF(COUNTBLANK('Capacity summary'!$H188:$BG188)&lt;52,IF('Capacity summary'!V188&lt;&gt;"",IF(LOWER('Capacity summary'!V188)="x",$BI69*V69,VALUE('Capacity summary'!V188)),0),V69*$BI69),V69*$BI69),0)</f>
        <v>0</v>
      </c>
      <c r="BZ69" s="314">
        <f>IF($BI69&lt;&gt;"",IF('Capacity summary'!$D$14="Yes",IF(COUNTBLANK('Capacity summary'!$H188:$BG188)&lt;52,IF('Capacity summary'!W188&lt;&gt;"",IF(LOWER('Capacity summary'!W188)="x",$BI69*W69,VALUE('Capacity summary'!W188)),0),W69*$BI69),W69*$BI69),0)</f>
        <v>0</v>
      </c>
      <c r="CA69" s="314">
        <f>IF($BI69&lt;&gt;"",IF('Capacity summary'!$D$14="Yes",IF(COUNTBLANK('Capacity summary'!$H188:$BG188)&lt;52,IF('Capacity summary'!X188&lt;&gt;"",IF(LOWER('Capacity summary'!X188)="x",$BI69*X69,VALUE('Capacity summary'!X188)),0),X69*$BI69),X69*$BI69),0)</f>
        <v>0</v>
      </c>
      <c r="CB69" s="314">
        <f>IF($BI69&lt;&gt;"",IF('Capacity summary'!$D$14="Yes",IF(COUNTBLANK('Capacity summary'!$H188:$BG188)&lt;52,IF('Capacity summary'!Y188&lt;&gt;"",IF(LOWER('Capacity summary'!Y188)="x",$BI69*Y69,VALUE('Capacity summary'!Y188)),0),Y69*$BI69),Y69*$BI69),0)</f>
        <v>0</v>
      </c>
      <c r="CC69" s="314">
        <f>IF($BI69&lt;&gt;"",IF('Capacity summary'!$D$14="Yes",IF(COUNTBLANK('Capacity summary'!$H188:$BG188)&lt;52,IF('Capacity summary'!Z188&lt;&gt;"",IF(LOWER('Capacity summary'!Z188)="x",$BI69*Z69,VALUE('Capacity summary'!Z188)),0),Z69*$BI69),Z69*$BI69),0)</f>
        <v>0</v>
      </c>
      <c r="CD69" s="314">
        <f>IF($BI69&lt;&gt;"",IF('Capacity summary'!$D$14="Yes",IF(COUNTBLANK('Capacity summary'!$H188:$BG188)&lt;52,IF('Capacity summary'!AA188&lt;&gt;"",IF(LOWER('Capacity summary'!AA188)="x",$BI69*AA69,VALUE('Capacity summary'!AA188)),0),AA69*$BI69),AA69*$BI69),0)</f>
        <v>0</v>
      </c>
      <c r="CE69" s="314">
        <f>IF($BI69&lt;&gt;"",IF('Capacity summary'!$D$14="Yes",IF(COUNTBLANK('Capacity summary'!$H188:$BG188)&lt;52,IF('Capacity summary'!AB188&lt;&gt;"",IF(LOWER('Capacity summary'!AB188)="x",$BI69*AB69,VALUE('Capacity summary'!AB188)),0),AB69*$BI69),AB69*$BI69),0)</f>
        <v>0</v>
      </c>
      <c r="CF69" s="314">
        <f>IF($BI69&lt;&gt;"",IF('Capacity summary'!$D$14="Yes",IF(COUNTBLANK('Capacity summary'!$H188:$BG188)&lt;52,IF('Capacity summary'!AC188&lt;&gt;"",IF(LOWER('Capacity summary'!AC188)="x",$BI69*AC69,VALUE('Capacity summary'!AC188)),0),AC69*$BI69),AC69*$BI69),0)</f>
        <v>0</v>
      </c>
      <c r="CG69" s="314">
        <f>IF($BI69&lt;&gt;"",IF('Capacity summary'!$D$14="Yes",IF(COUNTBLANK('Capacity summary'!$H188:$BG188)&lt;52,IF('Capacity summary'!AD188&lt;&gt;"",IF(LOWER('Capacity summary'!AD188)="x",$BI69*AD69,VALUE('Capacity summary'!AD188)),0),AD69*$BI69),AD69*$BI69),0)</f>
        <v>0</v>
      </c>
      <c r="CH69" s="314">
        <f>IF($BI69&lt;&gt;"",IF('Capacity summary'!$D$14="Yes",IF(COUNTBLANK('Capacity summary'!$H188:$BG188)&lt;52,IF('Capacity summary'!AE188&lt;&gt;"",IF(LOWER('Capacity summary'!AE188)="x",$BI69*AE69,VALUE('Capacity summary'!AE188)),0),AE69*$BI69),AE69*$BI69),0)</f>
        <v>0</v>
      </c>
      <c r="CI69" s="314">
        <f>IF($BI69&lt;&gt;"",IF('Capacity summary'!$D$14="Yes",IF(COUNTBLANK('Capacity summary'!$H188:$BG188)&lt;52,IF('Capacity summary'!AF188&lt;&gt;"",IF(LOWER('Capacity summary'!AF188)="x",$BI69*AF69,VALUE('Capacity summary'!AF188)),0),AF69*$BI69),AF69*$BI69),0)</f>
        <v>0</v>
      </c>
      <c r="CJ69" s="314">
        <f>IF($BI69&lt;&gt;"",IF('Capacity summary'!$D$14="Yes",IF(COUNTBLANK('Capacity summary'!$H188:$BG188)&lt;52,IF('Capacity summary'!AG188&lt;&gt;"",IF(LOWER('Capacity summary'!AG188)="x",$BI69*AG69,VALUE('Capacity summary'!AG188)),0),AG69*$BI69),AG69*$BI69),0)</f>
        <v>0</v>
      </c>
      <c r="CK69" s="314">
        <f>IF($BI69&lt;&gt;"",IF('Capacity summary'!$D$14="Yes",IF(COUNTBLANK('Capacity summary'!$H188:$BG188)&lt;52,IF('Capacity summary'!AH188&lt;&gt;"",IF(LOWER('Capacity summary'!AH188)="x",$BI69*AH69,VALUE('Capacity summary'!AH188)),0),AH69*$BI69),AH69*$BI69),0)</f>
        <v>0</v>
      </c>
      <c r="CL69" s="314">
        <f>IF($BI69&lt;&gt;"",IF('Capacity summary'!$D$14="Yes",IF(COUNTBLANK('Capacity summary'!$H188:$BG188)&lt;52,IF('Capacity summary'!AI188&lt;&gt;"",IF(LOWER('Capacity summary'!AI188)="x",$BI69*AI69,VALUE('Capacity summary'!AI188)),0),AI69*$BI69),AI69*$BI69),0)</f>
        <v>0</v>
      </c>
      <c r="CM69" s="314">
        <f>IF($BI69&lt;&gt;"",IF('Capacity summary'!$D$14="Yes",IF(COUNTBLANK('Capacity summary'!$H188:$BG188)&lt;52,IF('Capacity summary'!AJ188&lt;&gt;"",IF(LOWER('Capacity summary'!AJ188)="x",$BI69*AJ69,VALUE('Capacity summary'!AJ188)),0),AJ69*$BI69),AJ69*$BI69),0)</f>
        <v>0</v>
      </c>
      <c r="CN69" s="314">
        <f>IF($BI69&lt;&gt;"",IF('Capacity summary'!$D$14="Yes",IF(COUNTBLANK('Capacity summary'!$H188:$BG188)&lt;52,IF('Capacity summary'!AK188&lt;&gt;"",IF(LOWER('Capacity summary'!AK188)="x",$BI69*AK69,VALUE('Capacity summary'!AK188)),0),AK69*$BI69),AK69*$BI69),0)</f>
        <v>0</v>
      </c>
      <c r="CO69" s="314">
        <f>IF($BI69&lt;&gt;"",IF('Capacity summary'!$D$14="Yes",IF(COUNTBLANK('Capacity summary'!$H188:$BG188)&lt;52,IF('Capacity summary'!AL188&lt;&gt;"",IF(LOWER('Capacity summary'!AL188)="x",$BI69*AL69,VALUE('Capacity summary'!AL188)),0),AL69*$BI69),AL69*$BI69),0)</f>
        <v>0</v>
      </c>
      <c r="CP69" s="314">
        <f>IF($BI69&lt;&gt;"",IF('Capacity summary'!$D$14="Yes",IF(COUNTBLANK('Capacity summary'!$H188:$BG188)&lt;52,IF('Capacity summary'!AM188&lt;&gt;"",IF(LOWER('Capacity summary'!AM188)="x",$BI69*AM69,VALUE('Capacity summary'!AM188)),0),AM69*$BI69),AM69*$BI69),0)</f>
        <v>0</v>
      </c>
      <c r="CQ69" s="314">
        <f>IF($BI69&lt;&gt;"",IF('Capacity summary'!$D$14="Yes",IF(COUNTBLANK('Capacity summary'!$H188:$BG188)&lt;52,IF('Capacity summary'!AN188&lt;&gt;"",IF(LOWER('Capacity summary'!AN188)="x",$BI69*AN69,VALUE('Capacity summary'!AN188)),0),AN69*$BI69),AN69*$BI69),0)</f>
        <v>0</v>
      </c>
      <c r="CR69" s="314">
        <f>IF($BI69&lt;&gt;"",IF('Capacity summary'!$D$14="Yes",IF(COUNTBLANK('Capacity summary'!$H188:$BG188)&lt;52,IF('Capacity summary'!AO188&lt;&gt;"",IF(LOWER('Capacity summary'!AO188)="x",$BI69*AO69,VALUE('Capacity summary'!AO188)),0),AO69*$BI69),AO69*$BI69),0)</f>
        <v>0</v>
      </c>
      <c r="CS69" s="314">
        <f>IF($BI69&lt;&gt;"",IF('Capacity summary'!$D$14="Yes",IF(COUNTBLANK('Capacity summary'!$H188:$BG188)&lt;52,IF('Capacity summary'!AP188&lt;&gt;"",IF(LOWER('Capacity summary'!AP188)="x",$BI69*AP69,VALUE('Capacity summary'!AP188)),0),AP69*$BI69),AP69*$BI69),0)</f>
        <v>0</v>
      </c>
      <c r="CT69" s="314">
        <f>IF($BI69&lt;&gt;"",IF('Capacity summary'!$D$14="Yes",IF(COUNTBLANK('Capacity summary'!$H188:$BG188)&lt;52,IF('Capacity summary'!AQ188&lt;&gt;"",IF(LOWER('Capacity summary'!AQ188)="x",$BI69*AQ69,VALUE('Capacity summary'!AQ188)),0),AQ69*$BI69),AQ69*$BI69),0)</f>
        <v>0</v>
      </c>
      <c r="CU69" s="314">
        <f>IF($BI69&lt;&gt;"",IF('Capacity summary'!$D$14="Yes",IF(COUNTBLANK('Capacity summary'!$H188:$BG188)&lt;52,IF('Capacity summary'!AR188&lt;&gt;"",IF(LOWER('Capacity summary'!AR188)="x",$BI69*AR69,VALUE('Capacity summary'!AR188)),0),AR69*$BI69),AR69*$BI69),0)</f>
        <v>0</v>
      </c>
      <c r="CV69" s="314">
        <f>IF($BI69&lt;&gt;"",IF('Capacity summary'!$D$14="Yes",IF(COUNTBLANK('Capacity summary'!$H188:$BG188)&lt;52,IF('Capacity summary'!AS188&lt;&gt;"",IF(LOWER('Capacity summary'!AS188)="x",$BI69*AS69,VALUE('Capacity summary'!AS188)),0),AS69*$BI69),AS69*$BI69),0)</f>
        <v>0</v>
      </c>
      <c r="CW69" s="314">
        <f>IF($BI69&lt;&gt;"",IF('Capacity summary'!$D$14="Yes",IF(COUNTBLANK('Capacity summary'!$H188:$BG188)&lt;52,IF('Capacity summary'!AT188&lt;&gt;"",IF(LOWER('Capacity summary'!AT188)="x",$BI69*AT69,VALUE('Capacity summary'!AT188)),0),AT69*$BI69),AT69*$BI69),0)</f>
        <v>0</v>
      </c>
      <c r="CX69" s="314">
        <f>IF($BI69&lt;&gt;"",IF('Capacity summary'!$D$14="Yes",IF(COUNTBLANK('Capacity summary'!$H188:$BG188)&lt;52,IF('Capacity summary'!AU188&lt;&gt;"",IF(LOWER('Capacity summary'!AU188)="x",$BI69*AU69,VALUE('Capacity summary'!AU188)),0),AU69*$BI69),AU69*$BI69),0)</f>
        <v>0</v>
      </c>
      <c r="CY69" s="314">
        <f>IF($BI69&lt;&gt;"",IF('Capacity summary'!$D$14="Yes",IF(COUNTBLANK('Capacity summary'!$H188:$BG188)&lt;52,IF('Capacity summary'!AV188&lt;&gt;"",IF(LOWER('Capacity summary'!AV188)="x",$BI69*AV69,VALUE('Capacity summary'!AV188)),0),AV69*$BI69),AV69*$BI69),0)</f>
        <v>0</v>
      </c>
      <c r="CZ69" s="314">
        <f>IF($BI69&lt;&gt;"",IF('Capacity summary'!$D$14="Yes",IF(COUNTBLANK('Capacity summary'!$H188:$BG188)&lt;52,IF('Capacity summary'!AW188&lt;&gt;"",IF(LOWER('Capacity summary'!AW188)="x",$BI69*AW69,VALUE('Capacity summary'!AW188)),0),AW69*$BI69),AW69*$BI69),0)</f>
        <v>0</v>
      </c>
      <c r="DA69" s="314">
        <f>IF($BI69&lt;&gt;"",IF('Capacity summary'!$D$14="Yes",IF(COUNTBLANK('Capacity summary'!$H188:$BG188)&lt;52,IF('Capacity summary'!AX188&lt;&gt;"",IF(LOWER('Capacity summary'!AX188)="x",$BI69*AX69,VALUE('Capacity summary'!AX188)),0),AX69*$BI69),AX69*$BI69),0)</f>
        <v>0</v>
      </c>
      <c r="DB69" s="314">
        <f>IF($BI69&lt;&gt;"",IF('Capacity summary'!$D$14="Yes",IF(COUNTBLANK('Capacity summary'!$H188:$BG188)&lt;52,IF('Capacity summary'!AY188&lt;&gt;"",IF(LOWER('Capacity summary'!AY188)="x",$BI69*AY69,VALUE('Capacity summary'!AY188)),0),AY69*$BI69),AY69*$BI69),0)</f>
        <v>0</v>
      </c>
      <c r="DC69" s="314">
        <f>IF($BI69&lt;&gt;"",IF('Capacity summary'!$D$14="Yes",IF(COUNTBLANK('Capacity summary'!$H188:$BG188)&lt;52,IF('Capacity summary'!AZ188&lt;&gt;"",IF(LOWER('Capacity summary'!AZ188)="x",$BI69*AZ69,VALUE('Capacity summary'!AZ188)),0),AZ69*$BI69),AZ69*$BI69),0)</f>
        <v>0</v>
      </c>
      <c r="DD69" s="314">
        <f>IF($BI69&lt;&gt;"",IF('Capacity summary'!$D$14="Yes",IF(COUNTBLANK('Capacity summary'!$H188:$BG188)&lt;52,IF('Capacity summary'!BA188&lt;&gt;"",IF(LOWER('Capacity summary'!BA188)="x",$BI69*BA69,VALUE('Capacity summary'!BA188)),0),BA69*$BI69),BA69*$BI69),0)</f>
        <v>0</v>
      </c>
      <c r="DE69" s="314">
        <f>IF($BI69&lt;&gt;"",IF('Capacity summary'!$D$14="Yes",IF(COUNTBLANK('Capacity summary'!$H188:$BG188)&lt;52,IF('Capacity summary'!BB188&lt;&gt;"",IF(LOWER('Capacity summary'!BB188)="x",$BI69*BB69,VALUE('Capacity summary'!BB188)),0),BB69*$BI69),BB69*$BI69),0)</f>
        <v>0</v>
      </c>
      <c r="DF69" s="314">
        <f>IF($BI69&lt;&gt;"",IF('Capacity summary'!$D$14="Yes",IF(COUNTBLANK('Capacity summary'!$H188:$BG188)&lt;52,IF('Capacity summary'!BC188&lt;&gt;"",IF(LOWER('Capacity summary'!BC188)="x",$BI69*BC69,VALUE('Capacity summary'!BC188)),0),BC69*$BI69),BC69*$BI69),0)</f>
        <v>0</v>
      </c>
      <c r="DG69" s="314">
        <f>IF($BI69&lt;&gt;"",IF('Capacity summary'!$D$14="Yes",IF(COUNTBLANK('Capacity summary'!$H188:$BG188)&lt;52,IF('Capacity summary'!BD188&lt;&gt;"",IF(LOWER('Capacity summary'!BD188)="x",$BI69*BD69,VALUE('Capacity summary'!BD188)),0),BD69*$BI69),BD69*$BI69),0)</f>
        <v>0</v>
      </c>
      <c r="DH69" s="314">
        <f>IF($BI69&lt;&gt;"",IF('Capacity summary'!$D$14="Yes",IF(COUNTBLANK('Capacity summary'!$H188:$BG188)&lt;52,IF('Capacity summary'!BE188&lt;&gt;"",IF(LOWER('Capacity summary'!BE188)="x",$BI69*BE69,VALUE('Capacity summary'!BE188)),0),BE69*$BI69),BE69*$BI69),0)</f>
        <v>0</v>
      </c>
      <c r="DI69" s="314">
        <f>IF($BI69&lt;&gt;"",IF('Capacity summary'!$D$14="Yes",IF(COUNTBLANK('Capacity summary'!$H188:$BG188)&lt;52,IF('Capacity summary'!BF188&lt;&gt;"",IF(LOWER('Capacity summary'!BF188)="x",$BI69*BF69,VALUE('Capacity summary'!BF188)),0),BF69*$BI69),BF69*$BI69),0)</f>
        <v>0</v>
      </c>
      <c r="DJ69" s="314">
        <f>IF($BI69&lt;&gt;"",IF('Capacity summary'!$D$14="Yes",IF(COUNTBLANK('Capacity summary'!$H188:$BG188)&lt;52,IF('Capacity summary'!BG188&lt;&gt;"",IF(LOWER('Capacity summary'!BG188)="x",$BI69*BG69,VALUE('Capacity summary'!BG188)),0),BG69*$BI69),BG69*$BI69),0)</f>
        <v>0</v>
      </c>
      <c r="DK69" s="137">
        <f t="shared" ref="DK69:DK104" si="3">SUM(BK69:DJ69)</f>
        <v>0</v>
      </c>
      <c r="DL69" s="314"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4">
        <f>IF($BI70&lt;&gt;"",IF('Capacity summary'!$D$14="Yes",IF(COUNTBLANK('Capacity summary'!$H189:$BG189)&lt;52,IF('Capacity summary'!H189&lt;&gt;"",IF(LOWER('Capacity summary'!H189)="x",$BI70*H70,VALUE('Capacity summary'!H189)),0),H70*$BI70),H70*$BI70),0)</f>
        <v>0</v>
      </c>
      <c r="BL70" s="314">
        <f>IF($BI70&lt;&gt;"",IF('Capacity summary'!$D$14="Yes",IF(COUNTBLANK('Capacity summary'!$H189:$BG189)&lt;52,IF('Capacity summary'!I189&lt;&gt;"",IF(LOWER('Capacity summary'!I189)="x",$BI70*I70,VALUE('Capacity summary'!I189)),0),I70*$BI70),I70*$BI70),0)</f>
        <v>0</v>
      </c>
      <c r="BM70" s="314">
        <f>IF($BI70&lt;&gt;"",IF('Capacity summary'!$D$14="Yes",IF(COUNTBLANK('Capacity summary'!$H189:$BG189)&lt;52,IF('Capacity summary'!J189&lt;&gt;"",IF(LOWER('Capacity summary'!J189)="x",$BI70*J70,VALUE('Capacity summary'!J189)),0),J70*$BI70),J70*$BI70),0)</f>
        <v>0</v>
      </c>
      <c r="BN70" s="314">
        <f>IF($BI70&lt;&gt;"",IF('Capacity summary'!$D$14="Yes",IF(COUNTBLANK('Capacity summary'!$H189:$BG189)&lt;52,IF('Capacity summary'!K189&lt;&gt;"",IF(LOWER('Capacity summary'!K189)="x",$BI70*K70,VALUE('Capacity summary'!K189)),0),K70*$BI70),K70*$BI70),0)</f>
        <v>0</v>
      </c>
      <c r="BO70" s="314">
        <f>IF($BI70&lt;&gt;"",IF('Capacity summary'!$D$14="Yes",IF(COUNTBLANK('Capacity summary'!$H189:$BG189)&lt;52,IF('Capacity summary'!L189&lt;&gt;"",IF(LOWER('Capacity summary'!L189)="x",$BI70*L70,VALUE('Capacity summary'!L189)),0),L70*$BI70),L70*$BI70),0)</f>
        <v>0</v>
      </c>
      <c r="BP70" s="314">
        <f>IF($BI70&lt;&gt;"",IF('Capacity summary'!$D$14="Yes",IF(COUNTBLANK('Capacity summary'!$H189:$BG189)&lt;52,IF('Capacity summary'!M189&lt;&gt;"",IF(LOWER('Capacity summary'!M189)="x",$BI70*M70,VALUE('Capacity summary'!M189)),0),M70*$BI70),M70*$BI70),0)</f>
        <v>0</v>
      </c>
      <c r="BQ70" s="314">
        <f>IF($BI70&lt;&gt;"",IF('Capacity summary'!$D$14="Yes",IF(COUNTBLANK('Capacity summary'!$H189:$BG189)&lt;52,IF('Capacity summary'!N189&lt;&gt;"",IF(LOWER('Capacity summary'!N189)="x",$BI70*N70,VALUE('Capacity summary'!N189)),0),N70*$BI70),N70*$BI70),0)</f>
        <v>0</v>
      </c>
      <c r="BR70" s="314">
        <f>IF($BI70&lt;&gt;"",IF('Capacity summary'!$D$14="Yes",IF(COUNTBLANK('Capacity summary'!$H189:$BG189)&lt;52,IF('Capacity summary'!O189&lt;&gt;"",IF(LOWER('Capacity summary'!O189)="x",$BI70*O70,VALUE('Capacity summary'!O189)),0),O70*$BI70),O70*$BI70),0)</f>
        <v>0</v>
      </c>
      <c r="BS70" s="314">
        <f>IF($BI70&lt;&gt;"",IF('Capacity summary'!$D$14="Yes",IF(COUNTBLANK('Capacity summary'!$H189:$BG189)&lt;52,IF('Capacity summary'!P189&lt;&gt;"",IF(LOWER('Capacity summary'!P189)="x",$BI70*P70,VALUE('Capacity summary'!P189)),0),P70*$BI70),P70*$BI70),0)</f>
        <v>0</v>
      </c>
      <c r="BT70" s="314">
        <f>IF($BI70&lt;&gt;"",IF('Capacity summary'!$D$14="Yes",IF(COUNTBLANK('Capacity summary'!$H189:$BG189)&lt;52,IF('Capacity summary'!Q189&lt;&gt;"",IF(LOWER('Capacity summary'!Q189)="x",$BI70*Q70,VALUE('Capacity summary'!Q189)),0),Q70*$BI70),Q70*$BI70),0)</f>
        <v>0</v>
      </c>
      <c r="BU70" s="314">
        <f>IF($BI70&lt;&gt;"",IF('Capacity summary'!$D$14="Yes",IF(COUNTBLANK('Capacity summary'!$H189:$BG189)&lt;52,IF('Capacity summary'!R189&lt;&gt;"",IF(LOWER('Capacity summary'!R189)="x",$BI70*R70,VALUE('Capacity summary'!R189)),0),R70*$BI70),R70*$BI70),0)</f>
        <v>0</v>
      </c>
      <c r="BV70" s="314">
        <f>IF($BI70&lt;&gt;"",IF('Capacity summary'!$D$14="Yes",IF(COUNTBLANK('Capacity summary'!$H189:$BG189)&lt;52,IF('Capacity summary'!S189&lt;&gt;"",IF(LOWER('Capacity summary'!S189)="x",$BI70*S70,VALUE('Capacity summary'!S189)),0),S70*$BI70),S70*$BI70),0)</f>
        <v>0</v>
      </c>
      <c r="BW70" s="314">
        <f>IF($BI70&lt;&gt;"",IF('Capacity summary'!$D$14="Yes",IF(COUNTBLANK('Capacity summary'!$H189:$BG189)&lt;52,IF('Capacity summary'!T189&lt;&gt;"",IF(LOWER('Capacity summary'!T189)="x",$BI70*T70,VALUE('Capacity summary'!T189)),0),T70*$BI70),T70*$BI70),0)</f>
        <v>0</v>
      </c>
      <c r="BX70" s="314">
        <f>IF($BI70&lt;&gt;"",IF('Capacity summary'!$D$14="Yes",IF(COUNTBLANK('Capacity summary'!$H189:$BG189)&lt;52,IF('Capacity summary'!U189&lt;&gt;"",IF(LOWER('Capacity summary'!U189)="x",$BI70*U70,VALUE('Capacity summary'!U189)),0),U70*$BI70),U70*$BI70),0)</f>
        <v>0</v>
      </c>
      <c r="BY70" s="314">
        <f>IF($BI70&lt;&gt;"",IF('Capacity summary'!$D$14="Yes",IF(COUNTBLANK('Capacity summary'!$H189:$BG189)&lt;52,IF('Capacity summary'!V189&lt;&gt;"",IF(LOWER('Capacity summary'!V189)="x",$BI70*V70,VALUE('Capacity summary'!V189)),0),V70*$BI70),V70*$BI70),0)</f>
        <v>0</v>
      </c>
      <c r="BZ70" s="314">
        <f>IF($BI70&lt;&gt;"",IF('Capacity summary'!$D$14="Yes",IF(COUNTBLANK('Capacity summary'!$H189:$BG189)&lt;52,IF('Capacity summary'!W189&lt;&gt;"",IF(LOWER('Capacity summary'!W189)="x",$BI70*W70,VALUE('Capacity summary'!W189)),0),W70*$BI70),W70*$BI70),0)</f>
        <v>0</v>
      </c>
      <c r="CA70" s="314">
        <f>IF($BI70&lt;&gt;"",IF('Capacity summary'!$D$14="Yes",IF(COUNTBLANK('Capacity summary'!$H189:$BG189)&lt;52,IF('Capacity summary'!X189&lt;&gt;"",IF(LOWER('Capacity summary'!X189)="x",$BI70*X70,VALUE('Capacity summary'!X189)),0),X70*$BI70),X70*$BI70),0)</f>
        <v>0</v>
      </c>
      <c r="CB70" s="314">
        <f>IF($BI70&lt;&gt;"",IF('Capacity summary'!$D$14="Yes",IF(COUNTBLANK('Capacity summary'!$H189:$BG189)&lt;52,IF('Capacity summary'!Y189&lt;&gt;"",IF(LOWER('Capacity summary'!Y189)="x",$BI70*Y70,VALUE('Capacity summary'!Y189)),0),Y70*$BI70),Y70*$BI70),0)</f>
        <v>0</v>
      </c>
      <c r="CC70" s="314">
        <f>IF($BI70&lt;&gt;"",IF('Capacity summary'!$D$14="Yes",IF(COUNTBLANK('Capacity summary'!$H189:$BG189)&lt;52,IF('Capacity summary'!Z189&lt;&gt;"",IF(LOWER('Capacity summary'!Z189)="x",$BI70*Z70,VALUE('Capacity summary'!Z189)),0),Z70*$BI70),Z70*$BI70),0)</f>
        <v>0</v>
      </c>
      <c r="CD70" s="314">
        <f>IF($BI70&lt;&gt;"",IF('Capacity summary'!$D$14="Yes",IF(COUNTBLANK('Capacity summary'!$H189:$BG189)&lt;52,IF('Capacity summary'!AA189&lt;&gt;"",IF(LOWER('Capacity summary'!AA189)="x",$BI70*AA70,VALUE('Capacity summary'!AA189)),0),AA70*$BI70),AA70*$BI70),0)</f>
        <v>0</v>
      </c>
      <c r="CE70" s="314">
        <f>IF($BI70&lt;&gt;"",IF('Capacity summary'!$D$14="Yes",IF(COUNTBLANK('Capacity summary'!$H189:$BG189)&lt;52,IF('Capacity summary'!AB189&lt;&gt;"",IF(LOWER('Capacity summary'!AB189)="x",$BI70*AB70,VALUE('Capacity summary'!AB189)),0),AB70*$BI70),AB70*$BI70),0)</f>
        <v>0</v>
      </c>
      <c r="CF70" s="314">
        <f>IF($BI70&lt;&gt;"",IF('Capacity summary'!$D$14="Yes",IF(COUNTBLANK('Capacity summary'!$H189:$BG189)&lt;52,IF('Capacity summary'!AC189&lt;&gt;"",IF(LOWER('Capacity summary'!AC189)="x",$BI70*AC70,VALUE('Capacity summary'!AC189)),0),AC70*$BI70),AC70*$BI70),0)</f>
        <v>0</v>
      </c>
      <c r="CG70" s="314">
        <f>IF($BI70&lt;&gt;"",IF('Capacity summary'!$D$14="Yes",IF(COUNTBLANK('Capacity summary'!$H189:$BG189)&lt;52,IF('Capacity summary'!AD189&lt;&gt;"",IF(LOWER('Capacity summary'!AD189)="x",$BI70*AD70,VALUE('Capacity summary'!AD189)),0),AD70*$BI70),AD70*$BI70),0)</f>
        <v>0</v>
      </c>
      <c r="CH70" s="314">
        <f>IF($BI70&lt;&gt;"",IF('Capacity summary'!$D$14="Yes",IF(COUNTBLANK('Capacity summary'!$H189:$BG189)&lt;52,IF('Capacity summary'!AE189&lt;&gt;"",IF(LOWER('Capacity summary'!AE189)="x",$BI70*AE70,VALUE('Capacity summary'!AE189)),0),AE70*$BI70),AE70*$BI70),0)</f>
        <v>0</v>
      </c>
      <c r="CI70" s="314">
        <f>IF($BI70&lt;&gt;"",IF('Capacity summary'!$D$14="Yes",IF(COUNTBLANK('Capacity summary'!$H189:$BG189)&lt;52,IF('Capacity summary'!AF189&lt;&gt;"",IF(LOWER('Capacity summary'!AF189)="x",$BI70*AF70,VALUE('Capacity summary'!AF189)),0),AF70*$BI70),AF70*$BI70),0)</f>
        <v>0</v>
      </c>
      <c r="CJ70" s="314">
        <f>IF($BI70&lt;&gt;"",IF('Capacity summary'!$D$14="Yes",IF(COUNTBLANK('Capacity summary'!$H189:$BG189)&lt;52,IF('Capacity summary'!AG189&lt;&gt;"",IF(LOWER('Capacity summary'!AG189)="x",$BI70*AG70,VALUE('Capacity summary'!AG189)),0),AG70*$BI70),AG70*$BI70),0)</f>
        <v>0</v>
      </c>
      <c r="CK70" s="314">
        <f>IF($BI70&lt;&gt;"",IF('Capacity summary'!$D$14="Yes",IF(COUNTBLANK('Capacity summary'!$H189:$BG189)&lt;52,IF('Capacity summary'!AH189&lt;&gt;"",IF(LOWER('Capacity summary'!AH189)="x",$BI70*AH70,VALUE('Capacity summary'!AH189)),0),AH70*$BI70),AH70*$BI70),0)</f>
        <v>0</v>
      </c>
      <c r="CL70" s="314">
        <f>IF($BI70&lt;&gt;"",IF('Capacity summary'!$D$14="Yes",IF(COUNTBLANK('Capacity summary'!$H189:$BG189)&lt;52,IF('Capacity summary'!AI189&lt;&gt;"",IF(LOWER('Capacity summary'!AI189)="x",$BI70*AI70,VALUE('Capacity summary'!AI189)),0),AI70*$BI70),AI70*$BI70),0)</f>
        <v>0</v>
      </c>
      <c r="CM70" s="314">
        <f>IF($BI70&lt;&gt;"",IF('Capacity summary'!$D$14="Yes",IF(COUNTBLANK('Capacity summary'!$H189:$BG189)&lt;52,IF('Capacity summary'!AJ189&lt;&gt;"",IF(LOWER('Capacity summary'!AJ189)="x",$BI70*AJ70,VALUE('Capacity summary'!AJ189)),0),AJ70*$BI70),AJ70*$BI70),0)</f>
        <v>0</v>
      </c>
      <c r="CN70" s="314">
        <f>IF($BI70&lt;&gt;"",IF('Capacity summary'!$D$14="Yes",IF(COUNTBLANK('Capacity summary'!$H189:$BG189)&lt;52,IF('Capacity summary'!AK189&lt;&gt;"",IF(LOWER('Capacity summary'!AK189)="x",$BI70*AK70,VALUE('Capacity summary'!AK189)),0),AK70*$BI70),AK70*$BI70),0)</f>
        <v>0</v>
      </c>
      <c r="CO70" s="314">
        <f>IF($BI70&lt;&gt;"",IF('Capacity summary'!$D$14="Yes",IF(COUNTBLANK('Capacity summary'!$H189:$BG189)&lt;52,IF('Capacity summary'!AL189&lt;&gt;"",IF(LOWER('Capacity summary'!AL189)="x",$BI70*AL70,VALUE('Capacity summary'!AL189)),0),AL70*$BI70),AL70*$BI70),0)</f>
        <v>0</v>
      </c>
      <c r="CP70" s="314">
        <f>IF($BI70&lt;&gt;"",IF('Capacity summary'!$D$14="Yes",IF(COUNTBLANK('Capacity summary'!$H189:$BG189)&lt;52,IF('Capacity summary'!AM189&lt;&gt;"",IF(LOWER('Capacity summary'!AM189)="x",$BI70*AM70,VALUE('Capacity summary'!AM189)),0),AM70*$BI70),AM70*$BI70),0)</f>
        <v>0</v>
      </c>
      <c r="CQ70" s="314">
        <f>IF($BI70&lt;&gt;"",IF('Capacity summary'!$D$14="Yes",IF(COUNTBLANK('Capacity summary'!$H189:$BG189)&lt;52,IF('Capacity summary'!AN189&lt;&gt;"",IF(LOWER('Capacity summary'!AN189)="x",$BI70*AN70,VALUE('Capacity summary'!AN189)),0),AN70*$BI70),AN70*$BI70),0)</f>
        <v>0</v>
      </c>
      <c r="CR70" s="314">
        <f>IF($BI70&lt;&gt;"",IF('Capacity summary'!$D$14="Yes",IF(COUNTBLANK('Capacity summary'!$H189:$BG189)&lt;52,IF('Capacity summary'!AO189&lt;&gt;"",IF(LOWER('Capacity summary'!AO189)="x",$BI70*AO70,VALUE('Capacity summary'!AO189)),0),AO70*$BI70),AO70*$BI70),0)</f>
        <v>0</v>
      </c>
      <c r="CS70" s="314">
        <f>IF($BI70&lt;&gt;"",IF('Capacity summary'!$D$14="Yes",IF(COUNTBLANK('Capacity summary'!$H189:$BG189)&lt;52,IF('Capacity summary'!AP189&lt;&gt;"",IF(LOWER('Capacity summary'!AP189)="x",$BI70*AP70,VALUE('Capacity summary'!AP189)),0),AP70*$BI70),AP70*$BI70),0)</f>
        <v>0</v>
      </c>
      <c r="CT70" s="314">
        <f>IF($BI70&lt;&gt;"",IF('Capacity summary'!$D$14="Yes",IF(COUNTBLANK('Capacity summary'!$H189:$BG189)&lt;52,IF('Capacity summary'!AQ189&lt;&gt;"",IF(LOWER('Capacity summary'!AQ189)="x",$BI70*AQ70,VALUE('Capacity summary'!AQ189)),0),AQ70*$BI70),AQ70*$BI70),0)</f>
        <v>0</v>
      </c>
      <c r="CU70" s="314">
        <f>IF($BI70&lt;&gt;"",IF('Capacity summary'!$D$14="Yes",IF(COUNTBLANK('Capacity summary'!$H189:$BG189)&lt;52,IF('Capacity summary'!AR189&lt;&gt;"",IF(LOWER('Capacity summary'!AR189)="x",$BI70*AR70,VALUE('Capacity summary'!AR189)),0),AR70*$BI70),AR70*$BI70),0)</f>
        <v>0</v>
      </c>
      <c r="CV70" s="314">
        <f>IF($BI70&lt;&gt;"",IF('Capacity summary'!$D$14="Yes",IF(COUNTBLANK('Capacity summary'!$H189:$BG189)&lt;52,IF('Capacity summary'!AS189&lt;&gt;"",IF(LOWER('Capacity summary'!AS189)="x",$BI70*AS70,VALUE('Capacity summary'!AS189)),0),AS70*$BI70),AS70*$BI70),0)</f>
        <v>0</v>
      </c>
      <c r="CW70" s="314">
        <f>IF($BI70&lt;&gt;"",IF('Capacity summary'!$D$14="Yes",IF(COUNTBLANK('Capacity summary'!$H189:$BG189)&lt;52,IF('Capacity summary'!AT189&lt;&gt;"",IF(LOWER('Capacity summary'!AT189)="x",$BI70*AT70,VALUE('Capacity summary'!AT189)),0),AT70*$BI70),AT70*$BI70),0)</f>
        <v>0</v>
      </c>
      <c r="CX70" s="314">
        <f>IF($BI70&lt;&gt;"",IF('Capacity summary'!$D$14="Yes",IF(COUNTBLANK('Capacity summary'!$H189:$BG189)&lt;52,IF('Capacity summary'!AU189&lt;&gt;"",IF(LOWER('Capacity summary'!AU189)="x",$BI70*AU70,VALUE('Capacity summary'!AU189)),0),AU70*$BI70),AU70*$BI70),0)</f>
        <v>0</v>
      </c>
      <c r="CY70" s="314">
        <f>IF($BI70&lt;&gt;"",IF('Capacity summary'!$D$14="Yes",IF(COUNTBLANK('Capacity summary'!$H189:$BG189)&lt;52,IF('Capacity summary'!AV189&lt;&gt;"",IF(LOWER('Capacity summary'!AV189)="x",$BI70*AV70,VALUE('Capacity summary'!AV189)),0),AV70*$BI70),AV70*$BI70),0)</f>
        <v>0</v>
      </c>
      <c r="CZ70" s="314">
        <f>IF($BI70&lt;&gt;"",IF('Capacity summary'!$D$14="Yes",IF(COUNTBLANK('Capacity summary'!$H189:$BG189)&lt;52,IF('Capacity summary'!AW189&lt;&gt;"",IF(LOWER('Capacity summary'!AW189)="x",$BI70*AW70,VALUE('Capacity summary'!AW189)),0),AW70*$BI70),AW70*$BI70),0)</f>
        <v>0</v>
      </c>
      <c r="DA70" s="314">
        <f>IF($BI70&lt;&gt;"",IF('Capacity summary'!$D$14="Yes",IF(COUNTBLANK('Capacity summary'!$H189:$BG189)&lt;52,IF('Capacity summary'!AX189&lt;&gt;"",IF(LOWER('Capacity summary'!AX189)="x",$BI70*AX70,VALUE('Capacity summary'!AX189)),0),AX70*$BI70),AX70*$BI70),0)</f>
        <v>0</v>
      </c>
      <c r="DB70" s="314">
        <f>IF($BI70&lt;&gt;"",IF('Capacity summary'!$D$14="Yes",IF(COUNTBLANK('Capacity summary'!$H189:$BG189)&lt;52,IF('Capacity summary'!AY189&lt;&gt;"",IF(LOWER('Capacity summary'!AY189)="x",$BI70*AY70,VALUE('Capacity summary'!AY189)),0),AY70*$BI70),AY70*$BI70),0)</f>
        <v>0</v>
      </c>
      <c r="DC70" s="314">
        <f>IF($BI70&lt;&gt;"",IF('Capacity summary'!$D$14="Yes",IF(COUNTBLANK('Capacity summary'!$H189:$BG189)&lt;52,IF('Capacity summary'!AZ189&lt;&gt;"",IF(LOWER('Capacity summary'!AZ189)="x",$BI70*AZ70,VALUE('Capacity summary'!AZ189)),0),AZ70*$BI70),AZ70*$BI70),0)</f>
        <v>0</v>
      </c>
      <c r="DD70" s="314">
        <f>IF($BI70&lt;&gt;"",IF('Capacity summary'!$D$14="Yes",IF(COUNTBLANK('Capacity summary'!$H189:$BG189)&lt;52,IF('Capacity summary'!BA189&lt;&gt;"",IF(LOWER('Capacity summary'!BA189)="x",$BI70*BA70,VALUE('Capacity summary'!BA189)),0),BA70*$BI70),BA70*$BI70),0)</f>
        <v>0</v>
      </c>
      <c r="DE70" s="314">
        <f>IF($BI70&lt;&gt;"",IF('Capacity summary'!$D$14="Yes",IF(COUNTBLANK('Capacity summary'!$H189:$BG189)&lt;52,IF('Capacity summary'!BB189&lt;&gt;"",IF(LOWER('Capacity summary'!BB189)="x",$BI70*BB70,VALUE('Capacity summary'!BB189)),0),BB70*$BI70),BB70*$BI70),0)</f>
        <v>0</v>
      </c>
      <c r="DF70" s="314">
        <f>IF($BI70&lt;&gt;"",IF('Capacity summary'!$D$14="Yes",IF(COUNTBLANK('Capacity summary'!$H189:$BG189)&lt;52,IF('Capacity summary'!BC189&lt;&gt;"",IF(LOWER('Capacity summary'!BC189)="x",$BI70*BC70,VALUE('Capacity summary'!BC189)),0),BC70*$BI70),BC70*$BI70),0)</f>
        <v>0</v>
      </c>
      <c r="DG70" s="314">
        <f>IF($BI70&lt;&gt;"",IF('Capacity summary'!$D$14="Yes",IF(COUNTBLANK('Capacity summary'!$H189:$BG189)&lt;52,IF('Capacity summary'!BD189&lt;&gt;"",IF(LOWER('Capacity summary'!BD189)="x",$BI70*BD70,VALUE('Capacity summary'!BD189)),0),BD70*$BI70),BD70*$BI70),0)</f>
        <v>0</v>
      </c>
      <c r="DH70" s="314">
        <f>IF($BI70&lt;&gt;"",IF('Capacity summary'!$D$14="Yes",IF(COUNTBLANK('Capacity summary'!$H189:$BG189)&lt;52,IF('Capacity summary'!BE189&lt;&gt;"",IF(LOWER('Capacity summary'!BE189)="x",$BI70*BE70,VALUE('Capacity summary'!BE189)),0),BE70*$BI70),BE70*$BI70),0)</f>
        <v>0</v>
      </c>
      <c r="DI70" s="314">
        <f>IF($BI70&lt;&gt;"",IF('Capacity summary'!$D$14="Yes",IF(COUNTBLANK('Capacity summary'!$H189:$BG189)&lt;52,IF('Capacity summary'!BF189&lt;&gt;"",IF(LOWER('Capacity summary'!BF189)="x",$BI70*BF70,VALUE('Capacity summary'!BF189)),0),BF70*$BI70),BF70*$BI70),0)</f>
        <v>0</v>
      </c>
      <c r="DJ70" s="314">
        <f>IF($BI70&lt;&gt;"",IF('Capacity summary'!$D$14="Yes",IF(COUNTBLANK('Capacity summary'!$H189:$BG189)&lt;52,IF('Capacity summary'!BG189&lt;&gt;"",IF(LOWER('Capacity summary'!BG189)="x",$BI70*BG70,VALUE('Capacity summary'!BG189)),0),BG70*$BI70),BG70*$BI70),0)</f>
        <v>0</v>
      </c>
      <c r="DK70" s="137">
        <f t="shared" si="3"/>
        <v>0</v>
      </c>
      <c r="DL70" s="314"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4">
        <f>IF($BI71&lt;&gt;"",IF('Capacity summary'!$D$14="Yes",IF(COUNTBLANK('Capacity summary'!$H190:$BG190)&lt;52,IF('Capacity summary'!H190&lt;&gt;"",IF(LOWER('Capacity summary'!H190)="x",$BI71*H71,VALUE('Capacity summary'!H190)),0),H71*$BI71),H71*$BI71),0)</f>
        <v>0</v>
      </c>
      <c r="BL71" s="314">
        <f>IF($BI71&lt;&gt;"",IF('Capacity summary'!$D$14="Yes",IF(COUNTBLANK('Capacity summary'!$H190:$BG190)&lt;52,IF('Capacity summary'!I190&lt;&gt;"",IF(LOWER('Capacity summary'!I190)="x",$BI71*I71,VALUE('Capacity summary'!I190)),0),I71*$BI71),I71*$BI71),0)</f>
        <v>0</v>
      </c>
      <c r="BM71" s="314">
        <f>IF($BI71&lt;&gt;"",IF('Capacity summary'!$D$14="Yes",IF(COUNTBLANK('Capacity summary'!$H190:$BG190)&lt;52,IF('Capacity summary'!J190&lt;&gt;"",IF(LOWER('Capacity summary'!J190)="x",$BI71*J71,VALUE('Capacity summary'!J190)),0),J71*$BI71),J71*$BI71),0)</f>
        <v>0</v>
      </c>
      <c r="BN71" s="314">
        <f>IF($BI71&lt;&gt;"",IF('Capacity summary'!$D$14="Yes",IF(COUNTBLANK('Capacity summary'!$H190:$BG190)&lt;52,IF('Capacity summary'!K190&lt;&gt;"",IF(LOWER('Capacity summary'!K190)="x",$BI71*K71,VALUE('Capacity summary'!K190)),0),K71*$BI71),K71*$BI71),0)</f>
        <v>0</v>
      </c>
      <c r="BO71" s="314">
        <f>IF($BI71&lt;&gt;"",IF('Capacity summary'!$D$14="Yes",IF(COUNTBLANK('Capacity summary'!$H190:$BG190)&lt;52,IF('Capacity summary'!L190&lt;&gt;"",IF(LOWER('Capacity summary'!L190)="x",$BI71*L71,VALUE('Capacity summary'!L190)),0),L71*$BI71),L71*$BI71),0)</f>
        <v>0</v>
      </c>
      <c r="BP71" s="314">
        <f>IF($BI71&lt;&gt;"",IF('Capacity summary'!$D$14="Yes",IF(COUNTBLANK('Capacity summary'!$H190:$BG190)&lt;52,IF('Capacity summary'!M190&lt;&gt;"",IF(LOWER('Capacity summary'!M190)="x",$BI71*M71,VALUE('Capacity summary'!M190)),0),M71*$BI71),M71*$BI71),0)</f>
        <v>0</v>
      </c>
      <c r="BQ71" s="314">
        <f>IF($BI71&lt;&gt;"",IF('Capacity summary'!$D$14="Yes",IF(COUNTBLANK('Capacity summary'!$H190:$BG190)&lt;52,IF('Capacity summary'!N190&lt;&gt;"",IF(LOWER('Capacity summary'!N190)="x",$BI71*N71,VALUE('Capacity summary'!N190)),0),N71*$BI71),N71*$BI71),0)</f>
        <v>0</v>
      </c>
      <c r="BR71" s="314">
        <f>IF($BI71&lt;&gt;"",IF('Capacity summary'!$D$14="Yes",IF(COUNTBLANK('Capacity summary'!$H190:$BG190)&lt;52,IF('Capacity summary'!O190&lt;&gt;"",IF(LOWER('Capacity summary'!O190)="x",$BI71*O71,VALUE('Capacity summary'!O190)),0),O71*$BI71),O71*$BI71),0)</f>
        <v>0</v>
      </c>
      <c r="BS71" s="314">
        <f>IF($BI71&lt;&gt;"",IF('Capacity summary'!$D$14="Yes",IF(COUNTBLANK('Capacity summary'!$H190:$BG190)&lt;52,IF('Capacity summary'!P190&lt;&gt;"",IF(LOWER('Capacity summary'!P190)="x",$BI71*P71,VALUE('Capacity summary'!P190)),0),P71*$BI71),P71*$BI71),0)</f>
        <v>0</v>
      </c>
      <c r="BT71" s="314">
        <f>IF($BI71&lt;&gt;"",IF('Capacity summary'!$D$14="Yes",IF(COUNTBLANK('Capacity summary'!$H190:$BG190)&lt;52,IF('Capacity summary'!Q190&lt;&gt;"",IF(LOWER('Capacity summary'!Q190)="x",$BI71*Q71,VALUE('Capacity summary'!Q190)),0),Q71*$BI71),Q71*$BI71),0)</f>
        <v>0</v>
      </c>
      <c r="BU71" s="314">
        <f>IF($BI71&lt;&gt;"",IF('Capacity summary'!$D$14="Yes",IF(COUNTBLANK('Capacity summary'!$H190:$BG190)&lt;52,IF('Capacity summary'!R190&lt;&gt;"",IF(LOWER('Capacity summary'!R190)="x",$BI71*R71,VALUE('Capacity summary'!R190)),0),R71*$BI71),R71*$BI71),0)</f>
        <v>0</v>
      </c>
      <c r="BV71" s="314">
        <f>IF($BI71&lt;&gt;"",IF('Capacity summary'!$D$14="Yes",IF(COUNTBLANK('Capacity summary'!$H190:$BG190)&lt;52,IF('Capacity summary'!S190&lt;&gt;"",IF(LOWER('Capacity summary'!S190)="x",$BI71*S71,VALUE('Capacity summary'!S190)),0),S71*$BI71),S71*$BI71),0)</f>
        <v>0</v>
      </c>
      <c r="BW71" s="314">
        <f>IF($BI71&lt;&gt;"",IF('Capacity summary'!$D$14="Yes",IF(COUNTBLANK('Capacity summary'!$H190:$BG190)&lt;52,IF('Capacity summary'!T190&lt;&gt;"",IF(LOWER('Capacity summary'!T190)="x",$BI71*T71,VALUE('Capacity summary'!T190)),0),T71*$BI71),T71*$BI71),0)</f>
        <v>0</v>
      </c>
      <c r="BX71" s="314">
        <f>IF($BI71&lt;&gt;"",IF('Capacity summary'!$D$14="Yes",IF(COUNTBLANK('Capacity summary'!$H190:$BG190)&lt;52,IF('Capacity summary'!U190&lt;&gt;"",IF(LOWER('Capacity summary'!U190)="x",$BI71*U71,VALUE('Capacity summary'!U190)),0),U71*$BI71),U71*$BI71),0)</f>
        <v>0</v>
      </c>
      <c r="BY71" s="314">
        <f>IF($BI71&lt;&gt;"",IF('Capacity summary'!$D$14="Yes",IF(COUNTBLANK('Capacity summary'!$H190:$BG190)&lt;52,IF('Capacity summary'!V190&lt;&gt;"",IF(LOWER('Capacity summary'!V190)="x",$BI71*V71,VALUE('Capacity summary'!V190)),0),V71*$BI71),V71*$BI71),0)</f>
        <v>0</v>
      </c>
      <c r="BZ71" s="314">
        <f>IF($BI71&lt;&gt;"",IF('Capacity summary'!$D$14="Yes",IF(COUNTBLANK('Capacity summary'!$H190:$BG190)&lt;52,IF('Capacity summary'!W190&lt;&gt;"",IF(LOWER('Capacity summary'!W190)="x",$BI71*W71,VALUE('Capacity summary'!W190)),0),W71*$BI71),W71*$BI71),0)</f>
        <v>0</v>
      </c>
      <c r="CA71" s="314">
        <f>IF($BI71&lt;&gt;"",IF('Capacity summary'!$D$14="Yes",IF(COUNTBLANK('Capacity summary'!$H190:$BG190)&lt;52,IF('Capacity summary'!X190&lt;&gt;"",IF(LOWER('Capacity summary'!X190)="x",$BI71*X71,VALUE('Capacity summary'!X190)),0),X71*$BI71),X71*$BI71),0)</f>
        <v>0</v>
      </c>
      <c r="CB71" s="314">
        <f>IF($BI71&lt;&gt;"",IF('Capacity summary'!$D$14="Yes",IF(COUNTBLANK('Capacity summary'!$H190:$BG190)&lt;52,IF('Capacity summary'!Y190&lt;&gt;"",IF(LOWER('Capacity summary'!Y190)="x",$BI71*Y71,VALUE('Capacity summary'!Y190)),0),Y71*$BI71),Y71*$BI71),0)</f>
        <v>0</v>
      </c>
      <c r="CC71" s="314">
        <f>IF($BI71&lt;&gt;"",IF('Capacity summary'!$D$14="Yes",IF(COUNTBLANK('Capacity summary'!$H190:$BG190)&lt;52,IF('Capacity summary'!Z190&lt;&gt;"",IF(LOWER('Capacity summary'!Z190)="x",$BI71*Z71,VALUE('Capacity summary'!Z190)),0),Z71*$BI71),Z71*$BI71),0)</f>
        <v>0</v>
      </c>
      <c r="CD71" s="314">
        <f>IF($BI71&lt;&gt;"",IF('Capacity summary'!$D$14="Yes",IF(COUNTBLANK('Capacity summary'!$H190:$BG190)&lt;52,IF('Capacity summary'!AA190&lt;&gt;"",IF(LOWER('Capacity summary'!AA190)="x",$BI71*AA71,VALUE('Capacity summary'!AA190)),0),AA71*$BI71),AA71*$BI71),0)</f>
        <v>0</v>
      </c>
      <c r="CE71" s="314">
        <f>IF($BI71&lt;&gt;"",IF('Capacity summary'!$D$14="Yes",IF(COUNTBLANK('Capacity summary'!$H190:$BG190)&lt;52,IF('Capacity summary'!AB190&lt;&gt;"",IF(LOWER('Capacity summary'!AB190)="x",$BI71*AB71,VALUE('Capacity summary'!AB190)),0),AB71*$BI71),AB71*$BI71),0)</f>
        <v>0</v>
      </c>
      <c r="CF71" s="314">
        <f>IF($BI71&lt;&gt;"",IF('Capacity summary'!$D$14="Yes",IF(COUNTBLANK('Capacity summary'!$H190:$BG190)&lt;52,IF('Capacity summary'!AC190&lt;&gt;"",IF(LOWER('Capacity summary'!AC190)="x",$BI71*AC71,VALUE('Capacity summary'!AC190)),0),AC71*$BI71),AC71*$BI71),0)</f>
        <v>0</v>
      </c>
      <c r="CG71" s="314">
        <f>IF($BI71&lt;&gt;"",IF('Capacity summary'!$D$14="Yes",IF(COUNTBLANK('Capacity summary'!$H190:$BG190)&lt;52,IF('Capacity summary'!AD190&lt;&gt;"",IF(LOWER('Capacity summary'!AD190)="x",$BI71*AD71,VALUE('Capacity summary'!AD190)),0),AD71*$BI71),AD71*$BI71),0)</f>
        <v>0</v>
      </c>
      <c r="CH71" s="314">
        <f>IF($BI71&lt;&gt;"",IF('Capacity summary'!$D$14="Yes",IF(COUNTBLANK('Capacity summary'!$H190:$BG190)&lt;52,IF('Capacity summary'!AE190&lt;&gt;"",IF(LOWER('Capacity summary'!AE190)="x",$BI71*AE71,VALUE('Capacity summary'!AE190)),0),AE71*$BI71),AE71*$BI71),0)</f>
        <v>0</v>
      </c>
      <c r="CI71" s="314">
        <f>IF($BI71&lt;&gt;"",IF('Capacity summary'!$D$14="Yes",IF(COUNTBLANK('Capacity summary'!$H190:$BG190)&lt;52,IF('Capacity summary'!AF190&lt;&gt;"",IF(LOWER('Capacity summary'!AF190)="x",$BI71*AF71,VALUE('Capacity summary'!AF190)),0),AF71*$BI71),AF71*$BI71),0)</f>
        <v>0</v>
      </c>
      <c r="CJ71" s="314">
        <f>IF($BI71&lt;&gt;"",IF('Capacity summary'!$D$14="Yes",IF(COUNTBLANK('Capacity summary'!$H190:$BG190)&lt;52,IF('Capacity summary'!AG190&lt;&gt;"",IF(LOWER('Capacity summary'!AG190)="x",$BI71*AG71,VALUE('Capacity summary'!AG190)),0),AG71*$BI71),AG71*$BI71),0)</f>
        <v>0</v>
      </c>
      <c r="CK71" s="314">
        <f>IF($BI71&lt;&gt;"",IF('Capacity summary'!$D$14="Yes",IF(COUNTBLANK('Capacity summary'!$H190:$BG190)&lt;52,IF('Capacity summary'!AH190&lt;&gt;"",IF(LOWER('Capacity summary'!AH190)="x",$BI71*AH71,VALUE('Capacity summary'!AH190)),0),AH71*$BI71),AH71*$BI71),0)</f>
        <v>0</v>
      </c>
      <c r="CL71" s="314">
        <f>IF($BI71&lt;&gt;"",IF('Capacity summary'!$D$14="Yes",IF(COUNTBLANK('Capacity summary'!$H190:$BG190)&lt;52,IF('Capacity summary'!AI190&lt;&gt;"",IF(LOWER('Capacity summary'!AI190)="x",$BI71*AI71,VALUE('Capacity summary'!AI190)),0),AI71*$BI71),AI71*$BI71),0)</f>
        <v>0</v>
      </c>
      <c r="CM71" s="314">
        <f>IF($BI71&lt;&gt;"",IF('Capacity summary'!$D$14="Yes",IF(COUNTBLANK('Capacity summary'!$H190:$BG190)&lt;52,IF('Capacity summary'!AJ190&lt;&gt;"",IF(LOWER('Capacity summary'!AJ190)="x",$BI71*AJ71,VALUE('Capacity summary'!AJ190)),0),AJ71*$BI71),AJ71*$BI71),0)</f>
        <v>0</v>
      </c>
      <c r="CN71" s="314">
        <f>IF($BI71&lt;&gt;"",IF('Capacity summary'!$D$14="Yes",IF(COUNTBLANK('Capacity summary'!$H190:$BG190)&lt;52,IF('Capacity summary'!AK190&lt;&gt;"",IF(LOWER('Capacity summary'!AK190)="x",$BI71*AK71,VALUE('Capacity summary'!AK190)),0),AK71*$BI71),AK71*$BI71),0)</f>
        <v>0</v>
      </c>
      <c r="CO71" s="314">
        <f>IF($BI71&lt;&gt;"",IF('Capacity summary'!$D$14="Yes",IF(COUNTBLANK('Capacity summary'!$H190:$BG190)&lt;52,IF('Capacity summary'!AL190&lt;&gt;"",IF(LOWER('Capacity summary'!AL190)="x",$BI71*AL71,VALUE('Capacity summary'!AL190)),0),AL71*$BI71),AL71*$BI71),0)</f>
        <v>0</v>
      </c>
      <c r="CP71" s="314">
        <f>IF($BI71&lt;&gt;"",IF('Capacity summary'!$D$14="Yes",IF(COUNTBLANK('Capacity summary'!$H190:$BG190)&lt;52,IF('Capacity summary'!AM190&lt;&gt;"",IF(LOWER('Capacity summary'!AM190)="x",$BI71*AM71,VALUE('Capacity summary'!AM190)),0),AM71*$BI71),AM71*$BI71),0)</f>
        <v>0</v>
      </c>
      <c r="CQ71" s="314">
        <f>IF($BI71&lt;&gt;"",IF('Capacity summary'!$D$14="Yes",IF(COUNTBLANK('Capacity summary'!$H190:$BG190)&lt;52,IF('Capacity summary'!AN190&lt;&gt;"",IF(LOWER('Capacity summary'!AN190)="x",$BI71*AN71,VALUE('Capacity summary'!AN190)),0),AN71*$BI71),AN71*$BI71),0)</f>
        <v>0</v>
      </c>
      <c r="CR71" s="314">
        <f>IF($BI71&lt;&gt;"",IF('Capacity summary'!$D$14="Yes",IF(COUNTBLANK('Capacity summary'!$H190:$BG190)&lt;52,IF('Capacity summary'!AO190&lt;&gt;"",IF(LOWER('Capacity summary'!AO190)="x",$BI71*AO71,VALUE('Capacity summary'!AO190)),0),AO71*$BI71),AO71*$BI71),0)</f>
        <v>0</v>
      </c>
      <c r="CS71" s="314">
        <f>IF($BI71&lt;&gt;"",IF('Capacity summary'!$D$14="Yes",IF(COUNTBLANK('Capacity summary'!$H190:$BG190)&lt;52,IF('Capacity summary'!AP190&lt;&gt;"",IF(LOWER('Capacity summary'!AP190)="x",$BI71*AP71,VALUE('Capacity summary'!AP190)),0),AP71*$BI71),AP71*$BI71),0)</f>
        <v>0</v>
      </c>
      <c r="CT71" s="314">
        <f>IF($BI71&lt;&gt;"",IF('Capacity summary'!$D$14="Yes",IF(COUNTBLANK('Capacity summary'!$H190:$BG190)&lt;52,IF('Capacity summary'!AQ190&lt;&gt;"",IF(LOWER('Capacity summary'!AQ190)="x",$BI71*AQ71,VALUE('Capacity summary'!AQ190)),0),AQ71*$BI71),AQ71*$BI71),0)</f>
        <v>0</v>
      </c>
      <c r="CU71" s="314">
        <f>IF($BI71&lt;&gt;"",IF('Capacity summary'!$D$14="Yes",IF(COUNTBLANK('Capacity summary'!$H190:$BG190)&lt;52,IF('Capacity summary'!AR190&lt;&gt;"",IF(LOWER('Capacity summary'!AR190)="x",$BI71*AR71,VALUE('Capacity summary'!AR190)),0),AR71*$BI71),AR71*$BI71),0)</f>
        <v>0</v>
      </c>
      <c r="CV71" s="314">
        <f>IF($BI71&lt;&gt;"",IF('Capacity summary'!$D$14="Yes",IF(COUNTBLANK('Capacity summary'!$H190:$BG190)&lt;52,IF('Capacity summary'!AS190&lt;&gt;"",IF(LOWER('Capacity summary'!AS190)="x",$BI71*AS71,VALUE('Capacity summary'!AS190)),0),AS71*$BI71),AS71*$BI71),0)</f>
        <v>0</v>
      </c>
      <c r="CW71" s="314">
        <f>IF($BI71&lt;&gt;"",IF('Capacity summary'!$D$14="Yes",IF(COUNTBLANK('Capacity summary'!$H190:$BG190)&lt;52,IF('Capacity summary'!AT190&lt;&gt;"",IF(LOWER('Capacity summary'!AT190)="x",$BI71*AT71,VALUE('Capacity summary'!AT190)),0),AT71*$BI71),AT71*$BI71),0)</f>
        <v>0</v>
      </c>
      <c r="CX71" s="314">
        <f>IF($BI71&lt;&gt;"",IF('Capacity summary'!$D$14="Yes",IF(COUNTBLANK('Capacity summary'!$H190:$BG190)&lt;52,IF('Capacity summary'!AU190&lt;&gt;"",IF(LOWER('Capacity summary'!AU190)="x",$BI71*AU71,VALUE('Capacity summary'!AU190)),0),AU71*$BI71),AU71*$BI71),0)</f>
        <v>0</v>
      </c>
      <c r="CY71" s="314">
        <f>IF($BI71&lt;&gt;"",IF('Capacity summary'!$D$14="Yes",IF(COUNTBLANK('Capacity summary'!$H190:$BG190)&lt;52,IF('Capacity summary'!AV190&lt;&gt;"",IF(LOWER('Capacity summary'!AV190)="x",$BI71*AV71,VALUE('Capacity summary'!AV190)),0),AV71*$BI71),AV71*$BI71),0)</f>
        <v>0</v>
      </c>
      <c r="CZ71" s="314">
        <f>IF($BI71&lt;&gt;"",IF('Capacity summary'!$D$14="Yes",IF(COUNTBLANK('Capacity summary'!$H190:$BG190)&lt;52,IF('Capacity summary'!AW190&lt;&gt;"",IF(LOWER('Capacity summary'!AW190)="x",$BI71*AW71,VALUE('Capacity summary'!AW190)),0),AW71*$BI71),AW71*$BI71),0)</f>
        <v>0</v>
      </c>
      <c r="DA71" s="314">
        <f>IF($BI71&lt;&gt;"",IF('Capacity summary'!$D$14="Yes",IF(COUNTBLANK('Capacity summary'!$H190:$BG190)&lt;52,IF('Capacity summary'!AX190&lt;&gt;"",IF(LOWER('Capacity summary'!AX190)="x",$BI71*AX71,VALUE('Capacity summary'!AX190)),0),AX71*$BI71),AX71*$BI71),0)</f>
        <v>0</v>
      </c>
      <c r="DB71" s="314">
        <f>IF($BI71&lt;&gt;"",IF('Capacity summary'!$D$14="Yes",IF(COUNTBLANK('Capacity summary'!$H190:$BG190)&lt;52,IF('Capacity summary'!AY190&lt;&gt;"",IF(LOWER('Capacity summary'!AY190)="x",$BI71*AY71,VALUE('Capacity summary'!AY190)),0),AY71*$BI71),AY71*$BI71),0)</f>
        <v>0</v>
      </c>
      <c r="DC71" s="314">
        <f>IF($BI71&lt;&gt;"",IF('Capacity summary'!$D$14="Yes",IF(COUNTBLANK('Capacity summary'!$H190:$BG190)&lt;52,IF('Capacity summary'!AZ190&lt;&gt;"",IF(LOWER('Capacity summary'!AZ190)="x",$BI71*AZ71,VALUE('Capacity summary'!AZ190)),0),AZ71*$BI71),AZ71*$BI71),0)</f>
        <v>0</v>
      </c>
      <c r="DD71" s="314">
        <f>IF($BI71&lt;&gt;"",IF('Capacity summary'!$D$14="Yes",IF(COUNTBLANK('Capacity summary'!$H190:$BG190)&lt;52,IF('Capacity summary'!BA190&lt;&gt;"",IF(LOWER('Capacity summary'!BA190)="x",$BI71*BA71,VALUE('Capacity summary'!BA190)),0),BA71*$BI71),BA71*$BI71),0)</f>
        <v>0</v>
      </c>
      <c r="DE71" s="314">
        <f>IF($BI71&lt;&gt;"",IF('Capacity summary'!$D$14="Yes",IF(COUNTBLANK('Capacity summary'!$H190:$BG190)&lt;52,IF('Capacity summary'!BB190&lt;&gt;"",IF(LOWER('Capacity summary'!BB190)="x",$BI71*BB71,VALUE('Capacity summary'!BB190)),0),BB71*$BI71),BB71*$BI71),0)</f>
        <v>0</v>
      </c>
      <c r="DF71" s="314">
        <f>IF($BI71&lt;&gt;"",IF('Capacity summary'!$D$14="Yes",IF(COUNTBLANK('Capacity summary'!$H190:$BG190)&lt;52,IF('Capacity summary'!BC190&lt;&gt;"",IF(LOWER('Capacity summary'!BC190)="x",$BI71*BC71,VALUE('Capacity summary'!BC190)),0),BC71*$BI71),BC71*$BI71),0)</f>
        <v>0</v>
      </c>
      <c r="DG71" s="314">
        <f>IF($BI71&lt;&gt;"",IF('Capacity summary'!$D$14="Yes",IF(COUNTBLANK('Capacity summary'!$H190:$BG190)&lt;52,IF('Capacity summary'!BD190&lt;&gt;"",IF(LOWER('Capacity summary'!BD190)="x",$BI71*BD71,VALUE('Capacity summary'!BD190)),0),BD71*$BI71),BD71*$BI71),0)</f>
        <v>0</v>
      </c>
      <c r="DH71" s="314">
        <f>IF($BI71&lt;&gt;"",IF('Capacity summary'!$D$14="Yes",IF(COUNTBLANK('Capacity summary'!$H190:$BG190)&lt;52,IF('Capacity summary'!BE190&lt;&gt;"",IF(LOWER('Capacity summary'!BE190)="x",$BI71*BE71,VALUE('Capacity summary'!BE190)),0),BE71*$BI71),BE71*$BI71),0)</f>
        <v>0</v>
      </c>
      <c r="DI71" s="314">
        <f>IF($BI71&lt;&gt;"",IF('Capacity summary'!$D$14="Yes",IF(COUNTBLANK('Capacity summary'!$H190:$BG190)&lt;52,IF('Capacity summary'!BF190&lt;&gt;"",IF(LOWER('Capacity summary'!BF190)="x",$BI71*BF71,VALUE('Capacity summary'!BF190)),0),BF71*$BI71),BF71*$BI71),0)</f>
        <v>0</v>
      </c>
      <c r="DJ71" s="314">
        <f>IF($BI71&lt;&gt;"",IF('Capacity summary'!$D$14="Yes",IF(COUNTBLANK('Capacity summary'!$H190:$BG190)&lt;52,IF('Capacity summary'!BG190&lt;&gt;"",IF(LOWER('Capacity summary'!BG190)="x",$BI71*BG71,VALUE('Capacity summary'!BG190)),0),BG71*$BI71),BG71*$BI71),0)</f>
        <v>0</v>
      </c>
      <c r="DK71" s="137">
        <f t="shared" si="3"/>
        <v>0</v>
      </c>
      <c r="DL71" s="314"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4">
        <f>IF($BI72&lt;&gt;"",IF('Capacity summary'!$D$14="Yes",IF(COUNTBLANK('Capacity summary'!$H191:$BG191)&lt;52,IF('Capacity summary'!H191&lt;&gt;"",IF(LOWER('Capacity summary'!H191)="x",$BI72*H72,VALUE('Capacity summary'!H191)),0),H72*$BI72),H72*$BI72),0)</f>
        <v>0</v>
      </c>
      <c r="BL72" s="314">
        <f>IF($BI72&lt;&gt;"",IF('Capacity summary'!$D$14="Yes",IF(COUNTBLANK('Capacity summary'!$H191:$BG191)&lt;52,IF('Capacity summary'!I191&lt;&gt;"",IF(LOWER('Capacity summary'!I191)="x",$BI72*I72,VALUE('Capacity summary'!I191)),0),I72*$BI72),I72*$BI72),0)</f>
        <v>0</v>
      </c>
      <c r="BM72" s="314">
        <f>IF($BI72&lt;&gt;"",IF('Capacity summary'!$D$14="Yes",IF(COUNTBLANK('Capacity summary'!$H191:$BG191)&lt;52,IF('Capacity summary'!J191&lt;&gt;"",IF(LOWER('Capacity summary'!J191)="x",$BI72*J72,VALUE('Capacity summary'!J191)),0),J72*$BI72),J72*$BI72),0)</f>
        <v>0</v>
      </c>
      <c r="BN72" s="314">
        <f>IF($BI72&lt;&gt;"",IF('Capacity summary'!$D$14="Yes",IF(COUNTBLANK('Capacity summary'!$H191:$BG191)&lt;52,IF('Capacity summary'!K191&lt;&gt;"",IF(LOWER('Capacity summary'!K191)="x",$BI72*K72,VALUE('Capacity summary'!K191)),0),K72*$BI72),K72*$BI72),0)</f>
        <v>0</v>
      </c>
      <c r="BO72" s="314">
        <f>IF($BI72&lt;&gt;"",IF('Capacity summary'!$D$14="Yes",IF(COUNTBLANK('Capacity summary'!$H191:$BG191)&lt;52,IF('Capacity summary'!L191&lt;&gt;"",IF(LOWER('Capacity summary'!L191)="x",$BI72*L72,VALUE('Capacity summary'!L191)),0),L72*$BI72),L72*$BI72),0)</f>
        <v>0</v>
      </c>
      <c r="BP72" s="314">
        <f>IF($BI72&lt;&gt;"",IF('Capacity summary'!$D$14="Yes",IF(COUNTBLANK('Capacity summary'!$H191:$BG191)&lt;52,IF('Capacity summary'!M191&lt;&gt;"",IF(LOWER('Capacity summary'!M191)="x",$BI72*M72,VALUE('Capacity summary'!M191)),0),M72*$BI72),M72*$BI72),0)</f>
        <v>0</v>
      </c>
      <c r="BQ72" s="314">
        <f>IF($BI72&lt;&gt;"",IF('Capacity summary'!$D$14="Yes",IF(COUNTBLANK('Capacity summary'!$H191:$BG191)&lt;52,IF('Capacity summary'!N191&lt;&gt;"",IF(LOWER('Capacity summary'!N191)="x",$BI72*N72,VALUE('Capacity summary'!N191)),0),N72*$BI72),N72*$BI72),0)</f>
        <v>0</v>
      </c>
      <c r="BR72" s="314">
        <f>IF($BI72&lt;&gt;"",IF('Capacity summary'!$D$14="Yes",IF(COUNTBLANK('Capacity summary'!$H191:$BG191)&lt;52,IF('Capacity summary'!O191&lt;&gt;"",IF(LOWER('Capacity summary'!O191)="x",$BI72*O72,VALUE('Capacity summary'!O191)),0),O72*$BI72),O72*$BI72),0)</f>
        <v>0</v>
      </c>
      <c r="BS72" s="314">
        <f>IF($BI72&lt;&gt;"",IF('Capacity summary'!$D$14="Yes",IF(COUNTBLANK('Capacity summary'!$H191:$BG191)&lt;52,IF('Capacity summary'!P191&lt;&gt;"",IF(LOWER('Capacity summary'!P191)="x",$BI72*P72,VALUE('Capacity summary'!P191)),0),P72*$BI72),P72*$BI72),0)</f>
        <v>0</v>
      </c>
      <c r="BT72" s="314">
        <f>IF($BI72&lt;&gt;"",IF('Capacity summary'!$D$14="Yes",IF(COUNTBLANK('Capacity summary'!$H191:$BG191)&lt;52,IF('Capacity summary'!Q191&lt;&gt;"",IF(LOWER('Capacity summary'!Q191)="x",$BI72*Q72,VALUE('Capacity summary'!Q191)),0),Q72*$BI72),Q72*$BI72),0)</f>
        <v>0</v>
      </c>
      <c r="BU72" s="314">
        <f>IF($BI72&lt;&gt;"",IF('Capacity summary'!$D$14="Yes",IF(COUNTBLANK('Capacity summary'!$H191:$BG191)&lt;52,IF('Capacity summary'!R191&lt;&gt;"",IF(LOWER('Capacity summary'!R191)="x",$BI72*R72,VALUE('Capacity summary'!R191)),0),R72*$BI72),R72*$BI72),0)</f>
        <v>0</v>
      </c>
      <c r="BV72" s="314">
        <f>IF($BI72&lt;&gt;"",IF('Capacity summary'!$D$14="Yes",IF(COUNTBLANK('Capacity summary'!$H191:$BG191)&lt;52,IF('Capacity summary'!S191&lt;&gt;"",IF(LOWER('Capacity summary'!S191)="x",$BI72*S72,VALUE('Capacity summary'!S191)),0),S72*$BI72),S72*$BI72),0)</f>
        <v>0</v>
      </c>
      <c r="BW72" s="314">
        <f>IF($BI72&lt;&gt;"",IF('Capacity summary'!$D$14="Yes",IF(COUNTBLANK('Capacity summary'!$H191:$BG191)&lt;52,IF('Capacity summary'!T191&lt;&gt;"",IF(LOWER('Capacity summary'!T191)="x",$BI72*T72,VALUE('Capacity summary'!T191)),0),T72*$BI72),T72*$BI72),0)</f>
        <v>0</v>
      </c>
      <c r="BX72" s="314">
        <f>IF($BI72&lt;&gt;"",IF('Capacity summary'!$D$14="Yes",IF(COUNTBLANK('Capacity summary'!$H191:$BG191)&lt;52,IF('Capacity summary'!U191&lt;&gt;"",IF(LOWER('Capacity summary'!U191)="x",$BI72*U72,VALUE('Capacity summary'!U191)),0),U72*$BI72),U72*$BI72),0)</f>
        <v>0</v>
      </c>
      <c r="BY72" s="314">
        <f>IF($BI72&lt;&gt;"",IF('Capacity summary'!$D$14="Yes",IF(COUNTBLANK('Capacity summary'!$H191:$BG191)&lt;52,IF('Capacity summary'!V191&lt;&gt;"",IF(LOWER('Capacity summary'!V191)="x",$BI72*V72,VALUE('Capacity summary'!V191)),0),V72*$BI72),V72*$BI72),0)</f>
        <v>0</v>
      </c>
      <c r="BZ72" s="314">
        <f>IF($BI72&lt;&gt;"",IF('Capacity summary'!$D$14="Yes",IF(COUNTBLANK('Capacity summary'!$H191:$BG191)&lt;52,IF('Capacity summary'!W191&lt;&gt;"",IF(LOWER('Capacity summary'!W191)="x",$BI72*W72,VALUE('Capacity summary'!W191)),0),W72*$BI72),W72*$BI72),0)</f>
        <v>0</v>
      </c>
      <c r="CA72" s="314">
        <f>IF($BI72&lt;&gt;"",IF('Capacity summary'!$D$14="Yes",IF(COUNTBLANK('Capacity summary'!$H191:$BG191)&lt;52,IF('Capacity summary'!X191&lt;&gt;"",IF(LOWER('Capacity summary'!X191)="x",$BI72*X72,VALUE('Capacity summary'!X191)),0),X72*$BI72),X72*$BI72),0)</f>
        <v>0</v>
      </c>
      <c r="CB72" s="314">
        <f>IF($BI72&lt;&gt;"",IF('Capacity summary'!$D$14="Yes",IF(COUNTBLANK('Capacity summary'!$H191:$BG191)&lt;52,IF('Capacity summary'!Y191&lt;&gt;"",IF(LOWER('Capacity summary'!Y191)="x",$BI72*Y72,VALUE('Capacity summary'!Y191)),0),Y72*$BI72),Y72*$BI72),0)</f>
        <v>0</v>
      </c>
      <c r="CC72" s="314">
        <f>IF($BI72&lt;&gt;"",IF('Capacity summary'!$D$14="Yes",IF(COUNTBLANK('Capacity summary'!$H191:$BG191)&lt;52,IF('Capacity summary'!Z191&lt;&gt;"",IF(LOWER('Capacity summary'!Z191)="x",$BI72*Z72,VALUE('Capacity summary'!Z191)),0),Z72*$BI72),Z72*$BI72),0)</f>
        <v>0</v>
      </c>
      <c r="CD72" s="314">
        <f>IF($BI72&lt;&gt;"",IF('Capacity summary'!$D$14="Yes",IF(COUNTBLANK('Capacity summary'!$H191:$BG191)&lt;52,IF('Capacity summary'!AA191&lt;&gt;"",IF(LOWER('Capacity summary'!AA191)="x",$BI72*AA72,VALUE('Capacity summary'!AA191)),0),AA72*$BI72),AA72*$BI72),0)</f>
        <v>0</v>
      </c>
      <c r="CE72" s="314">
        <f>IF($BI72&lt;&gt;"",IF('Capacity summary'!$D$14="Yes",IF(COUNTBLANK('Capacity summary'!$H191:$BG191)&lt;52,IF('Capacity summary'!AB191&lt;&gt;"",IF(LOWER('Capacity summary'!AB191)="x",$BI72*AB72,VALUE('Capacity summary'!AB191)),0),AB72*$BI72),AB72*$BI72),0)</f>
        <v>0</v>
      </c>
      <c r="CF72" s="314">
        <f>IF($BI72&lt;&gt;"",IF('Capacity summary'!$D$14="Yes",IF(COUNTBLANK('Capacity summary'!$H191:$BG191)&lt;52,IF('Capacity summary'!AC191&lt;&gt;"",IF(LOWER('Capacity summary'!AC191)="x",$BI72*AC72,VALUE('Capacity summary'!AC191)),0),AC72*$BI72),AC72*$BI72),0)</f>
        <v>0</v>
      </c>
      <c r="CG72" s="314">
        <f>IF($BI72&lt;&gt;"",IF('Capacity summary'!$D$14="Yes",IF(COUNTBLANK('Capacity summary'!$H191:$BG191)&lt;52,IF('Capacity summary'!AD191&lt;&gt;"",IF(LOWER('Capacity summary'!AD191)="x",$BI72*AD72,VALUE('Capacity summary'!AD191)),0),AD72*$BI72),AD72*$BI72),0)</f>
        <v>0</v>
      </c>
      <c r="CH72" s="314">
        <f>IF($BI72&lt;&gt;"",IF('Capacity summary'!$D$14="Yes",IF(COUNTBLANK('Capacity summary'!$H191:$BG191)&lt;52,IF('Capacity summary'!AE191&lt;&gt;"",IF(LOWER('Capacity summary'!AE191)="x",$BI72*AE72,VALUE('Capacity summary'!AE191)),0),AE72*$BI72),AE72*$BI72),0)</f>
        <v>0</v>
      </c>
      <c r="CI72" s="314">
        <f>IF($BI72&lt;&gt;"",IF('Capacity summary'!$D$14="Yes",IF(COUNTBLANK('Capacity summary'!$H191:$BG191)&lt;52,IF('Capacity summary'!AF191&lt;&gt;"",IF(LOWER('Capacity summary'!AF191)="x",$BI72*AF72,VALUE('Capacity summary'!AF191)),0),AF72*$BI72),AF72*$BI72),0)</f>
        <v>0</v>
      </c>
      <c r="CJ72" s="314">
        <f>IF($BI72&lt;&gt;"",IF('Capacity summary'!$D$14="Yes",IF(COUNTBLANK('Capacity summary'!$H191:$BG191)&lt;52,IF('Capacity summary'!AG191&lt;&gt;"",IF(LOWER('Capacity summary'!AG191)="x",$BI72*AG72,VALUE('Capacity summary'!AG191)),0),AG72*$BI72),AG72*$BI72),0)</f>
        <v>0</v>
      </c>
      <c r="CK72" s="314">
        <f>IF($BI72&lt;&gt;"",IF('Capacity summary'!$D$14="Yes",IF(COUNTBLANK('Capacity summary'!$H191:$BG191)&lt;52,IF('Capacity summary'!AH191&lt;&gt;"",IF(LOWER('Capacity summary'!AH191)="x",$BI72*AH72,VALUE('Capacity summary'!AH191)),0),AH72*$BI72),AH72*$BI72),0)</f>
        <v>0</v>
      </c>
      <c r="CL72" s="314">
        <f>IF($BI72&lt;&gt;"",IF('Capacity summary'!$D$14="Yes",IF(COUNTBLANK('Capacity summary'!$H191:$BG191)&lt;52,IF('Capacity summary'!AI191&lt;&gt;"",IF(LOWER('Capacity summary'!AI191)="x",$BI72*AI72,VALUE('Capacity summary'!AI191)),0),AI72*$BI72),AI72*$BI72),0)</f>
        <v>0</v>
      </c>
      <c r="CM72" s="314">
        <f>IF($BI72&lt;&gt;"",IF('Capacity summary'!$D$14="Yes",IF(COUNTBLANK('Capacity summary'!$H191:$BG191)&lt;52,IF('Capacity summary'!AJ191&lt;&gt;"",IF(LOWER('Capacity summary'!AJ191)="x",$BI72*AJ72,VALUE('Capacity summary'!AJ191)),0),AJ72*$BI72),AJ72*$BI72),0)</f>
        <v>0</v>
      </c>
      <c r="CN72" s="314">
        <f>IF($BI72&lt;&gt;"",IF('Capacity summary'!$D$14="Yes",IF(COUNTBLANK('Capacity summary'!$H191:$BG191)&lt;52,IF('Capacity summary'!AK191&lt;&gt;"",IF(LOWER('Capacity summary'!AK191)="x",$BI72*AK72,VALUE('Capacity summary'!AK191)),0),AK72*$BI72),AK72*$BI72),0)</f>
        <v>0</v>
      </c>
      <c r="CO72" s="314">
        <f>IF($BI72&lt;&gt;"",IF('Capacity summary'!$D$14="Yes",IF(COUNTBLANK('Capacity summary'!$H191:$BG191)&lt;52,IF('Capacity summary'!AL191&lt;&gt;"",IF(LOWER('Capacity summary'!AL191)="x",$BI72*AL72,VALUE('Capacity summary'!AL191)),0),AL72*$BI72),AL72*$BI72),0)</f>
        <v>0</v>
      </c>
      <c r="CP72" s="314">
        <f>IF($BI72&lt;&gt;"",IF('Capacity summary'!$D$14="Yes",IF(COUNTBLANK('Capacity summary'!$H191:$BG191)&lt;52,IF('Capacity summary'!AM191&lt;&gt;"",IF(LOWER('Capacity summary'!AM191)="x",$BI72*AM72,VALUE('Capacity summary'!AM191)),0),AM72*$BI72),AM72*$BI72),0)</f>
        <v>0</v>
      </c>
      <c r="CQ72" s="314">
        <f>IF($BI72&lt;&gt;"",IF('Capacity summary'!$D$14="Yes",IF(COUNTBLANK('Capacity summary'!$H191:$BG191)&lt;52,IF('Capacity summary'!AN191&lt;&gt;"",IF(LOWER('Capacity summary'!AN191)="x",$BI72*AN72,VALUE('Capacity summary'!AN191)),0),AN72*$BI72),AN72*$BI72),0)</f>
        <v>0</v>
      </c>
      <c r="CR72" s="314">
        <f>IF($BI72&lt;&gt;"",IF('Capacity summary'!$D$14="Yes",IF(COUNTBLANK('Capacity summary'!$H191:$BG191)&lt;52,IF('Capacity summary'!AO191&lt;&gt;"",IF(LOWER('Capacity summary'!AO191)="x",$BI72*AO72,VALUE('Capacity summary'!AO191)),0),AO72*$BI72),AO72*$BI72),0)</f>
        <v>0</v>
      </c>
      <c r="CS72" s="314">
        <f>IF($BI72&lt;&gt;"",IF('Capacity summary'!$D$14="Yes",IF(COUNTBLANK('Capacity summary'!$H191:$BG191)&lt;52,IF('Capacity summary'!AP191&lt;&gt;"",IF(LOWER('Capacity summary'!AP191)="x",$BI72*AP72,VALUE('Capacity summary'!AP191)),0),AP72*$BI72),AP72*$BI72),0)</f>
        <v>0</v>
      </c>
      <c r="CT72" s="314">
        <f>IF($BI72&lt;&gt;"",IF('Capacity summary'!$D$14="Yes",IF(COUNTBLANK('Capacity summary'!$H191:$BG191)&lt;52,IF('Capacity summary'!AQ191&lt;&gt;"",IF(LOWER('Capacity summary'!AQ191)="x",$BI72*AQ72,VALUE('Capacity summary'!AQ191)),0),AQ72*$BI72),AQ72*$BI72),0)</f>
        <v>0</v>
      </c>
      <c r="CU72" s="314">
        <f>IF($BI72&lt;&gt;"",IF('Capacity summary'!$D$14="Yes",IF(COUNTBLANK('Capacity summary'!$H191:$BG191)&lt;52,IF('Capacity summary'!AR191&lt;&gt;"",IF(LOWER('Capacity summary'!AR191)="x",$BI72*AR72,VALUE('Capacity summary'!AR191)),0),AR72*$BI72),AR72*$BI72),0)</f>
        <v>0</v>
      </c>
      <c r="CV72" s="314">
        <f>IF($BI72&lt;&gt;"",IF('Capacity summary'!$D$14="Yes",IF(COUNTBLANK('Capacity summary'!$H191:$BG191)&lt;52,IF('Capacity summary'!AS191&lt;&gt;"",IF(LOWER('Capacity summary'!AS191)="x",$BI72*AS72,VALUE('Capacity summary'!AS191)),0),AS72*$BI72),AS72*$BI72),0)</f>
        <v>0</v>
      </c>
      <c r="CW72" s="314">
        <f>IF($BI72&lt;&gt;"",IF('Capacity summary'!$D$14="Yes",IF(COUNTBLANK('Capacity summary'!$H191:$BG191)&lt;52,IF('Capacity summary'!AT191&lt;&gt;"",IF(LOWER('Capacity summary'!AT191)="x",$BI72*AT72,VALUE('Capacity summary'!AT191)),0),AT72*$BI72),AT72*$BI72),0)</f>
        <v>0</v>
      </c>
      <c r="CX72" s="314">
        <f>IF($BI72&lt;&gt;"",IF('Capacity summary'!$D$14="Yes",IF(COUNTBLANK('Capacity summary'!$H191:$BG191)&lt;52,IF('Capacity summary'!AU191&lt;&gt;"",IF(LOWER('Capacity summary'!AU191)="x",$BI72*AU72,VALUE('Capacity summary'!AU191)),0),AU72*$BI72),AU72*$BI72),0)</f>
        <v>0</v>
      </c>
      <c r="CY72" s="314">
        <f>IF($BI72&lt;&gt;"",IF('Capacity summary'!$D$14="Yes",IF(COUNTBLANK('Capacity summary'!$H191:$BG191)&lt;52,IF('Capacity summary'!AV191&lt;&gt;"",IF(LOWER('Capacity summary'!AV191)="x",$BI72*AV72,VALUE('Capacity summary'!AV191)),0),AV72*$BI72),AV72*$BI72),0)</f>
        <v>0</v>
      </c>
      <c r="CZ72" s="314">
        <f>IF($BI72&lt;&gt;"",IF('Capacity summary'!$D$14="Yes",IF(COUNTBLANK('Capacity summary'!$H191:$BG191)&lt;52,IF('Capacity summary'!AW191&lt;&gt;"",IF(LOWER('Capacity summary'!AW191)="x",$BI72*AW72,VALUE('Capacity summary'!AW191)),0),AW72*$BI72),AW72*$BI72),0)</f>
        <v>0</v>
      </c>
      <c r="DA72" s="314">
        <f>IF($BI72&lt;&gt;"",IF('Capacity summary'!$D$14="Yes",IF(COUNTBLANK('Capacity summary'!$H191:$BG191)&lt;52,IF('Capacity summary'!AX191&lt;&gt;"",IF(LOWER('Capacity summary'!AX191)="x",$BI72*AX72,VALUE('Capacity summary'!AX191)),0),AX72*$BI72),AX72*$BI72),0)</f>
        <v>0</v>
      </c>
      <c r="DB72" s="314">
        <f>IF($BI72&lt;&gt;"",IF('Capacity summary'!$D$14="Yes",IF(COUNTBLANK('Capacity summary'!$H191:$BG191)&lt;52,IF('Capacity summary'!AY191&lt;&gt;"",IF(LOWER('Capacity summary'!AY191)="x",$BI72*AY72,VALUE('Capacity summary'!AY191)),0),AY72*$BI72),AY72*$BI72),0)</f>
        <v>0</v>
      </c>
      <c r="DC72" s="314">
        <f>IF($BI72&lt;&gt;"",IF('Capacity summary'!$D$14="Yes",IF(COUNTBLANK('Capacity summary'!$H191:$BG191)&lt;52,IF('Capacity summary'!AZ191&lt;&gt;"",IF(LOWER('Capacity summary'!AZ191)="x",$BI72*AZ72,VALUE('Capacity summary'!AZ191)),0),AZ72*$BI72),AZ72*$BI72),0)</f>
        <v>0</v>
      </c>
      <c r="DD72" s="314">
        <f>IF($BI72&lt;&gt;"",IF('Capacity summary'!$D$14="Yes",IF(COUNTBLANK('Capacity summary'!$H191:$BG191)&lt;52,IF('Capacity summary'!BA191&lt;&gt;"",IF(LOWER('Capacity summary'!BA191)="x",$BI72*BA72,VALUE('Capacity summary'!BA191)),0),BA72*$BI72),BA72*$BI72),0)</f>
        <v>0</v>
      </c>
      <c r="DE72" s="314">
        <f>IF($BI72&lt;&gt;"",IF('Capacity summary'!$D$14="Yes",IF(COUNTBLANK('Capacity summary'!$H191:$BG191)&lt;52,IF('Capacity summary'!BB191&lt;&gt;"",IF(LOWER('Capacity summary'!BB191)="x",$BI72*BB72,VALUE('Capacity summary'!BB191)),0),BB72*$BI72),BB72*$BI72),0)</f>
        <v>0</v>
      </c>
      <c r="DF72" s="314">
        <f>IF($BI72&lt;&gt;"",IF('Capacity summary'!$D$14="Yes",IF(COUNTBLANK('Capacity summary'!$H191:$BG191)&lt;52,IF('Capacity summary'!BC191&lt;&gt;"",IF(LOWER('Capacity summary'!BC191)="x",$BI72*BC72,VALUE('Capacity summary'!BC191)),0),BC72*$BI72),BC72*$BI72),0)</f>
        <v>0</v>
      </c>
      <c r="DG72" s="314">
        <f>IF($BI72&lt;&gt;"",IF('Capacity summary'!$D$14="Yes",IF(COUNTBLANK('Capacity summary'!$H191:$BG191)&lt;52,IF('Capacity summary'!BD191&lt;&gt;"",IF(LOWER('Capacity summary'!BD191)="x",$BI72*BD72,VALUE('Capacity summary'!BD191)),0),BD72*$BI72),BD72*$BI72),0)</f>
        <v>0</v>
      </c>
      <c r="DH72" s="314">
        <f>IF($BI72&lt;&gt;"",IF('Capacity summary'!$D$14="Yes",IF(COUNTBLANK('Capacity summary'!$H191:$BG191)&lt;52,IF('Capacity summary'!BE191&lt;&gt;"",IF(LOWER('Capacity summary'!BE191)="x",$BI72*BE72,VALUE('Capacity summary'!BE191)),0),BE72*$BI72),BE72*$BI72),0)</f>
        <v>0</v>
      </c>
      <c r="DI72" s="314">
        <f>IF($BI72&lt;&gt;"",IF('Capacity summary'!$D$14="Yes",IF(COUNTBLANK('Capacity summary'!$H191:$BG191)&lt;52,IF('Capacity summary'!BF191&lt;&gt;"",IF(LOWER('Capacity summary'!BF191)="x",$BI72*BF72,VALUE('Capacity summary'!BF191)),0),BF72*$BI72),BF72*$BI72),0)</f>
        <v>0</v>
      </c>
      <c r="DJ72" s="314">
        <f>IF($BI72&lt;&gt;"",IF('Capacity summary'!$D$14="Yes",IF(COUNTBLANK('Capacity summary'!$H191:$BG191)&lt;52,IF('Capacity summary'!BG191&lt;&gt;"",IF(LOWER('Capacity summary'!BG191)="x",$BI72*BG72,VALUE('Capacity summary'!BG191)),0),BG72*$BI72),BG72*$BI72),0)</f>
        <v>0</v>
      </c>
      <c r="DK72" s="137">
        <f t="shared" si="3"/>
        <v>0</v>
      </c>
      <c r="DL72" s="314"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4">
        <f>IF($BI73&lt;&gt;"",IF('Capacity summary'!$D$14="Yes",IF(COUNTBLANK('Capacity summary'!$H192:$BG192)&lt;52,IF('Capacity summary'!H192&lt;&gt;"",IF(LOWER('Capacity summary'!H192)="x",$BI73*H73,VALUE('Capacity summary'!H192)),0),H73*$BI73),H73*$BI73),0)</f>
        <v>0</v>
      </c>
      <c r="BL73" s="314">
        <f>IF($BI73&lt;&gt;"",IF('Capacity summary'!$D$14="Yes",IF(COUNTBLANK('Capacity summary'!$H192:$BG192)&lt;52,IF('Capacity summary'!I192&lt;&gt;"",IF(LOWER('Capacity summary'!I192)="x",$BI73*I73,VALUE('Capacity summary'!I192)),0),I73*$BI73),I73*$BI73),0)</f>
        <v>0</v>
      </c>
      <c r="BM73" s="314">
        <f>IF($BI73&lt;&gt;"",IF('Capacity summary'!$D$14="Yes",IF(COUNTBLANK('Capacity summary'!$H192:$BG192)&lt;52,IF('Capacity summary'!J192&lt;&gt;"",IF(LOWER('Capacity summary'!J192)="x",$BI73*J73,VALUE('Capacity summary'!J192)),0),J73*$BI73),J73*$BI73),0)</f>
        <v>0</v>
      </c>
      <c r="BN73" s="314">
        <f>IF($BI73&lt;&gt;"",IF('Capacity summary'!$D$14="Yes",IF(COUNTBLANK('Capacity summary'!$H192:$BG192)&lt;52,IF('Capacity summary'!K192&lt;&gt;"",IF(LOWER('Capacity summary'!K192)="x",$BI73*K73,VALUE('Capacity summary'!K192)),0),K73*$BI73),K73*$BI73),0)</f>
        <v>0</v>
      </c>
      <c r="BO73" s="314">
        <f>IF($BI73&lt;&gt;"",IF('Capacity summary'!$D$14="Yes",IF(COUNTBLANK('Capacity summary'!$H192:$BG192)&lt;52,IF('Capacity summary'!L192&lt;&gt;"",IF(LOWER('Capacity summary'!L192)="x",$BI73*L73,VALUE('Capacity summary'!L192)),0),L73*$BI73),L73*$BI73),0)</f>
        <v>0</v>
      </c>
      <c r="BP73" s="314">
        <f>IF($BI73&lt;&gt;"",IF('Capacity summary'!$D$14="Yes",IF(COUNTBLANK('Capacity summary'!$H192:$BG192)&lt;52,IF('Capacity summary'!M192&lt;&gt;"",IF(LOWER('Capacity summary'!M192)="x",$BI73*M73,VALUE('Capacity summary'!M192)),0),M73*$BI73),M73*$BI73),0)</f>
        <v>0</v>
      </c>
      <c r="BQ73" s="314">
        <f>IF($BI73&lt;&gt;"",IF('Capacity summary'!$D$14="Yes",IF(COUNTBLANK('Capacity summary'!$H192:$BG192)&lt;52,IF('Capacity summary'!N192&lt;&gt;"",IF(LOWER('Capacity summary'!N192)="x",$BI73*N73,VALUE('Capacity summary'!N192)),0),N73*$BI73),N73*$BI73),0)</f>
        <v>0</v>
      </c>
      <c r="BR73" s="314">
        <f>IF($BI73&lt;&gt;"",IF('Capacity summary'!$D$14="Yes",IF(COUNTBLANK('Capacity summary'!$H192:$BG192)&lt;52,IF('Capacity summary'!O192&lt;&gt;"",IF(LOWER('Capacity summary'!O192)="x",$BI73*O73,VALUE('Capacity summary'!O192)),0),O73*$BI73),O73*$BI73),0)</f>
        <v>0</v>
      </c>
      <c r="BS73" s="314">
        <f>IF($BI73&lt;&gt;"",IF('Capacity summary'!$D$14="Yes",IF(COUNTBLANK('Capacity summary'!$H192:$BG192)&lt;52,IF('Capacity summary'!P192&lt;&gt;"",IF(LOWER('Capacity summary'!P192)="x",$BI73*P73,VALUE('Capacity summary'!P192)),0),P73*$BI73),P73*$BI73),0)</f>
        <v>0</v>
      </c>
      <c r="BT73" s="314">
        <f>IF($BI73&lt;&gt;"",IF('Capacity summary'!$D$14="Yes",IF(COUNTBLANK('Capacity summary'!$H192:$BG192)&lt;52,IF('Capacity summary'!Q192&lt;&gt;"",IF(LOWER('Capacity summary'!Q192)="x",$BI73*Q73,VALUE('Capacity summary'!Q192)),0),Q73*$BI73),Q73*$BI73),0)</f>
        <v>0</v>
      </c>
      <c r="BU73" s="314">
        <f>IF($BI73&lt;&gt;"",IF('Capacity summary'!$D$14="Yes",IF(COUNTBLANK('Capacity summary'!$H192:$BG192)&lt;52,IF('Capacity summary'!R192&lt;&gt;"",IF(LOWER('Capacity summary'!R192)="x",$BI73*R73,VALUE('Capacity summary'!R192)),0),R73*$BI73),R73*$BI73),0)</f>
        <v>0</v>
      </c>
      <c r="BV73" s="314">
        <f>IF($BI73&lt;&gt;"",IF('Capacity summary'!$D$14="Yes",IF(COUNTBLANK('Capacity summary'!$H192:$BG192)&lt;52,IF('Capacity summary'!S192&lt;&gt;"",IF(LOWER('Capacity summary'!S192)="x",$BI73*S73,VALUE('Capacity summary'!S192)),0),S73*$BI73),S73*$BI73),0)</f>
        <v>0</v>
      </c>
      <c r="BW73" s="314">
        <f>IF($BI73&lt;&gt;"",IF('Capacity summary'!$D$14="Yes",IF(COUNTBLANK('Capacity summary'!$H192:$BG192)&lt;52,IF('Capacity summary'!T192&lt;&gt;"",IF(LOWER('Capacity summary'!T192)="x",$BI73*T73,VALUE('Capacity summary'!T192)),0),T73*$BI73),T73*$BI73),0)</f>
        <v>0</v>
      </c>
      <c r="BX73" s="314">
        <f>IF($BI73&lt;&gt;"",IF('Capacity summary'!$D$14="Yes",IF(COUNTBLANK('Capacity summary'!$H192:$BG192)&lt;52,IF('Capacity summary'!U192&lt;&gt;"",IF(LOWER('Capacity summary'!U192)="x",$BI73*U73,VALUE('Capacity summary'!U192)),0),U73*$BI73),U73*$BI73),0)</f>
        <v>0</v>
      </c>
      <c r="BY73" s="314">
        <f>IF($BI73&lt;&gt;"",IF('Capacity summary'!$D$14="Yes",IF(COUNTBLANK('Capacity summary'!$H192:$BG192)&lt;52,IF('Capacity summary'!V192&lt;&gt;"",IF(LOWER('Capacity summary'!V192)="x",$BI73*V73,VALUE('Capacity summary'!V192)),0),V73*$BI73),V73*$BI73),0)</f>
        <v>0</v>
      </c>
      <c r="BZ73" s="314">
        <f>IF($BI73&lt;&gt;"",IF('Capacity summary'!$D$14="Yes",IF(COUNTBLANK('Capacity summary'!$H192:$BG192)&lt;52,IF('Capacity summary'!W192&lt;&gt;"",IF(LOWER('Capacity summary'!W192)="x",$BI73*W73,VALUE('Capacity summary'!W192)),0),W73*$BI73),W73*$BI73),0)</f>
        <v>0</v>
      </c>
      <c r="CA73" s="314">
        <f>IF($BI73&lt;&gt;"",IF('Capacity summary'!$D$14="Yes",IF(COUNTBLANK('Capacity summary'!$H192:$BG192)&lt;52,IF('Capacity summary'!X192&lt;&gt;"",IF(LOWER('Capacity summary'!X192)="x",$BI73*X73,VALUE('Capacity summary'!X192)),0),X73*$BI73),X73*$BI73),0)</f>
        <v>0</v>
      </c>
      <c r="CB73" s="314">
        <f>IF($BI73&lt;&gt;"",IF('Capacity summary'!$D$14="Yes",IF(COUNTBLANK('Capacity summary'!$H192:$BG192)&lt;52,IF('Capacity summary'!Y192&lt;&gt;"",IF(LOWER('Capacity summary'!Y192)="x",$BI73*Y73,VALUE('Capacity summary'!Y192)),0),Y73*$BI73),Y73*$BI73),0)</f>
        <v>0</v>
      </c>
      <c r="CC73" s="314">
        <f>IF($BI73&lt;&gt;"",IF('Capacity summary'!$D$14="Yes",IF(COUNTBLANK('Capacity summary'!$H192:$BG192)&lt;52,IF('Capacity summary'!Z192&lt;&gt;"",IF(LOWER('Capacity summary'!Z192)="x",$BI73*Z73,VALUE('Capacity summary'!Z192)),0),Z73*$BI73),Z73*$BI73),0)</f>
        <v>0</v>
      </c>
      <c r="CD73" s="314">
        <f>IF($BI73&lt;&gt;"",IF('Capacity summary'!$D$14="Yes",IF(COUNTBLANK('Capacity summary'!$H192:$BG192)&lt;52,IF('Capacity summary'!AA192&lt;&gt;"",IF(LOWER('Capacity summary'!AA192)="x",$BI73*AA73,VALUE('Capacity summary'!AA192)),0),AA73*$BI73),AA73*$BI73),0)</f>
        <v>0</v>
      </c>
      <c r="CE73" s="314">
        <f>IF($BI73&lt;&gt;"",IF('Capacity summary'!$D$14="Yes",IF(COUNTBLANK('Capacity summary'!$H192:$BG192)&lt;52,IF('Capacity summary'!AB192&lt;&gt;"",IF(LOWER('Capacity summary'!AB192)="x",$BI73*AB73,VALUE('Capacity summary'!AB192)),0),AB73*$BI73),AB73*$BI73),0)</f>
        <v>0</v>
      </c>
      <c r="CF73" s="314">
        <f>IF($BI73&lt;&gt;"",IF('Capacity summary'!$D$14="Yes",IF(COUNTBLANK('Capacity summary'!$H192:$BG192)&lt;52,IF('Capacity summary'!AC192&lt;&gt;"",IF(LOWER('Capacity summary'!AC192)="x",$BI73*AC73,VALUE('Capacity summary'!AC192)),0),AC73*$BI73),AC73*$BI73),0)</f>
        <v>0</v>
      </c>
      <c r="CG73" s="314">
        <f>IF($BI73&lt;&gt;"",IF('Capacity summary'!$D$14="Yes",IF(COUNTBLANK('Capacity summary'!$H192:$BG192)&lt;52,IF('Capacity summary'!AD192&lt;&gt;"",IF(LOWER('Capacity summary'!AD192)="x",$BI73*AD73,VALUE('Capacity summary'!AD192)),0),AD73*$BI73),AD73*$BI73),0)</f>
        <v>0</v>
      </c>
      <c r="CH73" s="314">
        <f>IF($BI73&lt;&gt;"",IF('Capacity summary'!$D$14="Yes",IF(COUNTBLANK('Capacity summary'!$H192:$BG192)&lt;52,IF('Capacity summary'!AE192&lt;&gt;"",IF(LOWER('Capacity summary'!AE192)="x",$BI73*AE73,VALUE('Capacity summary'!AE192)),0),AE73*$BI73),AE73*$BI73),0)</f>
        <v>0</v>
      </c>
      <c r="CI73" s="314">
        <f>IF($BI73&lt;&gt;"",IF('Capacity summary'!$D$14="Yes",IF(COUNTBLANK('Capacity summary'!$H192:$BG192)&lt;52,IF('Capacity summary'!AF192&lt;&gt;"",IF(LOWER('Capacity summary'!AF192)="x",$BI73*AF73,VALUE('Capacity summary'!AF192)),0),AF73*$BI73),AF73*$BI73),0)</f>
        <v>0</v>
      </c>
      <c r="CJ73" s="314">
        <f>IF($BI73&lt;&gt;"",IF('Capacity summary'!$D$14="Yes",IF(COUNTBLANK('Capacity summary'!$H192:$BG192)&lt;52,IF('Capacity summary'!AG192&lt;&gt;"",IF(LOWER('Capacity summary'!AG192)="x",$BI73*AG73,VALUE('Capacity summary'!AG192)),0),AG73*$BI73),AG73*$BI73),0)</f>
        <v>0</v>
      </c>
      <c r="CK73" s="314">
        <f>IF($BI73&lt;&gt;"",IF('Capacity summary'!$D$14="Yes",IF(COUNTBLANK('Capacity summary'!$H192:$BG192)&lt;52,IF('Capacity summary'!AH192&lt;&gt;"",IF(LOWER('Capacity summary'!AH192)="x",$BI73*AH73,VALUE('Capacity summary'!AH192)),0),AH73*$BI73),AH73*$BI73),0)</f>
        <v>0</v>
      </c>
      <c r="CL73" s="314">
        <f>IF($BI73&lt;&gt;"",IF('Capacity summary'!$D$14="Yes",IF(COUNTBLANK('Capacity summary'!$H192:$BG192)&lt;52,IF('Capacity summary'!AI192&lt;&gt;"",IF(LOWER('Capacity summary'!AI192)="x",$BI73*AI73,VALUE('Capacity summary'!AI192)),0),AI73*$BI73),AI73*$BI73),0)</f>
        <v>0</v>
      </c>
      <c r="CM73" s="314">
        <f>IF($BI73&lt;&gt;"",IF('Capacity summary'!$D$14="Yes",IF(COUNTBLANK('Capacity summary'!$H192:$BG192)&lt;52,IF('Capacity summary'!AJ192&lt;&gt;"",IF(LOWER('Capacity summary'!AJ192)="x",$BI73*AJ73,VALUE('Capacity summary'!AJ192)),0),AJ73*$BI73),AJ73*$BI73),0)</f>
        <v>0</v>
      </c>
      <c r="CN73" s="314">
        <f>IF($BI73&lt;&gt;"",IF('Capacity summary'!$D$14="Yes",IF(COUNTBLANK('Capacity summary'!$H192:$BG192)&lt;52,IF('Capacity summary'!AK192&lt;&gt;"",IF(LOWER('Capacity summary'!AK192)="x",$BI73*AK73,VALUE('Capacity summary'!AK192)),0),AK73*$BI73),AK73*$BI73),0)</f>
        <v>0</v>
      </c>
      <c r="CO73" s="314">
        <f>IF($BI73&lt;&gt;"",IF('Capacity summary'!$D$14="Yes",IF(COUNTBLANK('Capacity summary'!$H192:$BG192)&lt;52,IF('Capacity summary'!AL192&lt;&gt;"",IF(LOWER('Capacity summary'!AL192)="x",$BI73*AL73,VALUE('Capacity summary'!AL192)),0),AL73*$BI73),AL73*$BI73),0)</f>
        <v>0</v>
      </c>
      <c r="CP73" s="314">
        <f>IF($BI73&lt;&gt;"",IF('Capacity summary'!$D$14="Yes",IF(COUNTBLANK('Capacity summary'!$H192:$BG192)&lt;52,IF('Capacity summary'!AM192&lt;&gt;"",IF(LOWER('Capacity summary'!AM192)="x",$BI73*AM73,VALUE('Capacity summary'!AM192)),0),AM73*$BI73),AM73*$BI73),0)</f>
        <v>0</v>
      </c>
      <c r="CQ73" s="314">
        <f>IF($BI73&lt;&gt;"",IF('Capacity summary'!$D$14="Yes",IF(COUNTBLANK('Capacity summary'!$H192:$BG192)&lt;52,IF('Capacity summary'!AN192&lt;&gt;"",IF(LOWER('Capacity summary'!AN192)="x",$BI73*AN73,VALUE('Capacity summary'!AN192)),0),AN73*$BI73),AN73*$BI73),0)</f>
        <v>0</v>
      </c>
      <c r="CR73" s="314">
        <f>IF($BI73&lt;&gt;"",IF('Capacity summary'!$D$14="Yes",IF(COUNTBLANK('Capacity summary'!$H192:$BG192)&lt;52,IF('Capacity summary'!AO192&lt;&gt;"",IF(LOWER('Capacity summary'!AO192)="x",$BI73*AO73,VALUE('Capacity summary'!AO192)),0),AO73*$BI73),AO73*$BI73),0)</f>
        <v>0</v>
      </c>
      <c r="CS73" s="314">
        <f>IF($BI73&lt;&gt;"",IF('Capacity summary'!$D$14="Yes",IF(COUNTBLANK('Capacity summary'!$H192:$BG192)&lt;52,IF('Capacity summary'!AP192&lt;&gt;"",IF(LOWER('Capacity summary'!AP192)="x",$BI73*AP73,VALUE('Capacity summary'!AP192)),0),AP73*$BI73),AP73*$BI73),0)</f>
        <v>0</v>
      </c>
      <c r="CT73" s="314">
        <f>IF($BI73&lt;&gt;"",IF('Capacity summary'!$D$14="Yes",IF(COUNTBLANK('Capacity summary'!$H192:$BG192)&lt;52,IF('Capacity summary'!AQ192&lt;&gt;"",IF(LOWER('Capacity summary'!AQ192)="x",$BI73*AQ73,VALUE('Capacity summary'!AQ192)),0),AQ73*$BI73),AQ73*$BI73),0)</f>
        <v>0</v>
      </c>
      <c r="CU73" s="314">
        <f>IF($BI73&lt;&gt;"",IF('Capacity summary'!$D$14="Yes",IF(COUNTBLANK('Capacity summary'!$H192:$BG192)&lt;52,IF('Capacity summary'!AR192&lt;&gt;"",IF(LOWER('Capacity summary'!AR192)="x",$BI73*AR73,VALUE('Capacity summary'!AR192)),0),AR73*$BI73),AR73*$BI73),0)</f>
        <v>0</v>
      </c>
      <c r="CV73" s="314">
        <f>IF($BI73&lt;&gt;"",IF('Capacity summary'!$D$14="Yes",IF(COUNTBLANK('Capacity summary'!$H192:$BG192)&lt;52,IF('Capacity summary'!AS192&lt;&gt;"",IF(LOWER('Capacity summary'!AS192)="x",$BI73*AS73,VALUE('Capacity summary'!AS192)),0),AS73*$BI73),AS73*$BI73),0)</f>
        <v>0</v>
      </c>
      <c r="CW73" s="314">
        <f>IF($BI73&lt;&gt;"",IF('Capacity summary'!$D$14="Yes",IF(COUNTBLANK('Capacity summary'!$H192:$BG192)&lt;52,IF('Capacity summary'!AT192&lt;&gt;"",IF(LOWER('Capacity summary'!AT192)="x",$BI73*AT73,VALUE('Capacity summary'!AT192)),0),AT73*$BI73),AT73*$BI73),0)</f>
        <v>0</v>
      </c>
      <c r="CX73" s="314">
        <f>IF($BI73&lt;&gt;"",IF('Capacity summary'!$D$14="Yes",IF(COUNTBLANK('Capacity summary'!$H192:$BG192)&lt;52,IF('Capacity summary'!AU192&lt;&gt;"",IF(LOWER('Capacity summary'!AU192)="x",$BI73*AU73,VALUE('Capacity summary'!AU192)),0),AU73*$BI73),AU73*$BI73),0)</f>
        <v>0</v>
      </c>
      <c r="CY73" s="314">
        <f>IF($BI73&lt;&gt;"",IF('Capacity summary'!$D$14="Yes",IF(COUNTBLANK('Capacity summary'!$H192:$BG192)&lt;52,IF('Capacity summary'!AV192&lt;&gt;"",IF(LOWER('Capacity summary'!AV192)="x",$BI73*AV73,VALUE('Capacity summary'!AV192)),0),AV73*$BI73),AV73*$BI73),0)</f>
        <v>0</v>
      </c>
      <c r="CZ73" s="314">
        <f>IF($BI73&lt;&gt;"",IF('Capacity summary'!$D$14="Yes",IF(COUNTBLANK('Capacity summary'!$H192:$BG192)&lt;52,IF('Capacity summary'!AW192&lt;&gt;"",IF(LOWER('Capacity summary'!AW192)="x",$BI73*AW73,VALUE('Capacity summary'!AW192)),0),AW73*$BI73),AW73*$BI73),0)</f>
        <v>0</v>
      </c>
      <c r="DA73" s="314">
        <f>IF($BI73&lt;&gt;"",IF('Capacity summary'!$D$14="Yes",IF(COUNTBLANK('Capacity summary'!$H192:$BG192)&lt;52,IF('Capacity summary'!AX192&lt;&gt;"",IF(LOWER('Capacity summary'!AX192)="x",$BI73*AX73,VALUE('Capacity summary'!AX192)),0),AX73*$BI73),AX73*$BI73),0)</f>
        <v>0</v>
      </c>
      <c r="DB73" s="314">
        <f>IF($BI73&lt;&gt;"",IF('Capacity summary'!$D$14="Yes",IF(COUNTBLANK('Capacity summary'!$H192:$BG192)&lt;52,IF('Capacity summary'!AY192&lt;&gt;"",IF(LOWER('Capacity summary'!AY192)="x",$BI73*AY73,VALUE('Capacity summary'!AY192)),0),AY73*$BI73),AY73*$BI73),0)</f>
        <v>0</v>
      </c>
      <c r="DC73" s="314">
        <f>IF($BI73&lt;&gt;"",IF('Capacity summary'!$D$14="Yes",IF(COUNTBLANK('Capacity summary'!$H192:$BG192)&lt;52,IF('Capacity summary'!AZ192&lt;&gt;"",IF(LOWER('Capacity summary'!AZ192)="x",$BI73*AZ73,VALUE('Capacity summary'!AZ192)),0),AZ73*$BI73),AZ73*$BI73),0)</f>
        <v>0</v>
      </c>
      <c r="DD73" s="314">
        <f>IF($BI73&lt;&gt;"",IF('Capacity summary'!$D$14="Yes",IF(COUNTBLANK('Capacity summary'!$H192:$BG192)&lt;52,IF('Capacity summary'!BA192&lt;&gt;"",IF(LOWER('Capacity summary'!BA192)="x",$BI73*BA73,VALUE('Capacity summary'!BA192)),0),BA73*$BI73),BA73*$BI73),0)</f>
        <v>0</v>
      </c>
      <c r="DE73" s="314">
        <f>IF($BI73&lt;&gt;"",IF('Capacity summary'!$D$14="Yes",IF(COUNTBLANK('Capacity summary'!$H192:$BG192)&lt;52,IF('Capacity summary'!BB192&lt;&gt;"",IF(LOWER('Capacity summary'!BB192)="x",$BI73*BB73,VALUE('Capacity summary'!BB192)),0),BB73*$BI73),BB73*$BI73),0)</f>
        <v>0</v>
      </c>
      <c r="DF73" s="314">
        <f>IF($BI73&lt;&gt;"",IF('Capacity summary'!$D$14="Yes",IF(COUNTBLANK('Capacity summary'!$H192:$BG192)&lt;52,IF('Capacity summary'!BC192&lt;&gt;"",IF(LOWER('Capacity summary'!BC192)="x",$BI73*BC73,VALUE('Capacity summary'!BC192)),0),BC73*$BI73),BC73*$BI73),0)</f>
        <v>0</v>
      </c>
      <c r="DG73" s="314">
        <f>IF($BI73&lt;&gt;"",IF('Capacity summary'!$D$14="Yes",IF(COUNTBLANK('Capacity summary'!$H192:$BG192)&lt;52,IF('Capacity summary'!BD192&lt;&gt;"",IF(LOWER('Capacity summary'!BD192)="x",$BI73*BD73,VALUE('Capacity summary'!BD192)),0),BD73*$BI73),BD73*$BI73),0)</f>
        <v>0</v>
      </c>
      <c r="DH73" s="314">
        <f>IF($BI73&lt;&gt;"",IF('Capacity summary'!$D$14="Yes",IF(COUNTBLANK('Capacity summary'!$H192:$BG192)&lt;52,IF('Capacity summary'!BE192&lt;&gt;"",IF(LOWER('Capacity summary'!BE192)="x",$BI73*BE73,VALUE('Capacity summary'!BE192)),0),BE73*$BI73),BE73*$BI73),0)</f>
        <v>0</v>
      </c>
      <c r="DI73" s="314">
        <f>IF($BI73&lt;&gt;"",IF('Capacity summary'!$D$14="Yes",IF(COUNTBLANK('Capacity summary'!$H192:$BG192)&lt;52,IF('Capacity summary'!BF192&lt;&gt;"",IF(LOWER('Capacity summary'!BF192)="x",$BI73*BF73,VALUE('Capacity summary'!BF192)),0),BF73*$BI73),BF73*$BI73),0)</f>
        <v>0</v>
      </c>
      <c r="DJ73" s="314">
        <f>IF($BI73&lt;&gt;"",IF('Capacity summary'!$D$14="Yes",IF(COUNTBLANK('Capacity summary'!$H192:$BG192)&lt;52,IF('Capacity summary'!BG192&lt;&gt;"",IF(LOWER('Capacity summary'!BG192)="x",$BI73*BG73,VALUE('Capacity summary'!BG192)),0),BG73*$BI73),BG73*$BI73),0)</f>
        <v>0</v>
      </c>
      <c r="DK73" s="137">
        <f t="shared" si="3"/>
        <v>0</v>
      </c>
      <c r="DL73" s="314"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4">
        <f>IF($BI74&lt;&gt;"",IF('Capacity summary'!$D$14="Yes",IF(COUNTBLANK('Capacity summary'!$H193:$BG193)&lt;52,IF('Capacity summary'!H193&lt;&gt;"",IF(LOWER('Capacity summary'!H193)="x",$BI74*H74,VALUE('Capacity summary'!H193)),0),H74*$BI74),H74*$BI74),0)</f>
        <v>0</v>
      </c>
      <c r="BL74" s="314">
        <f>IF($BI74&lt;&gt;"",IF('Capacity summary'!$D$14="Yes",IF(COUNTBLANK('Capacity summary'!$H193:$BG193)&lt;52,IF('Capacity summary'!I193&lt;&gt;"",IF(LOWER('Capacity summary'!I193)="x",$BI74*I74,VALUE('Capacity summary'!I193)),0),I74*$BI74),I74*$BI74),0)</f>
        <v>0</v>
      </c>
      <c r="BM74" s="314">
        <f>IF($BI74&lt;&gt;"",IF('Capacity summary'!$D$14="Yes",IF(COUNTBLANK('Capacity summary'!$H193:$BG193)&lt;52,IF('Capacity summary'!J193&lt;&gt;"",IF(LOWER('Capacity summary'!J193)="x",$BI74*J74,VALUE('Capacity summary'!J193)),0),J74*$BI74),J74*$BI74),0)</f>
        <v>0</v>
      </c>
      <c r="BN74" s="314">
        <f>IF($BI74&lt;&gt;"",IF('Capacity summary'!$D$14="Yes",IF(COUNTBLANK('Capacity summary'!$H193:$BG193)&lt;52,IF('Capacity summary'!K193&lt;&gt;"",IF(LOWER('Capacity summary'!K193)="x",$BI74*K74,VALUE('Capacity summary'!K193)),0),K74*$BI74),K74*$BI74),0)</f>
        <v>0</v>
      </c>
      <c r="BO74" s="314">
        <f>IF($BI74&lt;&gt;"",IF('Capacity summary'!$D$14="Yes",IF(COUNTBLANK('Capacity summary'!$H193:$BG193)&lt;52,IF('Capacity summary'!L193&lt;&gt;"",IF(LOWER('Capacity summary'!L193)="x",$BI74*L74,VALUE('Capacity summary'!L193)),0),L74*$BI74),L74*$BI74),0)</f>
        <v>0</v>
      </c>
      <c r="BP74" s="314">
        <f>IF($BI74&lt;&gt;"",IF('Capacity summary'!$D$14="Yes",IF(COUNTBLANK('Capacity summary'!$H193:$BG193)&lt;52,IF('Capacity summary'!M193&lt;&gt;"",IF(LOWER('Capacity summary'!M193)="x",$BI74*M74,VALUE('Capacity summary'!M193)),0),M74*$BI74),M74*$BI74),0)</f>
        <v>0</v>
      </c>
      <c r="BQ74" s="314">
        <f>IF($BI74&lt;&gt;"",IF('Capacity summary'!$D$14="Yes",IF(COUNTBLANK('Capacity summary'!$H193:$BG193)&lt;52,IF('Capacity summary'!N193&lt;&gt;"",IF(LOWER('Capacity summary'!N193)="x",$BI74*N74,VALUE('Capacity summary'!N193)),0),N74*$BI74),N74*$BI74),0)</f>
        <v>0</v>
      </c>
      <c r="BR74" s="314">
        <f>IF($BI74&lt;&gt;"",IF('Capacity summary'!$D$14="Yes",IF(COUNTBLANK('Capacity summary'!$H193:$BG193)&lt;52,IF('Capacity summary'!O193&lt;&gt;"",IF(LOWER('Capacity summary'!O193)="x",$BI74*O74,VALUE('Capacity summary'!O193)),0),O74*$BI74),O74*$BI74),0)</f>
        <v>0</v>
      </c>
      <c r="BS74" s="314">
        <f>IF($BI74&lt;&gt;"",IF('Capacity summary'!$D$14="Yes",IF(COUNTBLANK('Capacity summary'!$H193:$BG193)&lt;52,IF('Capacity summary'!P193&lt;&gt;"",IF(LOWER('Capacity summary'!P193)="x",$BI74*P74,VALUE('Capacity summary'!P193)),0),P74*$BI74),P74*$BI74),0)</f>
        <v>0</v>
      </c>
      <c r="BT74" s="314">
        <f>IF($BI74&lt;&gt;"",IF('Capacity summary'!$D$14="Yes",IF(COUNTBLANK('Capacity summary'!$H193:$BG193)&lt;52,IF('Capacity summary'!Q193&lt;&gt;"",IF(LOWER('Capacity summary'!Q193)="x",$BI74*Q74,VALUE('Capacity summary'!Q193)),0),Q74*$BI74),Q74*$BI74),0)</f>
        <v>0</v>
      </c>
      <c r="BU74" s="314">
        <f>IF($BI74&lt;&gt;"",IF('Capacity summary'!$D$14="Yes",IF(COUNTBLANK('Capacity summary'!$H193:$BG193)&lt;52,IF('Capacity summary'!R193&lt;&gt;"",IF(LOWER('Capacity summary'!R193)="x",$BI74*R74,VALUE('Capacity summary'!R193)),0),R74*$BI74),R74*$BI74),0)</f>
        <v>0</v>
      </c>
      <c r="BV74" s="314">
        <f>IF($BI74&lt;&gt;"",IF('Capacity summary'!$D$14="Yes",IF(COUNTBLANK('Capacity summary'!$H193:$BG193)&lt;52,IF('Capacity summary'!S193&lt;&gt;"",IF(LOWER('Capacity summary'!S193)="x",$BI74*S74,VALUE('Capacity summary'!S193)),0),S74*$BI74),S74*$BI74),0)</f>
        <v>0</v>
      </c>
      <c r="BW74" s="314">
        <f>IF($BI74&lt;&gt;"",IF('Capacity summary'!$D$14="Yes",IF(COUNTBLANK('Capacity summary'!$H193:$BG193)&lt;52,IF('Capacity summary'!T193&lt;&gt;"",IF(LOWER('Capacity summary'!T193)="x",$BI74*T74,VALUE('Capacity summary'!T193)),0),T74*$BI74),T74*$BI74),0)</f>
        <v>0</v>
      </c>
      <c r="BX74" s="314">
        <f>IF($BI74&lt;&gt;"",IF('Capacity summary'!$D$14="Yes",IF(COUNTBLANK('Capacity summary'!$H193:$BG193)&lt;52,IF('Capacity summary'!U193&lt;&gt;"",IF(LOWER('Capacity summary'!U193)="x",$BI74*U74,VALUE('Capacity summary'!U193)),0),U74*$BI74),U74*$BI74),0)</f>
        <v>0</v>
      </c>
      <c r="BY74" s="314">
        <f>IF($BI74&lt;&gt;"",IF('Capacity summary'!$D$14="Yes",IF(COUNTBLANK('Capacity summary'!$H193:$BG193)&lt;52,IF('Capacity summary'!V193&lt;&gt;"",IF(LOWER('Capacity summary'!V193)="x",$BI74*V74,VALUE('Capacity summary'!V193)),0),V74*$BI74),V74*$BI74),0)</f>
        <v>0</v>
      </c>
      <c r="BZ74" s="314">
        <f>IF($BI74&lt;&gt;"",IF('Capacity summary'!$D$14="Yes",IF(COUNTBLANK('Capacity summary'!$H193:$BG193)&lt;52,IF('Capacity summary'!W193&lt;&gt;"",IF(LOWER('Capacity summary'!W193)="x",$BI74*W74,VALUE('Capacity summary'!W193)),0),W74*$BI74),W74*$BI74),0)</f>
        <v>0</v>
      </c>
      <c r="CA74" s="314">
        <f>IF($BI74&lt;&gt;"",IF('Capacity summary'!$D$14="Yes",IF(COUNTBLANK('Capacity summary'!$H193:$BG193)&lt;52,IF('Capacity summary'!X193&lt;&gt;"",IF(LOWER('Capacity summary'!X193)="x",$BI74*X74,VALUE('Capacity summary'!X193)),0),X74*$BI74),X74*$BI74),0)</f>
        <v>0</v>
      </c>
      <c r="CB74" s="314">
        <f>IF($BI74&lt;&gt;"",IF('Capacity summary'!$D$14="Yes",IF(COUNTBLANK('Capacity summary'!$H193:$BG193)&lt;52,IF('Capacity summary'!Y193&lt;&gt;"",IF(LOWER('Capacity summary'!Y193)="x",$BI74*Y74,VALUE('Capacity summary'!Y193)),0),Y74*$BI74),Y74*$BI74),0)</f>
        <v>0</v>
      </c>
      <c r="CC74" s="314">
        <f>IF($BI74&lt;&gt;"",IF('Capacity summary'!$D$14="Yes",IF(COUNTBLANK('Capacity summary'!$H193:$BG193)&lt;52,IF('Capacity summary'!Z193&lt;&gt;"",IF(LOWER('Capacity summary'!Z193)="x",$BI74*Z74,VALUE('Capacity summary'!Z193)),0),Z74*$BI74),Z74*$BI74),0)</f>
        <v>0</v>
      </c>
      <c r="CD74" s="314">
        <f>IF($BI74&lt;&gt;"",IF('Capacity summary'!$D$14="Yes",IF(COUNTBLANK('Capacity summary'!$H193:$BG193)&lt;52,IF('Capacity summary'!AA193&lt;&gt;"",IF(LOWER('Capacity summary'!AA193)="x",$BI74*AA74,VALUE('Capacity summary'!AA193)),0),AA74*$BI74),AA74*$BI74),0)</f>
        <v>0</v>
      </c>
      <c r="CE74" s="314">
        <f>IF($BI74&lt;&gt;"",IF('Capacity summary'!$D$14="Yes",IF(COUNTBLANK('Capacity summary'!$H193:$BG193)&lt;52,IF('Capacity summary'!AB193&lt;&gt;"",IF(LOWER('Capacity summary'!AB193)="x",$BI74*AB74,VALUE('Capacity summary'!AB193)),0),AB74*$BI74),AB74*$BI74),0)</f>
        <v>0</v>
      </c>
      <c r="CF74" s="314">
        <f>IF($BI74&lt;&gt;"",IF('Capacity summary'!$D$14="Yes",IF(COUNTBLANK('Capacity summary'!$H193:$BG193)&lt;52,IF('Capacity summary'!AC193&lt;&gt;"",IF(LOWER('Capacity summary'!AC193)="x",$BI74*AC74,VALUE('Capacity summary'!AC193)),0),AC74*$BI74),AC74*$BI74),0)</f>
        <v>0</v>
      </c>
      <c r="CG74" s="314">
        <f>IF($BI74&lt;&gt;"",IF('Capacity summary'!$D$14="Yes",IF(COUNTBLANK('Capacity summary'!$H193:$BG193)&lt;52,IF('Capacity summary'!AD193&lt;&gt;"",IF(LOWER('Capacity summary'!AD193)="x",$BI74*AD74,VALUE('Capacity summary'!AD193)),0),AD74*$BI74),AD74*$BI74),0)</f>
        <v>0</v>
      </c>
      <c r="CH74" s="314">
        <f>IF($BI74&lt;&gt;"",IF('Capacity summary'!$D$14="Yes",IF(COUNTBLANK('Capacity summary'!$H193:$BG193)&lt;52,IF('Capacity summary'!AE193&lt;&gt;"",IF(LOWER('Capacity summary'!AE193)="x",$BI74*AE74,VALUE('Capacity summary'!AE193)),0),AE74*$BI74),AE74*$BI74),0)</f>
        <v>0</v>
      </c>
      <c r="CI74" s="314">
        <f>IF($BI74&lt;&gt;"",IF('Capacity summary'!$D$14="Yes",IF(COUNTBLANK('Capacity summary'!$H193:$BG193)&lt;52,IF('Capacity summary'!AF193&lt;&gt;"",IF(LOWER('Capacity summary'!AF193)="x",$BI74*AF74,VALUE('Capacity summary'!AF193)),0),AF74*$BI74),AF74*$BI74),0)</f>
        <v>0</v>
      </c>
      <c r="CJ74" s="314">
        <f>IF($BI74&lt;&gt;"",IF('Capacity summary'!$D$14="Yes",IF(COUNTBLANK('Capacity summary'!$H193:$BG193)&lt;52,IF('Capacity summary'!AG193&lt;&gt;"",IF(LOWER('Capacity summary'!AG193)="x",$BI74*AG74,VALUE('Capacity summary'!AG193)),0),AG74*$BI74),AG74*$BI74),0)</f>
        <v>0</v>
      </c>
      <c r="CK74" s="314">
        <f>IF($BI74&lt;&gt;"",IF('Capacity summary'!$D$14="Yes",IF(COUNTBLANK('Capacity summary'!$H193:$BG193)&lt;52,IF('Capacity summary'!AH193&lt;&gt;"",IF(LOWER('Capacity summary'!AH193)="x",$BI74*AH74,VALUE('Capacity summary'!AH193)),0),AH74*$BI74),AH74*$BI74),0)</f>
        <v>0</v>
      </c>
      <c r="CL74" s="314">
        <f>IF($BI74&lt;&gt;"",IF('Capacity summary'!$D$14="Yes",IF(COUNTBLANK('Capacity summary'!$H193:$BG193)&lt;52,IF('Capacity summary'!AI193&lt;&gt;"",IF(LOWER('Capacity summary'!AI193)="x",$BI74*AI74,VALUE('Capacity summary'!AI193)),0),AI74*$BI74),AI74*$BI74),0)</f>
        <v>0</v>
      </c>
      <c r="CM74" s="314">
        <f>IF($BI74&lt;&gt;"",IF('Capacity summary'!$D$14="Yes",IF(COUNTBLANK('Capacity summary'!$H193:$BG193)&lt;52,IF('Capacity summary'!AJ193&lt;&gt;"",IF(LOWER('Capacity summary'!AJ193)="x",$BI74*AJ74,VALUE('Capacity summary'!AJ193)),0),AJ74*$BI74),AJ74*$BI74),0)</f>
        <v>0</v>
      </c>
      <c r="CN74" s="314">
        <f>IF($BI74&lt;&gt;"",IF('Capacity summary'!$D$14="Yes",IF(COUNTBLANK('Capacity summary'!$H193:$BG193)&lt;52,IF('Capacity summary'!AK193&lt;&gt;"",IF(LOWER('Capacity summary'!AK193)="x",$BI74*AK74,VALUE('Capacity summary'!AK193)),0),AK74*$BI74),AK74*$BI74),0)</f>
        <v>0</v>
      </c>
      <c r="CO74" s="314">
        <f>IF($BI74&lt;&gt;"",IF('Capacity summary'!$D$14="Yes",IF(COUNTBLANK('Capacity summary'!$H193:$BG193)&lt;52,IF('Capacity summary'!AL193&lt;&gt;"",IF(LOWER('Capacity summary'!AL193)="x",$BI74*AL74,VALUE('Capacity summary'!AL193)),0),AL74*$BI74),AL74*$BI74),0)</f>
        <v>0</v>
      </c>
      <c r="CP74" s="314">
        <f>IF($BI74&lt;&gt;"",IF('Capacity summary'!$D$14="Yes",IF(COUNTBLANK('Capacity summary'!$H193:$BG193)&lt;52,IF('Capacity summary'!AM193&lt;&gt;"",IF(LOWER('Capacity summary'!AM193)="x",$BI74*AM74,VALUE('Capacity summary'!AM193)),0),AM74*$BI74),AM74*$BI74),0)</f>
        <v>0</v>
      </c>
      <c r="CQ74" s="314">
        <f>IF($BI74&lt;&gt;"",IF('Capacity summary'!$D$14="Yes",IF(COUNTBLANK('Capacity summary'!$H193:$BG193)&lt;52,IF('Capacity summary'!AN193&lt;&gt;"",IF(LOWER('Capacity summary'!AN193)="x",$BI74*AN74,VALUE('Capacity summary'!AN193)),0),AN74*$BI74),AN74*$BI74),0)</f>
        <v>0</v>
      </c>
      <c r="CR74" s="314">
        <f>IF($BI74&lt;&gt;"",IF('Capacity summary'!$D$14="Yes",IF(COUNTBLANK('Capacity summary'!$H193:$BG193)&lt;52,IF('Capacity summary'!AO193&lt;&gt;"",IF(LOWER('Capacity summary'!AO193)="x",$BI74*AO74,VALUE('Capacity summary'!AO193)),0),AO74*$BI74),AO74*$BI74),0)</f>
        <v>0</v>
      </c>
      <c r="CS74" s="314">
        <f>IF($BI74&lt;&gt;"",IF('Capacity summary'!$D$14="Yes",IF(COUNTBLANK('Capacity summary'!$H193:$BG193)&lt;52,IF('Capacity summary'!AP193&lt;&gt;"",IF(LOWER('Capacity summary'!AP193)="x",$BI74*AP74,VALUE('Capacity summary'!AP193)),0),AP74*$BI74),AP74*$BI74),0)</f>
        <v>0</v>
      </c>
      <c r="CT74" s="314">
        <f>IF($BI74&lt;&gt;"",IF('Capacity summary'!$D$14="Yes",IF(COUNTBLANK('Capacity summary'!$H193:$BG193)&lt;52,IF('Capacity summary'!AQ193&lt;&gt;"",IF(LOWER('Capacity summary'!AQ193)="x",$BI74*AQ74,VALUE('Capacity summary'!AQ193)),0),AQ74*$BI74),AQ74*$BI74),0)</f>
        <v>0</v>
      </c>
      <c r="CU74" s="314">
        <f>IF($BI74&lt;&gt;"",IF('Capacity summary'!$D$14="Yes",IF(COUNTBLANK('Capacity summary'!$H193:$BG193)&lt;52,IF('Capacity summary'!AR193&lt;&gt;"",IF(LOWER('Capacity summary'!AR193)="x",$BI74*AR74,VALUE('Capacity summary'!AR193)),0),AR74*$BI74),AR74*$BI74),0)</f>
        <v>0</v>
      </c>
      <c r="CV74" s="314">
        <f>IF($BI74&lt;&gt;"",IF('Capacity summary'!$D$14="Yes",IF(COUNTBLANK('Capacity summary'!$H193:$BG193)&lt;52,IF('Capacity summary'!AS193&lt;&gt;"",IF(LOWER('Capacity summary'!AS193)="x",$BI74*AS74,VALUE('Capacity summary'!AS193)),0),AS74*$BI74),AS74*$BI74),0)</f>
        <v>0</v>
      </c>
      <c r="CW74" s="314">
        <f>IF($BI74&lt;&gt;"",IF('Capacity summary'!$D$14="Yes",IF(COUNTBLANK('Capacity summary'!$H193:$BG193)&lt;52,IF('Capacity summary'!AT193&lt;&gt;"",IF(LOWER('Capacity summary'!AT193)="x",$BI74*AT74,VALUE('Capacity summary'!AT193)),0),AT74*$BI74),AT74*$BI74),0)</f>
        <v>0</v>
      </c>
      <c r="CX74" s="314">
        <f>IF($BI74&lt;&gt;"",IF('Capacity summary'!$D$14="Yes",IF(COUNTBLANK('Capacity summary'!$H193:$BG193)&lt;52,IF('Capacity summary'!AU193&lt;&gt;"",IF(LOWER('Capacity summary'!AU193)="x",$BI74*AU74,VALUE('Capacity summary'!AU193)),0),AU74*$BI74),AU74*$BI74),0)</f>
        <v>0</v>
      </c>
      <c r="CY74" s="314">
        <f>IF($BI74&lt;&gt;"",IF('Capacity summary'!$D$14="Yes",IF(COUNTBLANK('Capacity summary'!$H193:$BG193)&lt;52,IF('Capacity summary'!AV193&lt;&gt;"",IF(LOWER('Capacity summary'!AV193)="x",$BI74*AV74,VALUE('Capacity summary'!AV193)),0),AV74*$BI74),AV74*$BI74),0)</f>
        <v>0</v>
      </c>
      <c r="CZ74" s="314">
        <f>IF($BI74&lt;&gt;"",IF('Capacity summary'!$D$14="Yes",IF(COUNTBLANK('Capacity summary'!$H193:$BG193)&lt;52,IF('Capacity summary'!AW193&lt;&gt;"",IF(LOWER('Capacity summary'!AW193)="x",$BI74*AW74,VALUE('Capacity summary'!AW193)),0),AW74*$BI74),AW74*$BI74),0)</f>
        <v>0</v>
      </c>
      <c r="DA74" s="314">
        <f>IF($BI74&lt;&gt;"",IF('Capacity summary'!$D$14="Yes",IF(COUNTBLANK('Capacity summary'!$H193:$BG193)&lt;52,IF('Capacity summary'!AX193&lt;&gt;"",IF(LOWER('Capacity summary'!AX193)="x",$BI74*AX74,VALUE('Capacity summary'!AX193)),0),AX74*$BI74),AX74*$BI74),0)</f>
        <v>0</v>
      </c>
      <c r="DB74" s="314">
        <f>IF($BI74&lt;&gt;"",IF('Capacity summary'!$D$14="Yes",IF(COUNTBLANK('Capacity summary'!$H193:$BG193)&lt;52,IF('Capacity summary'!AY193&lt;&gt;"",IF(LOWER('Capacity summary'!AY193)="x",$BI74*AY74,VALUE('Capacity summary'!AY193)),0),AY74*$BI74),AY74*$BI74),0)</f>
        <v>0</v>
      </c>
      <c r="DC74" s="314">
        <f>IF($BI74&lt;&gt;"",IF('Capacity summary'!$D$14="Yes",IF(COUNTBLANK('Capacity summary'!$H193:$BG193)&lt;52,IF('Capacity summary'!AZ193&lt;&gt;"",IF(LOWER('Capacity summary'!AZ193)="x",$BI74*AZ74,VALUE('Capacity summary'!AZ193)),0),AZ74*$BI74),AZ74*$BI74),0)</f>
        <v>0</v>
      </c>
      <c r="DD74" s="314">
        <f>IF($BI74&lt;&gt;"",IF('Capacity summary'!$D$14="Yes",IF(COUNTBLANK('Capacity summary'!$H193:$BG193)&lt;52,IF('Capacity summary'!BA193&lt;&gt;"",IF(LOWER('Capacity summary'!BA193)="x",$BI74*BA74,VALUE('Capacity summary'!BA193)),0),BA74*$BI74),BA74*$BI74),0)</f>
        <v>0</v>
      </c>
      <c r="DE74" s="314">
        <f>IF($BI74&lt;&gt;"",IF('Capacity summary'!$D$14="Yes",IF(COUNTBLANK('Capacity summary'!$H193:$BG193)&lt;52,IF('Capacity summary'!BB193&lt;&gt;"",IF(LOWER('Capacity summary'!BB193)="x",$BI74*BB74,VALUE('Capacity summary'!BB193)),0),BB74*$BI74),BB74*$BI74),0)</f>
        <v>0</v>
      </c>
      <c r="DF74" s="314">
        <f>IF($BI74&lt;&gt;"",IF('Capacity summary'!$D$14="Yes",IF(COUNTBLANK('Capacity summary'!$H193:$BG193)&lt;52,IF('Capacity summary'!BC193&lt;&gt;"",IF(LOWER('Capacity summary'!BC193)="x",$BI74*BC74,VALUE('Capacity summary'!BC193)),0),BC74*$BI74),BC74*$BI74),0)</f>
        <v>0</v>
      </c>
      <c r="DG74" s="314">
        <f>IF($BI74&lt;&gt;"",IF('Capacity summary'!$D$14="Yes",IF(COUNTBLANK('Capacity summary'!$H193:$BG193)&lt;52,IF('Capacity summary'!BD193&lt;&gt;"",IF(LOWER('Capacity summary'!BD193)="x",$BI74*BD74,VALUE('Capacity summary'!BD193)),0),BD74*$BI74),BD74*$BI74),0)</f>
        <v>0</v>
      </c>
      <c r="DH74" s="314">
        <f>IF($BI74&lt;&gt;"",IF('Capacity summary'!$D$14="Yes",IF(COUNTBLANK('Capacity summary'!$H193:$BG193)&lt;52,IF('Capacity summary'!BE193&lt;&gt;"",IF(LOWER('Capacity summary'!BE193)="x",$BI74*BE74,VALUE('Capacity summary'!BE193)),0),BE74*$BI74),BE74*$BI74),0)</f>
        <v>0</v>
      </c>
      <c r="DI74" s="314">
        <f>IF($BI74&lt;&gt;"",IF('Capacity summary'!$D$14="Yes",IF(COUNTBLANK('Capacity summary'!$H193:$BG193)&lt;52,IF('Capacity summary'!BF193&lt;&gt;"",IF(LOWER('Capacity summary'!BF193)="x",$BI74*BF74,VALUE('Capacity summary'!BF193)),0),BF74*$BI74),BF74*$BI74),0)</f>
        <v>0</v>
      </c>
      <c r="DJ74" s="314">
        <f>IF($BI74&lt;&gt;"",IF('Capacity summary'!$D$14="Yes",IF(COUNTBLANK('Capacity summary'!$H193:$BG193)&lt;52,IF('Capacity summary'!BG193&lt;&gt;"",IF(LOWER('Capacity summary'!BG193)="x",$BI74*BG74,VALUE('Capacity summary'!BG193)),0),BG74*$BI74),BG74*$BI74),0)</f>
        <v>0</v>
      </c>
      <c r="DK74" s="137">
        <f t="shared" si="3"/>
        <v>0</v>
      </c>
      <c r="DL74" s="314"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4">
        <f>IF($BI75&lt;&gt;"",IF('Capacity summary'!$D$14="Yes",IF(COUNTBLANK('Capacity summary'!$H194:$BG194)&lt;52,IF('Capacity summary'!H194&lt;&gt;"",IF(LOWER('Capacity summary'!H194)="x",$BI75*H75,VALUE('Capacity summary'!H194)),0),H75*$BI75),H75*$BI75),0)</f>
        <v>0</v>
      </c>
      <c r="BL75" s="314">
        <f>IF($BI75&lt;&gt;"",IF('Capacity summary'!$D$14="Yes",IF(COUNTBLANK('Capacity summary'!$H194:$BG194)&lt;52,IF('Capacity summary'!I194&lt;&gt;"",IF(LOWER('Capacity summary'!I194)="x",$BI75*I75,VALUE('Capacity summary'!I194)),0),I75*$BI75),I75*$BI75),0)</f>
        <v>0</v>
      </c>
      <c r="BM75" s="314">
        <f>IF($BI75&lt;&gt;"",IF('Capacity summary'!$D$14="Yes",IF(COUNTBLANK('Capacity summary'!$H194:$BG194)&lt;52,IF('Capacity summary'!J194&lt;&gt;"",IF(LOWER('Capacity summary'!J194)="x",$BI75*J75,VALUE('Capacity summary'!J194)),0),J75*$BI75),J75*$BI75),0)</f>
        <v>0</v>
      </c>
      <c r="BN75" s="314">
        <f>IF($BI75&lt;&gt;"",IF('Capacity summary'!$D$14="Yes",IF(COUNTBLANK('Capacity summary'!$H194:$BG194)&lt;52,IF('Capacity summary'!K194&lt;&gt;"",IF(LOWER('Capacity summary'!K194)="x",$BI75*K75,VALUE('Capacity summary'!K194)),0),K75*$BI75),K75*$BI75),0)</f>
        <v>0</v>
      </c>
      <c r="BO75" s="314">
        <f>IF($BI75&lt;&gt;"",IF('Capacity summary'!$D$14="Yes",IF(COUNTBLANK('Capacity summary'!$H194:$BG194)&lt;52,IF('Capacity summary'!L194&lt;&gt;"",IF(LOWER('Capacity summary'!L194)="x",$BI75*L75,VALUE('Capacity summary'!L194)),0),L75*$BI75),L75*$BI75),0)</f>
        <v>0</v>
      </c>
      <c r="BP75" s="314">
        <f>IF($BI75&lt;&gt;"",IF('Capacity summary'!$D$14="Yes",IF(COUNTBLANK('Capacity summary'!$H194:$BG194)&lt;52,IF('Capacity summary'!M194&lt;&gt;"",IF(LOWER('Capacity summary'!M194)="x",$BI75*M75,VALUE('Capacity summary'!M194)),0),M75*$BI75),M75*$BI75),0)</f>
        <v>0</v>
      </c>
      <c r="BQ75" s="314">
        <f>IF($BI75&lt;&gt;"",IF('Capacity summary'!$D$14="Yes",IF(COUNTBLANK('Capacity summary'!$H194:$BG194)&lt;52,IF('Capacity summary'!N194&lt;&gt;"",IF(LOWER('Capacity summary'!N194)="x",$BI75*N75,VALUE('Capacity summary'!N194)),0),N75*$BI75),N75*$BI75),0)</f>
        <v>0</v>
      </c>
      <c r="BR75" s="314">
        <f>IF($BI75&lt;&gt;"",IF('Capacity summary'!$D$14="Yes",IF(COUNTBLANK('Capacity summary'!$H194:$BG194)&lt;52,IF('Capacity summary'!O194&lt;&gt;"",IF(LOWER('Capacity summary'!O194)="x",$BI75*O75,VALUE('Capacity summary'!O194)),0),O75*$BI75),O75*$BI75),0)</f>
        <v>0</v>
      </c>
      <c r="BS75" s="314">
        <f>IF($BI75&lt;&gt;"",IF('Capacity summary'!$D$14="Yes",IF(COUNTBLANK('Capacity summary'!$H194:$BG194)&lt;52,IF('Capacity summary'!P194&lt;&gt;"",IF(LOWER('Capacity summary'!P194)="x",$BI75*P75,VALUE('Capacity summary'!P194)),0),P75*$BI75),P75*$BI75),0)</f>
        <v>0</v>
      </c>
      <c r="BT75" s="314">
        <f>IF($BI75&lt;&gt;"",IF('Capacity summary'!$D$14="Yes",IF(COUNTBLANK('Capacity summary'!$H194:$BG194)&lt;52,IF('Capacity summary'!Q194&lt;&gt;"",IF(LOWER('Capacity summary'!Q194)="x",$BI75*Q75,VALUE('Capacity summary'!Q194)),0),Q75*$BI75),Q75*$BI75),0)</f>
        <v>0</v>
      </c>
      <c r="BU75" s="314">
        <f>IF($BI75&lt;&gt;"",IF('Capacity summary'!$D$14="Yes",IF(COUNTBLANK('Capacity summary'!$H194:$BG194)&lt;52,IF('Capacity summary'!R194&lt;&gt;"",IF(LOWER('Capacity summary'!R194)="x",$BI75*R75,VALUE('Capacity summary'!R194)),0),R75*$BI75),R75*$BI75),0)</f>
        <v>0</v>
      </c>
      <c r="BV75" s="314">
        <f>IF($BI75&lt;&gt;"",IF('Capacity summary'!$D$14="Yes",IF(COUNTBLANK('Capacity summary'!$H194:$BG194)&lt;52,IF('Capacity summary'!S194&lt;&gt;"",IF(LOWER('Capacity summary'!S194)="x",$BI75*S75,VALUE('Capacity summary'!S194)),0),S75*$BI75),S75*$BI75),0)</f>
        <v>0</v>
      </c>
      <c r="BW75" s="314">
        <f>IF($BI75&lt;&gt;"",IF('Capacity summary'!$D$14="Yes",IF(COUNTBLANK('Capacity summary'!$H194:$BG194)&lt;52,IF('Capacity summary'!T194&lt;&gt;"",IF(LOWER('Capacity summary'!T194)="x",$BI75*T75,VALUE('Capacity summary'!T194)),0),T75*$BI75),T75*$BI75),0)</f>
        <v>0</v>
      </c>
      <c r="BX75" s="314">
        <f>IF($BI75&lt;&gt;"",IF('Capacity summary'!$D$14="Yes",IF(COUNTBLANK('Capacity summary'!$H194:$BG194)&lt;52,IF('Capacity summary'!U194&lt;&gt;"",IF(LOWER('Capacity summary'!U194)="x",$BI75*U75,VALUE('Capacity summary'!U194)),0),U75*$BI75),U75*$BI75),0)</f>
        <v>0</v>
      </c>
      <c r="BY75" s="314">
        <f>IF($BI75&lt;&gt;"",IF('Capacity summary'!$D$14="Yes",IF(COUNTBLANK('Capacity summary'!$H194:$BG194)&lt;52,IF('Capacity summary'!V194&lt;&gt;"",IF(LOWER('Capacity summary'!V194)="x",$BI75*V75,VALUE('Capacity summary'!V194)),0),V75*$BI75),V75*$BI75),0)</f>
        <v>0</v>
      </c>
      <c r="BZ75" s="314">
        <f>IF($BI75&lt;&gt;"",IF('Capacity summary'!$D$14="Yes",IF(COUNTBLANK('Capacity summary'!$H194:$BG194)&lt;52,IF('Capacity summary'!W194&lt;&gt;"",IF(LOWER('Capacity summary'!W194)="x",$BI75*W75,VALUE('Capacity summary'!W194)),0),W75*$BI75),W75*$BI75),0)</f>
        <v>0</v>
      </c>
      <c r="CA75" s="314">
        <f>IF($BI75&lt;&gt;"",IF('Capacity summary'!$D$14="Yes",IF(COUNTBLANK('Capacity summary'!$H194:$BG194)&lt;52,IF('Capacity summary'!X194&lt;&gt;"",IF(LOWER('Capacity summary'!X194)="x",$BI75*X75,VALUE('Capacity summary'!X194)),0),X75*$BI75),X75*$BI75),0)</f>
        <v>0</v>
      </c>
      <c r="CB75" s="314">
        <f>IF($BI75&lt;&gt;"",IF('Capacity summary'!$D$14="Yes",IF(COUNTBLANK('Capacity summary'!$H194:$BG194)&lt;52,IF('Capacity summary'!Y194&lt;&gt;"",IF(LOWER('Capacity summary'!Y194)="x",$BI75*Y75,VALUE('Capacity summary'!Y194)),0),Y75*$BI75),Y75*$BI75),0)</f>
        <v>0</v>
      </c>
      <c r="CC75" s="314">
        <f>IF($BI75&lt;&gt;"",IF('Capacity summary'!$D$14="Yes",IF(COUNTBLANK('Capacity summary'!$H194:$BG194)&lt;52,IF('Capacity summary'!Z194&lt;&gt;"",IF(LOWER('Capacity summary'!Z194)="x",$BI75*Z75,VALUE('Capacity summary'!Z194)),0),Z75*$BI75),Z75*$BI75),0)</f>
        <v>0</v>
      </c>
      <c r="CD75" s="314">
        <f>IF($BI75&lt;&gt;"",IF('Capacity summary'!$D$14="Yes",IF(COUNTBLANK('Capacity summary'!$H194:$BG194)&lt;52,IF('Capacity summary'!AA194&lt;&gt;"",IF(LOWER('Capacity summary'!AA194)="x",$BI75*AA75,VALUE('Capacity summary'!AA194)),0),AA75*$BI75),AA75*$BI75),0)</f>
        <v>0</v>
      </c>
      <c r="CE75" s="314">
        <f>IF($BI75&lt;&gt;"",IF('Capacity summary'!$D$14="Yes",IF(COUNTBLANK('Capacity summary'!$H194:$BG194)&lt;52,IF('Capacity summary'!AB194&lt;&gt;"",IF(LOWER('Capacity summary'!AB194)="x",$BI75*AB75,VALUE('Capacity summary'!AB194)),0),AB75*$BI75),AB75*$BI75),0)</f>
        <v>0</v>
      </c>
      <c r="CF75" s="314">
        <f>IF($BI75&lt;&gt;"",IF('Capacity summary'!$D$14="Yes",IF(COUNTBLANK('Capacity summary'!$H194:$BG194)&lt;52,IF('Capacity summary'!AC194&lt;&gt;"",IF(LOWER('Capacity summary'!AC194)="x",$BI75*AC75,VALUE('Capacity summary'!AC194)),0),AC75*$BI75),AC75*$BI75),0)</f>
        <v>0</v>
      </c>
      <c r="CG75" s="314">
        <f>IF($BI75&lt;&gt;"",IF('Capacity summary'!$D$14="Yes",IF(COUNTBLANK('Capacity summary'!$H194:$BG194)&lt;52,IF('Capacity summary'!AD194&lt;&gt;"",IF(LOWER('Capacity summary'!AD194)="x",$BI75*AD75,VALUE('Capacity summary'!AD194)),0),AD75*$BI75),AD75*$BI75),0)</f>
        <v>0</v>
      </c>
      <c r="CH75" s="314">
        <f>IF($BI75&lt;&gt;"",IF('Capacity summary'!$D$14="Yes",IF(COUNTBLANK('Capacity summary'!$H194:$BG194)&lt;52,IF('Capacity summary'!AE194&lt;&gt;"",IF(LOWER('Capacity summary'!AE194)="x",$BI75*AE75,VALUE('Capacity summary'!AE194)),0),AE75*$BI75),AE75*$BI75),0)</f>
        <v>0</v>
      </c>
      <c r="CI75" s="314">
        <f>IF($BI75&lt;&gt;"",IF('Capacity summary'!$D$14="Yes",IF(COUNTBLANK('Capacity summary'!$H194:$BG194)&lt;52,IF('Capacity summary'!AF194&lt;&gt;"",IF(LOWER('Capacity summary'!AF194)="x",$BI75*AF75,VALUE('Capacity summary'!AF194)),0),AF75*$BI75),AF75*$BI75),0)</f>
        <v>0</v>
      </c>
      <c r="CJ75" s="314">
        <f>IF($BI75&lt;&gt;"",IF('Capacity summary'!$D$14="Yes",IF(COUNTBLANK('Capacity summary'!$H194:$BG194)&lt;52,IF('Capacity summary'!AG194&lt;&gt;"",IF(LOWER('Capacity summary'!AG194)="x",$BI75*AG75,VALUE('Capacity summary'!AG194)),0),AG75*$BI75),AG75*$BI75),0)</f>
        <v>0</v>
      </c>
      <c r="CK75" s="314">
        <f>IF($BI75&lt;&gt;"",IF('Capacity summary'!$D$14="Yes",IF(COUNTBLANK('Capacity summary'!$H194:$BG194)&lt;52,IF('Capacity summary'!AH194&lt;&gt;"",IF(LOWER('Capacity summary'!AH194)="x",$BI75*AH75,VALUE('Capacity summary'!AH194)),0),AH75*$BI75),AH75*$BI75),0)</f>
        <v>0</v>
      </c>
      <c r="CL75" s="314">
        <f>IF($BI75&lt;&gt;"",IF('Capacity summary'!$D$14="Yes",IF(COUNTBLANK('Capacity summary'!$H194:$BG194)&lt;52,IF('Capacity summary'!AI194&lt;&gt;"",IF(LOWER('Capacity summary'!AI194)="x",$BI75*AI75,VALUE('Capacity summary'!AI194)),0),AI75*$BI75),AI75*$BI75),0)</f>
        <v>0</v>
      </c>
      <c r="CM75" s="314">
        <f>IF($BI75&lt;&gt;"",IF('Capacity summary'!$D$14="Yes",IF(COUNTBLANK('Capacity summary'!$H194:$BG194)&lt;52,IF('Capacity summary'!AJ194&lt;&gt;"",IF(LOWER('Capacity summary'!AJ194)="x",$BI75*AJ75,VALUE('Capacity summary'!AJ194)),0),AJ75*$BI75),AJ75*$BI75),0)</f>
        <v>0</v>
      </c>
      <c r="CN75" s="314">
        <f>IF($BI75&lt;&gt;"",IF('Capacity summary'!$D$14="Yes",IF(COUNTBLANK('Capacity summary'!$H194:$BG194)&lt;52,IF('Capacity summary'!AK194&lt;&gt;"",IF(LOWER('Capacity summary'!AK194)="x",$BI75*AK75,VALUE('Capacity summary'!AK194)),0),AK75*$BI75),AK75*$BI75),0)</f>
        <v>0</v>
      </c>
      <c r="CO75" s="314">
        <f>IF($BI75&lt;&gt;"",IF('Capacity summary'!$D$14="Yes",IF(COUNTBLANK('Capacity summary'!$H194:$BG194)&lt;52,IF('Capacity summary'!AL194&lt;&gt;"",IF(LOWER('Capacity summary'!AL194)="x",$BI75*AL75,VALUE('Capacity summary'!AL194)),0),AL75*$BI75),AL75*$BI75),0)</f>
        <v>0</v>
      </c>
      <c r="CP75" s="314">
        <f>IF($BI75&lt;&gt;"",IF('Capacity summary'!$D$14="Yes",IF(COUNTBLANK('Capacity summary'!$H194:$BG194)&lt;52,IF('Capacity summary'!AM194&lt;&gt;"",IF(LOWER('Capacity summary'!AM194)="x",$BI75*AM75,VALUE('Capacity summary'!AM194)),0),AM75*$BI75),AM75*$BI75),0)</f>
        <v>0</v>
      </c>
      <c r="CQ75" s="314">
        <f>IF($BI75&lt;&gt;"",IF('Capacity summary'!$D$14="Yes",IF(COUNTBLANK('Capacity summary'!$H194:$BG194)&lt;52,IF('Capacity summary'!AN194&lt;&gt;"",IF(LOWER('Capacity summary'!AN194)="x",$BI75*AN75,VALUE('Capacity summary'!AN194)),0),AN75*$BI75),AN75*$BI75),0)</f>
        <v>0</v>
      </c>
      <c r="CR75" s="314">
        <f>IF($BI75&lt;&gt;"",IF('Capacity summary'!$D$14="Yes",IF(COUNTBLANK('Capacity summary'!$H194:$BG194)&lt;52,IF('Capacity summary'!AO194&lt;&gt;"",IF(LOWER('Capacity summary'!AO194)="x",$BI75*AO75,VALUE('Capacity summary'!AO194)),0),AO75*$BI75),AO75*$BI75),0)</f>
        <v>0</v>
      </c>
      <c r="CS75" s="314">
        <f>IF($BI75&lt;&gt;"",IF('Capacity summary'!$D$14="Yes",IF(COUNTBLANK('Capacity summary'!$H194:$BG194)&lt;52,IF('Capacity summary'!AP194&lt;&gt;"",IF(LOWER('Capacity summary'!AP194)="x",$BI75*AP75,VALUE('Capacity summary'!AP194)),0),AP75*$BI75),AP75*$BI75),0)</f>
        <v>0</v>
      </c>
      <c r="CT75" s="314">
        <f>IF($BI75&lt;&gt;"",IF('Capacity summary'!$D$14="Yes",IF(COUNTBLANK('Capacity summary'!$H194:$BG194)&lt;52,IF('Capacity summary'!AQ194&lt;&gt;"",IF(LOWER('Capacity summary'!AQ194)="x",$BI75*AQ75,VALUE('Capacity summary'!AQ194)),0),AQ75*$BI75),AQ75*$BI75),0)</f>
        <v>0</v>
      </c>
      <c r="CU75" s="314">
        <f>IF($BI75&lt;&gt;"",IF('Capacity summary'!$D$14="Yes",IF(COUNTBLANK('Capacity summary'!$H194:$BG194)&lt;52,IF('Capacity summary'!AR194&lt;&gt;"",IF(LOWER('Capacity summary'!AR194)="x",$BI75*AR75,VALUE('Capacity summary'!AR194)),0),AR75*$BI75),AR75*$BI75),0)</f>
        <v>0</v>
      </c>
      <c r="CV75" s="314">
        <f>IF($BI75&lt;&gt;"",IF('Capacity summary'!$D$14="Yes",IF(COUNTBLANK('Capacity summary'!$H194:$BG194)&lt;52,IF('Capacity summary'!AS194&lt;&gt;"",IF(LOWER('Capacity summary'!AS194)="x",$BI75*AS75,VALUE('Capacity summary'!AS194)),0),AS75*$BI75),AS75*$BI75),0)</f>
        <v>0</v>
      </c>
      <c r="CW75" s="314">
        <f>IF($BI75&lt;&gt;"",IF('Capacity summary'!$D$14="Yes",IF(COUNTBLANK('Capacity summary'!$H194:$BG194)&lt;52,IF('Capacity summary'!AT194&lt;&gt;"",IF(LOWER('Capacity summary'!AT194)="x",$BI75*AT75,VALUE('Capacity summary'!AT194)),0),AT75*$BI75),AT75*$BI75),0)</f>
        <v>0</v>
      </c>
      <c r="CX75" s="314">
        <f>IF($BI75&lt;&gt;"",IF('Capacity summary'!$D$14="Yes",IF(COUNTBLANK('Capacity summary'!$H194:$BG194)&lt;52,IF('Capacity summary'!AU194&lt;&gt;"",IF(LOWER('Capacity summary'!AU194)="x",$BI75*AU75,VALUE('Capacity summary'!AU194)),0),AU75*$BI75),AU75*$BI75),0)</f>
        <v>0</v>
      </c>
      <c r="CY75" s="314">
        <f>IF($BI75&lt;&gt;"",IF('Capacity summary'!$D$14="Yes",IF(COUNTBLANK('Capacity summary'!$H194:$BG194)&lt;52,IF('Capacity summary'!AV194&lt;&gt;"",IF(LOWER('Capacity summary'!AV194)="x",$BI75*AV75,VALUE('Capacity summary'!AV194)),0),AV75*$BI75),AV75*$BI75),0)</f>
        <v>0</v>
      </c>
      <c r="CZ75" s="314">
        <f>IF($BI75&lt;&gt;"",IF('Capacity summary'!$D$14="Yes",IF(COUNTBLANK('Capacity summary'!$H194:$BG194)&lt;52,IF('Capacity summary'!AW194&lt;&gt;"",IF(LOWER('Capacity summary'!AW194)="x",$BI75*AW75,VALUE('Capacity summary'!AW194)),0),AW75*$BI75),AW75*$BI75),0)</f>
        <v>0</v>
      </c>
      <c r="DA75" s="314">
        <f>IF($BI75&lt;&gt;"",IF('Capacity summary'!$D$14="Yes",IF(COUNTBLANK('Capacity summary'!$H194:$BG194)&lt;52,IF('Capacity summary'!AX194&lt;&gt;"",IF(LOWER('Capacity summary'!AX194)="x",$BI75*AX75,VALUE('Capacity summary'!AX194)),0),AX75*$BI75),AX75*$BI75),0)</f>
        <v>0</v>
      </c>
      <c r="DB75" s="314">
        <f>IF($BI75&lt;&gt;"",IF('Capacity summary'!$D$14="Yes",IF(COUNTBLANK('Capacity summary'!$H194:$BG194)&lt;52,IF('Capacity summary'!AY194&lt;&gt;"",IF(LOWER('Capacity summary'!AY194)="x",$BI75*AY75,VALUE('Capacity summary'!AY194)),0),AY75*$BI75),AY75*$BI75),0)</f>
        <v>0</v>
      </c>
      <c r="DC75" s="314">
        <f>IF($BI75&lt;&gt;"",IF('Capacity summary'!$D$14="Yes",IF(COUNTBLANK('Capacity summary'!$H194:$BG194)&lt;52,IF('Capacity summary'!AZ194&lt;&gt;"",IF(LOWER('Capacity summary'!AZ194)="x",$BI75*AZ75,VALUE('Capacity summary'!AZ194)),0),AZ75*$BI75),AZ75*$BI75),0)</f>
        <v>0</v>
      </c>
      <c r="DD75" s="314">
        <f>IF($BI75&lt;&gt;"",IF('Capacity summary'!$D$14="Yes",IF(COUNTBLANK('Capacity summary'!$H194:$BG194)&lt;52,IF('Capacity summary'!BA194&lt;&gt;"",IF(LOWER('Capacity summary'!BA194)="x",$BI75*BA75,VALUE('Capacity summary'!BA194)),0),BA75*$BI75),BA75*$BI75),0)</f>
        <v>0</v>
      </c>
      <c r="DE75" s="314">
        <f>IF($BI75&lt;&gt;"",IF('Capacity summary'!$D$14="Yes",IF(COUNTBLANK('Capacity summary'!$H194:$BG194)&lt;52,IF('Capacity summary'!BB194&lt;&gt;"",IF(LOWER('Capacity summary'!BB194)="x",$BI75*BB75,VALUE('Capacity summary'!BB194)),0),BB75*$BI75),BB75*$BI75),0)</f>
        <v>0</v>
      </c>
      <c r="DF75" s="314">
        <f>IF($BI75&lt;&gt;"",IF('Capacity summary'!$D$14="Yes",IF(COUNTBLANK('Capacity summary'!$H194:$BG194)&lt;52,IF('Capacity summary'!BC194&lt;&gt;"",IF(LOWER('Capacity summary'!BC194)="x",$BI75*BC75,VALUE('Capacity summary'!BC194)),0),BC75*$BI75),BC75*$BI75),0)</f>
        <v>0</v>
      </c>
      <c r="DG75" s="314">
        <f>IF($BI75&lt;&gt;"",IF('Capacity summary'!$D$14="Yes",IF(COUNTBLANK('Capacity summary'!$H194:$BG194)&lt;52,IF('Capacity summary'!BD194&lt;&gt;"",IF(LOWER('Capacity summary'!BD194)="x",$BI75*BD75,VALUE('Capacity summary'!BD194)),0),BD75*$BI75),BD75*$BI75),0)</f>
        <v>0</v>
      </c>
      <c r="DH75" s="314">
        <f>IF($BI75&lt;&gt;"",IF('Capacity summary'!$D$14="Yes",IF(COUNTBLANK('Capacity summary'!$H194:$BG194)&lt;52,IF('Capacity summary'!BE194&lt;&gt;"",IF(LOWER('Capacity summary'!BE194)="x",$BI75*BE75,VALUE('Capacity summary'!BE194)),0),BE75*$BI75),BE75*$BI75),0)</f>
        <v>0</v>
      </c>
      <c r="DI75" s="314">
        <f>IF($BI75&lt;&gt;"",IF('Capacity summary'!$D$14="Yes",IF(COUNTBLANK('Capacity summary'!$H194:$BG194)&lt;52,IF('Capacity summary'!BF194&lt;&gt;"",IF(LOWER('Capacity summary'!BF194)="x",$BI75*BF75,VALUE('Capacity summary'!BF194)),0),BF75*$BI75),BF75*$BI75),0)</f>
        <v>0</v>
      </c>
      <c r="DJ75" s="314">
        <f>IF($BI75&lt;&gt;"",IF('Capacity summary'!$D$14="Yes",IF(COUNTBLANK('Capacity summary'!$H194:$BG194)&lt;52,IF('Capacity summary'!BG194&lt;&gt;"",IF(LOWER('Capacity summary'!BG194)="x",$BI75*BG75,VALUE('Capacity summary'!BG194)),0),BG75*$BI75),BG75*$BI75),0)</f>
        <v>0</v>
      </c>
      <c r="DK75" s="137">
        <f t="shared" si="3"/>
        <v>0</v>
      </c>
      <c r="DL75" s="314"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4">
        <f>IF($BI76&lt;&gt;"",IF('Capacity summary'!$D$14="Yes",IF(COUNTBLANK('Capacity summary'!$H195:$BG195)&lt;52,IF('Capacity summary'!H195&lt;&gt;"",IF(LOWER('Capacity summary'!H195)="x",$BI76*H76,VALUE('Capacity summary'!H195)),0),H76*$BI76),H76*$BI76),0)</f>
        <v>0</v>
      </c>
      <c r="BL76" s="314">
        <f>IF($BI76&lt;&gt;"",IF('Capacity summary'!$D$14="Yes",IF(COUNTBLANK('Capacity summary'!$H195:$BG195)&lt;52,IF('Capacity summary'!I195&lt;&gt;"",IF(LOWER('Capacity summary'!I195)="x",$BI76*I76,VALUE('Capacity summary'!I195)),0),I76*$BI76),I76*$BI76),0)</f>
        <v>0</v>
      </c>
      <c r="BM76" s="314">
        <f>IF($BI76&lt;&gt;"",IF('Capacity summary'!$D$14="Yes",IF(COUNTBLANK('Capacity summary'!$H195:$BG195)&lt;52,IF('Capacity summary'!J195&lt;&gt;"",IF(LOWER('Capacity summary'!J195)="x",$BI76*J76,VALUE('Capacity summary'!J195)),0),J76*$BI76),J76*$BI76),0)</f>
        <v>0</v>
      </c>
      <c r="BN76" s="314">
        <f>IF($BI76&lt;&gt;"",IF('Capacity summary'!$D$14="Yes",IF(COUNTBLANK('Capacity summary'!$H195:$BG195)&lt;52,IF('Capacity summary'!K195&lt;&gt;"",IF(LOWER('Capacity summary'!K195)="x",$BI76*K76,VALUE('Capacity summary'!K195)),0),K76*$BI76),K76*$BI76),0)</f>
        <v>0</v>
      </c>
      <c r="BO76" s="314">
        <f>IF($BI76&lt;&gt;"",IF('Capacity summary'!$D$14="Yes",IF(COUNTBLANK('Capacity summary'!$H195:$BG195)&lt;52,IF('Capacity summary'!L195&lt;&gt;"",IF(LOWER('Capacity summary'!L195)="x",$BI76*L76,VALUE('Capacity summary'!L195)),0),L76*$BI76),L76*$BI76),0)</f>
        <v>0</v>
      </c>
      <c r="BP76" s="314">
        <f>IF($BI76&lt;&gt;"",IF('Capacity summary'!$D$14="Yes",IF(COUNTBLANK('Capacity summary'!$H195:$BG195)&lt;52,IF('Capacity summary'!M195&lt;&gt;"",IF(LOWER('Capacity summary'!M195)="x",$BI76*M76,VALUE('Capacity summary'!M195)),0),M76*$BI76),M76*$BI76),0)</f>
        <v>0</v>
      </c>
      <c r="BQ76" s="314">
        <f>IF($BI76&lt;&gt;"",IF('Capacity summary'!$D$14="Yes",IF(COUNTBLANK('Capacity summary'!$H195:$BG195)&lt;52,IF('Capacity summary'!N195&lt;&gt;"",IF(LOWER('Capacity summary'!N195)="x",$BI76*N76,VALUE('Capacity summary'!N195)),0),N76*$BI76),N76*$BI76),0)</f>
        <v>0</v>
      </c>
      <c r="BR76" s="314">
        <f>IF($BI76&lt;&gt;"",IF('Capacity summary'!$D$14="Yes",IF(COUNTBLANK('Capacity summary'!$H195:$BG195)&lt;52,IF('Capacity summary'!O195&lt;&gt;"",IF(LOWER('Capacity summary'!O195)="x",$BI76*O76,VALUE('Capacity summary'!O195)),0),O76*$BI76),O76*$BI76),0)</f>
        <v>0</v>
      </c>
      <c r="BS76" s="314">
        <f>IF($BI76&lt;&gt;"",IF('Capacity summary'!$D$14="Yes",IF(COUNTBLANK('Capacity summary'!$H195:$BG195)&lt;52,IF('Capacity summary'!P195&lt;&gt;"",IF(LOWER('Capacity summary'!P195)="x",$BI76*P76,VALUE('Capacity summary'!P195)),0),P76*$BI76),P76*$BI76),0)</f>
        <v>0</v>
      </c>
      <c r="BT76" s="314">
        <f>IF($BI76&lt;&gt;"",IF('Capacity summary'!$D$14="Yes",IF(COUNTBLANK('Capacity summary'!$H195:$BG195)&lt;52,IF('Capacity summary'!Q195&lt;&gt;"",IF(LOWER('Capacity summary'!Q195)="x",$BI76*Q76,VALUE('Capacity summary'!Q195)),0),Q76*$BI76),Q76*$BI76),0)</f>
        <v>0</v>
      </c>
      <c r="BU76" s="314">
        <f>IF($BI76&lt;&gt;"",IF('Capacity summary'!$D$14="Yes",IF(COUNTBLANK('Capacity summary'!$H195:$BG195)&lt;52,IF('Capacity summary'!R195&lt;&gt;"",IF(LOWER('Capacity summary'!R195)="x",$BI76*R76,VALUE('Capacity summary'!R195)),0),R76*$BI76),R76*$BI76),0)</f>
        <v>0</v>
      </c>
      <c r="BV76" s="314">
        <f>IF($BI76&lt;&gt;"",IF('Capacity summary'!$D$14="Yes",IF(COUNTBLANK('Capacity summary'!$H195:$BG195)&lt;52,IF('Capacity summary'!S195&lt;&gt;"",IF(LOWER('Capacity summary'!S195)="x",$BI76*S76,VALUE('Capacity summary'!S195)),0),S76*$BI76),S76*$BI76),0)</f>
        <v>0</v>
      </c>
      <c r="BW76" s="314">
        <f>IF($BI76&lt;&gt;"",IF('Capacity summary'!$D$14="Yes",IF(COUNTBLANK('Capacity summary'!$H195:$BG195)&lt;52,IF('Capacity summary'!T195&lt;&gt;"",IF(LOWER('Capacity summary'!T195)="x",$BI76*T76,VALUE('Capacity summary'!T195)),0),T76*$BI76),T76*$BI76),0)</f>
        <v>0</v>
      </c>
      <c r="BX76" s="314">
        <f>IF($BI76&lt;&gt;"",IF('Capacity summary'!$D$14="Yes",IF(COUNTBLANK('Capacity summary'!$H195:$BG195)&lt;52,IF('Capacity summary'!U195&lt;&gt;"",IF(LOWER('Capacity summary'!U195)="x",$BI76*U76,VALUE('Capacity summary'!U195)),0),U76*$BI76),U76*$BI76),0)</f>
        <v>0</v>
      </c>
      <c r="BY76" s="314">
        <f>IF($BI76&lt;&gt;"",IF('Capacity summary'!$D$14="Yes",IF(COUNTBLANK('Capacity summary'!$H195:$BG195)&lt;52,IF('Capacity summary'!V195&lt;&gt;"",IF(LOWER('Capacity summary'!V195)="x",$BI76*V76,VALUE('Capacity summary'!V195)),0),V76*$BI76),V76*$BI76),0)</f>
        <v>0</v>
      </c>
      <c r="BZ76" s="314">
        <f>IF($BI76&lt;&gt;"",IF('Capacity summary'!$D$14="Yes",IF(COUNTBLANK('Capacity summary'!$H195:$BG195)&lt;52,IF('Capacity summary'!W195&lt;&gt;"",IF(LOWER('Capacity summary'!W195)="x",$BI76*W76,VALUE('Capacity summary'!W195)),0),W76*$BI76),W76*$BI76),0)</f>
        <v>0</v>
      </c>
      <c r="CA76" s="314">
        <f>IF($BI76&lt;&gt;"",IF('Capacity summary'!$D$14="Yes",IF(COUNTBLANK('Capacity summary'!$H195:$BG195)&lt;52,IF('Capacity summary'!X195&lt;&gt;"",IF(LOWER('Capacity summary'!X195)="x",$BI76*X76,VALUE('Capacity summary'!X195)),0),X76*$BI76),X76*$BI76),0)</f>
        <v>0</v>
      </c>
      <c r="CB76" s="314">
        <f>IF($BI76&lt;&gt;"",IF('Capacity summary'!$D$14="Yes",IF(COUNTBLANK('Capacity summary'!$H195:$BG195)&lt;52,IF('Capacity summary'!Y195&lt;&gt;"",IF(LOWER('Capacity summary'!Y195)="x",$BI76*Y76,VALUE('Capacity summary'!Y195)),0),Y76*$BI76),Y76*$BI76),0)</f>
        <v>0</v>
      </c>
      <c r="CC76" s="314">
        <f>IF($BI76&lt;&gt;"",IF('Capacity summary'!$D$14="Yes",IF(COUNTBLANK('Capacity summary'!$H195:$BG195)&lt;52,IF('Capacity summary'!Z195&lt;&gt;"",IF(LOWER('Capacity summary'!Z195)="x",$BI76*Z76,VALUE('Capacity summary'!Z195)),0),Z76*$BI76),Z76*$BI76),0)</f>
        <v>0</v>
      </c>
      <c r="CD76" s="314">
        <f>IF($BI76&lt;&gt;"",IF('Capacity summary'!$D$14="Yes",IF(COUNTBLANK('Capacity summary'!$H195:$BG195)&lt;52,IF('Capacity summary'!AA195&lt;&gt;"",IF(LOWER('Capacity summary'!AA195)="x",$BI76*AA76,VALUE('Capacity summary'!AA195)),0),AA76*$BI76),AA76*$BI76),0)</f>
        <v>0</v>
      </c>
      <c r="CE76" s="314">
        <f>IF($BI76&lt;&gt;"",IF('Capacity summary'!$D$14="Yes",IF(COUNTBLANK('Capacity summary'!$H195:$BG195)&lt;52,IF('Capacity summary'!AB195&lt;&gt;"",IF(LOWER('Capacity summary'!AB195)="x",$BI76*AB76,VALUE('Capacity summary'!AB195)),0),AB76*$BI76),AB76*$BI76),0)</f>
        <v>0</v>
      </c>
      <c r="CF76" s="314">
        <f>IF($BI76&lt;&gt;"",IF('Capacity summary'!$D$14="Yes",IF(COUNTBLANK('Capacity summary'!$H195:$BG195)&lt;52,IF('Capacity summary'!AC195&lt;&gt;"",IF(LOWER('Capacity summary'!AC195)="x",$BI76*AC76,VALUE('Capacity summary'!AC195)),0),AC76*$BI76),AC76*$BI76),0)</f>
        <v>0</v>
      </c>
      <c r="CG76" s="314">
        <f>IF($BI76&lt;&gt;"",IF('Capacity summary'!$D$14="Yes",IF(COUNTBLANK('Capacity summary'!$H195:$BG195)&lt;52,IF('Capacity summary'!AD195&lt;&gt;"",IF(LOWER('Capacity summary'!AD195)="x",$BI76*AD76,VALUE('Capacity summary'!AD195)),0),AD76*$BI76),AD76*$BI76),0)</f>
        <v>0</v>
      </c>
      <c r="CH76" s="314">
        <f>IF($BI76&lt;&gt;"",IF('Capacity summary'!$D$14="Yes",IF(COUNTBLANK('Capacity summary'!$H195:$BG195)&lt;52,IF('Capacity summary'!AE195&lt;&gt;"",IF(LOWER('Capacity summary'!AE195)="x",$BI76*AE76,VALUE('Capacity summary'!AE195)),0),AE76*$BI76),AE76*$BI76),0)</f>
        <v>0</v>
      </c>
      <c r="CI76" s="314">
        <f>IF($BI76&lt;&gt;"",IF('Capacity summary'!$D$14="Yes",IF(COUNTBLANK('Capacity summary'!$H195:$BG195)&lt;52,IF('Capacity summary'!AF195&lt;&gt;"",IF(LOWER('Capacity summary'!AF195)="x",$BI76*AF76,VALUE('Capacity summary'!AF195)),0),AF76*$BI76),AF76*$BI76),0)</f>
        <v>0</v>
      </c>
      <c r="CJ76" s="314">
        <f>IF($BI76&lt;&gt;"",IF('Capacity summary'!$D$14="Yes",IF(COUNTBLANK('Capacity summary'!$H195:$BG195)&lt;52,IF('Capacity summary'!AG195&lt;&gt;"",IF(LOWER('Capacity summary'!AG195)="x",$BI76*AG76,VALUE('Capacity summary'!AG195)),0),AG76*$BI76),AG76*$BI76),0)</f>
        <v>0</v>
      </c>
      <c r="CK76" s="314">
        <f>IF($BI76&lt;&gt;"",IF('Capacity summary'!$D$14="Yes",IF(COUNTBLANK('Capacity summary'!$H195:$BG195)&lt;52,IF('Capacity summary'!AH195&lt;&gt;"",IF(LOWER('Capacity summary'!AH195)="x",$BI76*AH76,VALUE('Capacity summary'!AH195)),0),AH76*$BI76),AH76*$BI76),0)</f>
        <v>0</v>
      </c>
      <c r="CL76" s="314">
        <f>IF($BI76&lt;&gt;"",IF('Capacity summary'!$D$14="Yes",IF(COUNTBLANK('Capacity summary'!$H195:$BG195)&lt;52,IF('Capacity summary'!AI195&lt;&gt;"",IF(LOWER('Capacity summary'!AI195)="x",$BI76*AI76,VALUE('Capacity summary'!AI195)),0),AI76*$BI76),AI76*$BI76),0)</f>
        <v>0</v>
      </c>
      <c r="CM76" s="314">
        <f>IF($BI76&lt;&gt;"",IF('Capacity summary'!$D$14="Yes",IF(COUNTBLANK('Capacity summary'!$H195:$BG195)&lt;52,IF('Capacity summary'!AJ195&lt;&gt;"",IF(LOWER('Capacity summary'!AJ195)="x",$BI76*AJ76,VALUE('Capacity summary'!AJ195)),0),AJ76*$BI76),AJ76*$BI76),0)</f>
        <v>0</v>
      </c>
      <c r="CN76" s="314">
        <f>IF($BI76&lt;&gt;"",IF('Capacity summary'!$D$14="Yes",IF(COUNTBLANK('Capacity summary'!$H195:$BG195)&lt;52,IF('Capacity summary'!AK195&lt;&gt;"",IF(LOWER('Capacity summary'!AK195)="x",$BI76*AK76,VALUE('Capacity summary'!AK195)),0),AK76*$BI76),AK76*$BI76),0)</f>
        <v>0</v>
      </c>
      <c r="CO76" s="314">
        <f>IF($BI76&lt;&gt;"",IF('Capacity summary'!$D$14="Yes",IF(COUNTBLANK('Capacity summary'!$H195:$BG195)&lt;52,IF('Capacity summary'!AL195&lt;&gt;"",IF(LOWER('Capacity summary'!AL195)="x",$BI76*AL76,VALUE('Capacity summary'!AL195)),0),AL76*$BI76),AL76*$BI76),0)</f>
        <v>0</v>
      </c>
      <c r="CP76" s="314">
        <f>IF($BI76&lt;&gt;"",IF('Capacity summary'!$D$14="Yes",IF(COUNTBLANK('Capacity summary'!$H195:$BG195)&lt;52,IF('Capacity summary'!AM195&lt;&gt;"",IF(LOWER('Capacity summary'!AM195)="x",$BI76*AM76,VALUE('Capacity summary'!AM195)),0),AM76*$BI76),AM76*$BI76),0)</f>
        <v>0</v>
      </c>
      <c r="CQ76" s="314">
        <f>IF($BI76&lt;&gt;"",IF('Capacity summary'!$D$14="Yes",IF(COUNTBLANK('Capacity summary'!$H195:$BG195)&lt;52,IF('Capacity summary'!AN195&lt;&gt;"",IF(LOWER('Capacity summary'!AN195)="x",$BI76*AN76,VALUE('Capacity summary'!AN195)),0),AN76*$BI76),AN76*$BI76),0)</f>
        <v>0</v>
      </c>
      <c r="CR76" s="314">
        <f>IF($BI76&lt;&gt;"",IF('Capacity summary'!$D$14="Yes",IF(COUNTBLANK('Capacity summary'!$H195:$BG195)&lt;52,IF('Capacity summary'!AO195&lt;&gt;"",IF(LOWER('Capacity summary'!AO195)="x",$BI76*AO76,VALUE('Capacity summary'!AO195)),0),AO76*$BI76),AO76*$BI76),0)</f>
        <v>0</v>
      </c>
      <c r="CS76" s="314">
        <f>IF($BI76&lt;&gt;"",IF('Capacity summary'!$D$14="Yes",IF(COUNTBLANK('Capacity summary'!$H195:$BG195)&lt;52,IF('Capacity summary'!AP195&lt;&gt;"",IF(LOWER('Capacity summary'!AP195)="x",$BI76*AP76,VALUE('Capacity summary'!AP195)),0),AP76*$BI76),AP76*$BI76),0)</f>
        <v>0</v>
      </c>
      <c r="CT76" s="314">
        <f>IF($BI76&lt;&gt;"",IF('Capacity summary'!$D$14="Yes",IF(COUNTBLANK('Capacity summary'!$H195:$BG195)&lt;52,IF('Capacity summary'!AQ195&lt;&gt;"",IF(LOWER('Capacity summary'!AQ195)="x",$BI76*AQ76,VALUE('Capacity summary'!AQ195)),0),AQ76*$BI76),AQ76*$BI76),0)</f>
        <v>0</v>
      </c>
      <c r="CU76" s="314">
        <f>IF($BI76&lt;&gt;"",IF('Capacity summary'!$D$14="Yes",IF(COUNTBLANK('Capacity summary'!$H195:$BG195)&lt;52,IF('Capacity summary'!AR195&lt;&gt;"",IF(LOWER('Capacity summary'!AR195)="x",$BI76*AR76,VALUE('Capacity summary'!AR195)),0),AR76*$BI76),AR76*$BI76),0)</f>
        <v>0</v>
      </c>
      <c r="CV76" s="314">
        <f>IF($BI76&lt;&gt;"",IF('Capacity summary'!$D$14="Yes",IF(COUNTBLANK('Capacity summary'!$H195:$BG195)&lt;52,IF('Capacity summary'!AS195&lt;&gt;"",IF(LOWER('Capacity summary'!AS195)="x",$BI76*AS76,VALUE('Capacity summary'!AS195)),0),AS76*$BI76),AS76*$BI76),0)</f>
        <v>0</v>
      </c>
      <c r="CW76" s="314">
        <f>IF($BI76&lt;&gt;"",IF('Capacity summary'!$D$14="Yes",IF(COUNTBLANK('Capacity summary'!$H195:$BG195)&lt;52,IF('Capacity summary'!AT195&lt;&gt;"",IF(LOWER('Capacity summary'!AT195)="x",$BI76*AT76,VALUE('Capacity summary'!AT195)),0),AT76*$BI76),AT76*$BI76),0)</f>
        <v>0</v>
      </c>
      <c r="CX76" s="314">
        <f>IF($BI76&lt;&gt;"",IF('Capacity summary'!$D$14="Yes",IF(COUNTBLANK('Capacity summary'!$H195:$BG195)&lt;52,IF('Capacity summary'!AU195&lt;&gt;"",IF(LOWER('Capacity summary'!AU195)="x",$BI76*AU76,VALUE('Capacity summary'!AU195)),0),AU76*$BI76),AU76*$BI76),0)</f>
        <v>0</v>
      </c>
      <c r="CY76" s="314">
        <f>IF($BI76&lt;&gt;"",IF('Capacity summary'!$D$14="Yes",IF(COUNTBLANK('Capacity summary'!$H195:$BG195)&lt;52,IF('Capacity summary'!AV195&lt;&gt;"",IF(LOWER('Capacity summary'!AV195)="x",$BI76*AV76,VALUE('Capacity summary'!AV195)),0),AV76*$BI76),AV76*$BI76),0)</f>
        <v>0</v>
      </c>
      <c r="CZ76" s="314">
        <f>IF($BI76&lt;&gt;"",IF('Capacity summary'!$D$14="Yes",IF(COUNTBLANK('Capacity summary'!$H195:$BG195)&lt;52,IF('Capacity summary'!AW195&lt;&gt;"",IF(LOWER('Capacity summary'!AW195)="x",$BI76*AW76,VALUE('Capacity summary'!AW195)),0),AW76*$BI76),AW76*$BI76),0)</f>
        <v>0</v>
      </c>
      <c r="DA76" s="314">
        <f>IF($BI76&lt;&gt;"",IF('Capacity summary'!$D$14="Yes",IF(COUNTBLANK('Capacity summary'!$H195:$BG195)&lt;52,IF('Capacity summary'!AX195&lt;&gt;"",IF(LOWER('Capacity summary'!AX195)="x",$BI76*AX76,VALUE('Capacity summary'!AX195)),0),AX76*$BI76),AX76*$BI76),0)</f>
        <v>0</v>
      </c>
      <c r="DB76" s="314">
        <f>IF($BI76&lt;&gt;"",IF('Capacity summary'!$D$14="Yes",IF(COUNTBLANK('Capacity summary'!$H195:$BG195)&lt;52,IF('Capacity summary'!AY195&lt;&gt;"",IF(LOWER('Capacity summary'!AY195)="x",$BI76*AY76,VALUE('Capacity summary'!AY195)),0),AY76*$BI76),AY76*$BI76),0)</f>
        <v>0</v>
      </c>
      <c r="DC76" s="314">
        <f>IF($BI76&lt;&gt;"",IF('Capacity summary'!$D$14="Yes",IF(COUNTBLANK('Capacity summary'!$H195:$BG195)&lt;52,IF('Capacity summary'!AZ195&lt;&gt;"",IF(LOWER('Capacity summary'!AZ195)="x",$BI76*AZ76,VALUE('Capacity summary'!AZ195)),0),AZ76*$BI76),AZ76*$BI76),0)</f>
        <v>0</v>
      </c>
      <c r="DD76" s="314">
        <f>IF($BI76&lt;&gt;"",IF('Capacity summary'!$D$14="Yes",IF(COUNTBLANK('Capacity summary'!$H195:$BG195)&lt;52,IF('Capacity summary'!BA195&lt;&gt;"",IF(LOWER('Capacity summary'!BA195)="x",$BI76*BA76,VALUE('Capacity summary'!BA195)),0),BA76*$BI76),BA76*$BI76),0)</f>
        <v>0</v>
      </c>
      <c r="DE76" s="314">
        <f>IF($BI76&lt;&gt;"",IF('Capacity summary'!$D$14="Yes",IF(COUNTBLANK('Capacity summary'!$H195:$BG195)&lt;52,IF('Capacity summary'!BB195&lt;&gt;"",IF(LOWER('Capacity summary'!BB195)="x",$BI76*BB76,VALUE('Capacity summary'!BB195)),0),BB76*$BI76),BB76*$BI76),0)</f>
        <v>0</v>
      </c>
      <c r="DF76" s="314">
        <f>IF($BI76&lt;&gt;"",IF('Capacity summary'!$D$14="Yes",IF(COUNTBLANK('Capacity summary'!$H195:$BG195)&lt;52,IF('Capacity summary'!BC195&lt;&gt;"",IF(LOWER('Capacity summary'!BC195)="x",$BI76*BC76,VALUE('Capacity summary'!BC195)),0),BC76*$BI76),BC76*$BI76),0)</f>
        <v>0</v>
      </c>
      <c r="DG76" s="314">
        <f>IF($BI76&lt;&gt;"",IF('Capacity summary'!$D$14="Yes",IF(COUNTBLANK('Capacity summary'!$H195:$BG195)&lt;52,IF('Capacity summary'!BD195&lt;&gt;"",IF(LOWER('Capacity summary'!BD195)="x",$BI76*BD76,VALUE('Capacity summary'!BD195)),0),BD76*$BI76),BD76*$BI76),0)</f>
        <v>0</v>
      </c>
      <c r="DH76" s="314">
        <f>IF($BI76&lt;&gt;"",IF('Capacity summary'!$D$14="Yes",IF(COUNTBLANK('Capacity summary'!$H195:$BG195)&lt;52,IF('Capacity summary'!BE195&lt;&gt;"",IF(LOWER('Capacity summary'!BE195)="x",$BI76*BE76,VALUE('Capacity summary'!BE195)),0),BE76*$BI76),BE76*$BI76),0)</f>
        <v>0</v>
      </c>
      <c r="DI76" s="314">
        <f>IF($BI76&lt;&gt;"",IF('Capacity summary'!$D$14="Yes",IF(COUNTBLANK('Capacity summary'!$H195:$BG195)&lt;52,IF('Capacity summary'!BF195&lt;&gt;"",IF(LOWER('Capacity summary'!BF195)="x",$BI76*BF76,VALUE('Capacity summary'!BF195)),0),BF76*$BI76),BF76*$BI76),0)</f>
        <v>0</v>
      </c>
      <c r="DJ76" s="314">
        <f>IF($BI76&lt;&gt;"",IF('Capacity summary'!$D$14="Yes",IF(COUNTBLANK('Capacity summary'!$H195:$BG195)&lt;52,IF('Capacity summary'!BG195&lt;&gt;"",IF(LOWER('Capacity summary'!BG195)="x",$BI76*BG76,VALUE('Capacity summary'!BG195)),0),BG76*$BI76),BG76*$BI76),0)</f>
        <v>0</v>
      </c>
      <c r="DK76" s="137">
        <f t="shared" si="3"/>
        <v>0</v>
      </c>
      <c r="DL76" s="314"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4">
        <f>IF($BI77&lt;&gt;"",IF('Capacity summary'!$D$14="Yes",IF(COUNTBLANK('Capacity summary'!$H196:$BG196)&lt;52,IF('Capacity summary'!H196&lt;&gt;"",IF(LOWER('Capacity summary'!H196)="x",$BI77*H77,VALUE('Capacity summary'!H196)),0),H77*$BI77),H77*$BI77),0)</f>
        <v>0</v>
      </c>
      <c r="BL77" s="314">
        <f>IF($BI77&lt;&gt;"",IF('Capacity summary'!$D$14="Yes",IF(COUNTBLANK('Capacity summary'!$H196:$BG196)&lt;52,IF('Capacity summary'!I196&lt;&gt;"",IF(LOWER('Capacity summary'!I196)="x",$BI77*I77,VALUE('Capacity summary'!I196)),0),I77*$BI77),I77*$BI77),0)</f>
        <v>0</v>
      </c>
      <c r="BM77" s="314">
        <f>IF($BI77&lt;&gt;"",IF('Capacity summary'!$D$14="Yes",IF(COUNTBLANK('Capacity summary'!$H196:$BG196)&lt;52,IF('Capacity summary'!J196&lt;&gt;"",IF(LOWER('Capacity summary'!J196)="x",$BI77*J77,VALUE('Capacity summary'!J196)),0),J77*$BI77),J77*$BI77),0)</f>
        <v>0</v>
      </c>
      <c r="BN77" s="314">
        <f>IF($BI77&lt;&gt;"",IF('Capacity summary'!$D$14="Yes",IF(COUNTBLANK('Capacity summary'!$H196:$BG196)&lt;52,IF('Capacity summary'!K196&lt;&gt;"",IF(LOWER('Capacity summary'!K196)="x",$BI77*K77,VALUE('Capacity summary'!K196)),0),K77*$BI77),K77*$BI77),0)</f>
        <v>0</v>
      </c>
      <c r="BO77" s="314">
        <f>IF($BI77&lt;&gt;"",IF('Capacity summary'!$D$14="Yes",IF(COUNTBLANK('Capacity summary'!$H196:$BG196)&lt;52,IF('Capacity summary'!L196&lt;&gt;"",IF(LOWER('Capacity summary'!L196)="x",$BI77*L77,VALUE('Capacity summary'!L196)),0),L77*$BI77),L77*$BI77),0)</f>
        <v>0</v>
      </c>
      <c r="BP77" s="314">
        <f>IF($BI77&lt;&gt;"",IF('Capacity summary'!$D$14="Yes",IF(COUNTBLANK('Capacity summary'!$H196:$BG196)&lt;52,IF('Capacity summary'!M196&lt;&gt;"",IF(LOWER('Capacity summary'!M196)="x",$BI77*M77,VALUE('Capacity summary'!M196)),0),M77*$BI77),M77*$BI77),0)</f>
        <v>0</v>
      </c>
      <c r="BQ77" s="314">
        <f>IF($BI77&lt;&gt;"",IF('Capacity summary'!$D$14="Yes",IF(COUNTBLANK('Capacity summary'!$H196:$BG196)&lt;52,IF('Capacity summary'!N196&lt;&gt;"",IF(LOWER('Capacity summary'!N196)="x",$BI77*N77,VALUE('Capacity summary'!N196)),0),N77*$BI77),N77*$BI77),0)</f>
        <v>0</v>
      </c>
      <c r="BR77" s="314">
        <f>IF($BI77&lt;&gt;"",IF('Capacity summary'!$D$14="Yes",IF(COUNTBLANK('Capacity summary'!$H196:$BG196)&lt;52,IF('Capacity summary'!O196&lt;&gt;"",IF(LOWER('Capacity summary'!O196)="x",$BI77*O77,VALUE('Capacity summary'!O196)),0),O77*$BI77),O77*$BI77),0)</f>
        <v>0</v>
      </c>
      <c r="BS77" s="314">
        <f>IF($BI77&lt;&gt;"",IF('Capacity summary'!$D$14="Yes",IF(COUNTBLANK('Capacity summary'!$H196:$BG196)&lt;52,IF('Capacity summary'!P196&lt;&gt;"",IF(LOWER('Capacity summary'!P196)="x",$BI77*P77,VALUE('Capacity summary'!P196)),0),P77*$BI77),P77*$BI77),0)</f>
        <v>0</v>
      </c>
      <c r="BT77" s="314">
        <f>IF($BI77&lt;&gt;"",IF('Capacity summary'!$D$14="Yes",IF(COUNTBLANK('Capacity summary'!$H196:$BG196)&lt;52,IF('Capacity summary'!Q196&lt;&gt;"",IF(LOWER('Capacity summary'!Q196)="x",$BI77*Q77,VALUE('Capacity summary'!Q196)),0),Q77*$BI77),Q77*$BI77),0)</f>
        <v>0</v>
      </c>
      <c r="BU77" s="314">
        <f>IF($BI77&lt;&gt;"",IF('Capacity summary'!$D$14="Yes",IF(COUNTBLANK('Capacity summary'!$H196:$BG196)&lt;52,IF('Capacity summary'!R196&lt;&gt;"",IF(LOWER('Capacity summary'!R196)="x",$BI77*R77,VALUE('Capacity summary'!R196)),0),R77*$BI77),R77*$BI77),0)</f>
        <v>0</v>
      </c>
      <c r="BV77" s="314">
        <f>IF($BI77&lt;&gt;"",IF('Capacity summary'!$D$14="Yes",IF(COUNTBLANK('Capacity summary'!$H196:$BG196)&lt;52,IF('Capacity summary'!S196&lt;&gt;"",IF(LOWER('Capacity summary'!S196)="x",$BI77*S77,VALUE('Capacity summary'!S196)),0),S77*$BI77),S77*$BI77),0)</f>
        <v>0</v>
      </c>
      <c r="BW77" s="314">
        <f>IF($BI77&lt;&gt;"",IF('Capacity summary'!$D$14="Yes",IF(COUNTBLANK('Capacity summary'!$H196:$BG196)&lt;52,IF('Capacity summary'!T196&lt;&gt;"",IF(LOWER('Capacity summary'!T196)="x",$BI77*T77,VALUE('Capacity summary'!T196)),0),T77*$BI77),T77*$BI77),0)</f>
        <v>0</v>
      </c>
      <c r="BX77" s="314">
        <f>IF($BI77&lt;&gt;"",IF('Capacity summary'!$D$14="Yes",IF(COUNTBLANK('Capacity summary'!$H196:$BG196)&lt;52,IF('Capacity summary'!U196&lt;&gt;"",IF(LOWER('Capacity summary'!U196)="x",$BI77*U77,VALUE('Capacity summary'!U196)),0),U77*$BI77),U77*$BI77),0)</f>
        <v>0</v>
      </c>
      <c r="BY77" s="314">
        <f>IF($BI77&lt;&gt;"",IF('Capacity summary'!$D$14="Yes",IF(COUNTBLANK('Capacity summary'!$H196:$BG196)&lt;52,IF('Capacity summary'!V196&lt;&gt;"",IF(LOWER('Capacity summary'!V196)="x",$BI77*V77,VALUE('Capacity summary'!V196)),0),V77*$BI77),V77*$BI77),0)</f>
        <v>0</v>
      </c>
      <c r="BZ77" s="314">
        <f>IF($BI77&lt;&gt;"",IF('Capacity summary'!$D$14="Yes",IF(COUNTBLANK('Capacity summary'!$H196:$BG196)&lt;52,IF('Capacity summary'!W196&lt;&gt;"",IF(LOWER('Capacity summary'!W196)="x",$BI77*W77,VALUE('Capacity summary'!W196)),0),W77*$BI77),W77*$BI77),0)</f>
        <v>0</v>
      </c>
      <c r="CA77" s="314">
        <f>IF($BI77&lt;&gt;"",IF('Capacity summary'!$D$14="Yes",IF(COUNTBLANK('Capacity summary'!$H196:$BG196)&lt;52,IF('Capacity summary'!X196&lt;&gt;"",IF(LOWER('Capacity summary'!X196)="x",$BI77*X77,VALUE('Capacity summary'!X196)),0),X77*$BI77),X77*$BI77),0)</f>
        <v>0</v>
      </c>
      <c r="CB77" s="314">
        <f>IF($BI77&lt;&gt;"",IF('Capacity summary'!$D$14="Yes",IF(COUNTBLANK('Capacity summary'!$H196:$BG196)&lt;52,IF('Capacity summary'!Y196&lt;&gt;"",IF(LOWER('Capacity summary'!Y196)="x",$BI77*Y77,VALUE('Capacity summary'!Y196)),0),Y77*$BI77),Y77*$BI77),0)</f>
        <v>0</v>
      </c>
      <c r="CC77" s="314">
        <f>IF($BI77&lt;&gt;"",IF('Capacity summary'!$D$14="Yes",IF(COUNTBLANK('Capacity summary'!$H196:$BG196)&lt;52,IF('Capacity summary'!Z196&lt;&gt;"",IF(LOWER('Capacity summary'!Z196)="x",$BI77*Z77,VALUE('Capacity summary'!Z196)),0),Z77*$BI77),Z77*$BI77),0)</f>
        <v>0</v>
      </c>
      <c r="CD77" s="314">
        <f>IF($BI77&lt;&gt;"",IF('Capacity summary'!$D$14="Yes",IF(COUNTBLANK('Capacity summary'!$H196:$BG196)&lt;52,IF('Capacity summary'!AA196&lt;&gt;"",IF(LOWER('Capacity summary'!AA196)="x",$BI77*AA77,VALUE('Capacity summary'!AA196)),0),AA77*$BI77),AA77*$BI77),0)</f>
        <v>0</v>
      </c>
      <c r="CE77" s="314">
        <f>IF($BI77&lt;&gt;"",IF('Capacity summary'!$D$14="Yes",IF(COUNTBLANK('Capacity summary'!$H196:$BG196)&lt;52,IF('Capacity summary'!AB196&lt;&gt;"",IF(LOWER('Capacity summary'!AB196)="x",$BI77*AB77,VALUE('Capacity summary'!AB196)),0),AB77*$BI77),AB77*$BI77),0)</f>
        <v>0</v>
      </c>
      <c r="CF77" s="314">
        <f>IF($BI77&lt;&gt;"",IF('Capacity summary'!$D$14="Yes",IF(COUNTBLANK('Capacity summary'!$H196:$BG196)&lt;52,IF('Capacity summary'!AC196&lt;&gt;"",IF(LOWER('Capacity summary'!AC196)="x",$BI77*AC77,VALUE('Capacity summary'!AC196)),0),AC77*$BI77),AC77*$BI77),0)</f>
        <v>0</v>
      </c>
      <c r="CG77" s="314">
        <f>IF($BI77&lt;&gt;"",IF('Capacity summary'!$D$14="Yes",IF(COUNTBLANK('Capacity summary'!$H196:$BG196)&lt;52,IF('Capacity summary'!AD196&lt;&gt;"",IF(LOWER('Capacity summary'!AD196)="x",$BI77*AD77,VALUE('Capacity summary'!AD196)),0),AD77*$BI77),AD77*$BI77),0)</f>
        <v>0</v>
      </c>
      <c r="CH77" s="314">
        <f>IF($BI77&lt;&gt;"",IF('Capacity summary'!$D$14="Yes",IF(COUNTBLANK('Capacity summary'!$H196:$BG196)&lt;52,IF('Capacity summary'!AE196&lt;&gt;"",IF(LOWER('Capacity summary'!AE196)="x",$BI77*AE77,VALUE('Capacity summary'!AE196)),0),AE77*$BI77),AE77*$BI77),0)</f>
        <v>0</v>
      </c>
      <c r="CI77" s="314">
        <f>IF($BI77&lt;&gt;"",IF('Capacity summary'!$D$14="Yes",IF(COUNTBLANK('Capacity summary'!$H196:$BG196)&lt;52,IF('Capacity summary'!AF196&lt;&gt;"",IF(LOWER('Capacity summary'!AF196)="x",$BI77*AF77,VALUE('Capacity summary'!AF196)),0),AF77*$BI77),AF77*$BI77),0)</f>
        <v>0</v>
      </c>
      <c r="CJ77" s="314">
        <f>IF($BI77&lt;&gt;"",IF('Capacity summary'!$D$14="Yes",IF(COUNTBLANK('Capacity summary'!$H196:$BG196)&lt;52,IF('Capacity summary'!AG196&lt;&gt;"",IF(LOWER('Capacity summary'!AG196)="x",$BI77*AG77,VALUE('Capacity summary'!AG196)),0),AG77*$BI77),AG77*$BI77),0)</f>
        <v>0</v>
      </c>
      <c r="CK77" s="314">
        <f>IF($BI77&lt;&gt;"",IF('Capacity summary'!$D$14="Yes",IF(COUNTBLANK('Capacity summary'!$H196:$BG196)&lt;52,IF('Capacity summary'!AH196&lt;&gt;"",IF(LOWER('Capacity summary'!AH196)="x",$BI77*AH77,VALUE('Capacity summary'!AH196)),0),AH77*$BI77),AH77*$BI77),0)</f>
        <v>0</v>
      </c>
      <c r="CL77" s="314">
        <f>IF($BI77&lt;&gt;"",IF('Capacity summary'!$D$14="Yes",IF(COUNTBLANK('Capacity summary'!$H196:$BG196)&lt;52,IF('Capacity summary'!AI196&lt;&gt;"",IF(LOWER('Capacity summary'!AI196)="x",$BI77*AI77,VALUE('Capacity summary'!AI196)),0),AI77*$BI77),AI77*$BI77),0)</f>
        <v>0</v>
      </c>
      <c r="CM77" s="314">
        <f>IF($BI77&lt;&gt;"",IF('Capacity summary'!$D$14="Yes",IF(COUNTBLANK('Capacity summary'!$H196:$BG196)&lt;52,IF('Capacity summary'!AJ196&lt;&gt;"",IF(LOWER('Capacity summary'!AJ196)="x",$BI77*AJ77,VALUE('Capacity summary'!AJ196)),0),AJ77*$BI77),AJ77*$BI77),0)</f>
        <v>0</v>
      </c>
      <c r="CN77" s="314">
        <f>IF($BI77&lt;&gt;"",IF('Capacity summary'!$D$14="Yes",IF(COUNTBLANK('Capacity summary'!$H196:$BG196)&lt;52,IF('Capacity summary'!AK196&lt;&gt;"",IF(LOWER('Capacity summary'!AK196)="x",$BI77*AK77,VALUE('Capacity summary'!AK196)),0),AK77*$BI77),AK77*$BI77),0)</f>
        <v>0</v>
      </c>
      <c r="CO77" s="314">
        <f>IF($BI77&lt;&gt;"",IF('Capacity summary'!$D$14="Yes",IF(COUNTBLANK('Capacity summary'!$H196:$BG196)&lt;52,IF('Capacity summary'!AL196&lt;&gt;"",IF(LOWER('Capacity summary'!AL196)="x",$BI77*AL77,VALUE('Capacity summary'!AL196)),0),AL77*$BI77),AL77*$BI77),0)</f>
        <v>0</v>
      </c>
      <c r="CP77" s="314">
        <f>IF($BI77&lt;&gt;"",IF('Capacity summary'!$D$14="Yes",IF(COUNTBLANK('Capacity summary'!$H196:$BG196)&lt;52,IF('Capacity summary'!AM196&lt;&gt;"",IF(LOWER('Capacity summary'!AM196)="x",$BI77*AM77,VALUE('Capacity summary'!AM196)),0),AM77*$BI77),AM77*$BI77),0)</f>
        <v>0</v>
      </c>
      <c r="CQ77" s="314">
        <f>IF($BI77&lt;&gt;"",IF('Capacity summary'!$D$14="Yes",IF(COUNTBLANK('Capacity summary'!$H196:$BG196)&lt;52,IF('Capacity summary'!AN196&lt;&gt;"",IF(LOWER('Capacity summary'!AN196)="x",$BI77*AN77,VALUE('Capacity summary'!AN196)),0),AN77*$BI77),AN77*$BI77),0)</f>
        <v>0</v>
      </c>
      <c r="CR77" s="314">
        <f>IF($BI77&lt;&gt;"",IF('Capacity summary'!$D$14="Yes",IF(COUNTBLANK('Capacity summary'!$H196:$BG196)&lt;52,IF('Capacity summary'!AO196&lt;&gt;"",IF(LOWER('Capacity summary'!AO196)="x",$BI77*AO77,VALUE('Capacity summary'!AO196)),0),AO77*$BI77),AO77*$BI77),0)</f>
        <v>0</v>
      </c>
      <c r="CS77" s="314">
        <f>IF($BI77&lt;&gt;"",IF('Capacity summary'!$D$14="Yes",IF(COUNTBLANK('Capacity summary'!$H196:$BG196)&lt;52,IF('Capacity summary'!AP196&lt;&gt;"",IF(LOWER('Capacity summary'!AP196)="x",$BI77*AP77,VALUE('Capacity summary'!AP196)),0),AP77*$BI77),AP77*$BI77),0)</f>
        <v>0</v>
      </c>
      <c r="CT77" s="314">
        <f>IF($BI77&lt;&gt;"",IF('Capacity summary'!$D$14="Yes",IF(COUNTBLANK('Capacity summary'!$H196:$BG196)&lt;52,IF('Capacity summary'!AQ196&lt;&gt;"",IF(LOWER('Capacity summary'!AQ196)="x",$BI77*AQ77,VALUE('Capacity summary'!AQ196)),0),AQ77*$BI77),AQ77*$BI77),0)</f>
        <v>0</v>
      </c>
      <c r="CU77" s="314">
        <f>IF($BI77&lt;&gt;"",IF('Capacity summary'!$D$14="Yes",IF(COUNTBLANK('Capacity summary'!$H196:$BG196)&lt;52,IF('Capacity summary'!AR196&lt;&gt;"",IF(LOWER('Capacity summary'!AR196)="x",$BI77*AR77,VALUE('Capacity summary'!AR196)),0),AR77*$BI77),AR77*$BI77),0)</f>
        <v>0</v>
      </c>
      <c r="CV77" s="314">
        <f>IF($BI77&lt;&gt;"",IF('Capacity summary'!$D$14="Yes",IF(COUNTBLANK('Capacity summary'!$H196:$BG196)&lt;52,IF('Capacity summary'!AS196&lt;&gt;"",IF(LOWER('Capacity summary'!AS196)="x",$BI77*AS77,VALUE('Capacity summary'!AS196)),0),AS77*$BI77),AS77*$BI77),0)</f>
        <v>0</v>
      </c>
      <c r="CW77" s="314">
        <f>IF($BI77&lt;&gt;"",IF('Capacity summary'!$D$14="Yes",IF(COUNTBLANK('Capacity summary'!$H196:$BG196)&lt;52,IF('Capacity summary'!AT196&lt;&gt;"",IF(LOWER('Capacity summary'!AT196)="x",$BI77*AT77,VALUE('Capacity summary'!AT196)),0),AT77*$BI77),AT77*$BI77),0)</f>
        <v>0</v>
      </c>
      <c r="CX77" s="314">
        <f>IF($BI77&lt;&gt;"",IF('Capacity summary'!$D$14="Yes",IF(COUNTBLANK('Capacity summary'!$H196:$BG196)&lt;52,IF('Capacity summary'!AU196&lt;&gt;"",IF(LOWER('Capacity summary'!AU196)="x",$BI77*AU77,VALUE('Capacity summary'!AU196)),0),AU77*$BI77),AU77*$BI77),0)</f>
        <v>0</v>
      </c>
      <c r="CY77" s="314">
        <f>IF($BI77&lt;&gt;"",IF('Capacity summary'!$D$14="Yes",IF(COUNTBLANK('Capacity summary'!$H196:$BG196)&lt;52,IF('Capacity summary'!AV196&lt;&gt;"",IF(LOWER('Capacity summary'!AV196)="x",$BI77*AV77,VALUE('Capacity summary'!AV196)),0),AV77*$BI77),AV77*$BI77),0)</f>
        <v>0</v>
      </c>
      <c r="CZ77" s="314">
        <f>IF($BI77&lt;&gt;"",IF('Capacity summary'!$D$14="Yes",IF(COUNTBLANK('Capacity summary'!$H196:$BG196)&lt;52,IF('Capacity summary'!AW196&lt;&gt;"",IF(LOWER('Capacity summary'!AW196)="x",$BI77*AW77,VALUE('Capacity summary'!AW196)),0),AW77*$BI77),AW77*$BI77),0)</f>
        <v>0</v>
      </c>
      <c r="DA77" s="314">
        <f>IF($BI77&lt;&gt;"",IF('Capacity summary'!$D$14="Yes",IF(COUNTBLANK('Capacity summary'!$H196:$BG196)&lt;52,IF('Capacity summary'!AX196&lt;&gt;"",IF(LOWER('Capacity summary'!AX196)="x",$BI77*AX77,VALUE('Capacity summary'!AX196)),0),AX77*$BI77),AX77*$BI77),0)</f>
        <v>0</v>
      </c>
      <c r="DB77" s="314">
        <f>IF($BI77&lt;&gt;"",IF('Capacity summary'!$D$14="Yes",IF(COUNTBLANK('Capacity summary'!$H196:$BG196)&lt;52,IF('Capacity summary'!AY196&lt;&gt;"",IF(LOWER('Capacity summary'!AY196)="x",$BI77*AY77,VALUE('Capacity summary'!AY196)),0),AY77*$BI77),AY77*$BI77),0)</f>
        <v>0</v>
      </c>
      <c r="DC77" s="314">
        <f>IF($BI77&lt;&gt;"",IF('Capacity summary'!$D$14="Yes",IF(COUNTBLANK('Capacity summary'!$H196:$BG196)&lt;52,IF('Capacity summary'!AZ196&lt;&gt;"",IF(LOWER('Capacity summary'!AZ196)="x",$BI77*AZ77,VALUE('Capacity summary'!AZ196)),0),AZ77*$BI77),AZ77*$BI77),0)</f>
        <v>0</v>
      </c>
      <c r="DD77" s="314">
        <f>IF($BI77&lt;&gt;"",IF('Capacity summary'!$D$14="Yes",IF(COUNTBLANK('Capacity summary'!$H196:$BG196)&lt;52,IF('Capacity summary'!BA196&lt;&gt;"",IF(LOWER('Capacity summary'!BA196)="x",$BI77*BA77,VALUE('Capacity summary'!BA196)),0),BA77*$BI77),BA77*$BI77),0)</f>
        <v>0</v>
      </c>
      <c r="DE77" s="314">
        <f>IF($BI77&lt;&gt;"",IF('Capacity summary'!$D$14="Yes",IF(COUNTBLANK('Capacity summary'!$H196:$BG196)&lt;52,IF('Capacity summary'!BB196&lt;&gt;"",IF(LOWER('Capacity summary'!BB196)="x",$BI77*BB77,VALUE('Capacity summary'!BB196)),0),BB77*$BI77),BB77*$BI77),0)</f>
        <v>0</v>
      </c>
      <c r="DF77" s="314">
        <f>IF($BI77&lt;&gt;"",IF('Capacity summary'!$D$14="Yes",IF(COUNTBLANK('Capacity summary'!$H196:$BG196)&lt;52,IF('Capacity summary'!BC196&lt;&gt;"",IF(LOWER('Capacity summary'!BC196)="x",$BI77*BC77,VALUE('Capacity summary'!BC196)),0),BC77*$BI77),BC77*$BI77),0)</f>
        <v>0</v>
      </c>
      <c r="DG77" s="314">
        <f>IF($BI77&lt;&gt;"",IF('Capacity summary'!$D$14="Yes",IF(COUNTBLANK('Capacity summary'!$H196:$BG196)&lt;52,IF('Capacity summary'!BD196&lt;&gt;"",IF(LOWER('Capacity summary'!BD196)="x",$BI77*BD77,VALUE('Capacity summary'!BD196)),0),BD77*$BI77),BD77*$BI77),0)</f>
        <v>0</v>
      </c>
      <c r="DH77" s="314">
        <f>IF($BI77&lt;&gt;"",IF('Capacity summary'!$D$14="Yes",IF(COUNTBLANK('Capacity summary'!$H196:$BG196)&lt;52,IF('Capacity summary'!BE196&lt;&gt;"",IF(LOWER('Capacity summary'!BE196)="x",$BI77*BE77,VALUE('Capacity summary'!BE196)),0),BE77*$BI77),BE77*$BI77),0)</f>
        <v>0</v>
      </c>
      <c r="DI77" s="314">
        <f>IF($BI77&lt;&gt;"",IF('Capacity summary'!$D$14="Yes",IF(COUNTBLANK('Capacity summary'!$H196:$BG196)&lt;52,IF('Capacity summary'!BF196&lt;&gt;"",IF(LOWER('Capacity summary'!BF196)="x",$BI77*BF77,VALUE('Capacity summary'!BF196)),0),BF77*$BI77),BF77*$BI77),0)</f>
        <v>0</v>
      </c>
      <c r="DJ77" s="314">
        <f>IF($BI77&lt;&gt;"",IF('Capacity summary'!$D$14="Yes",IF(COUNTBLANK('Capacity summary'!$H196:$BG196)&lt;52,IF('Capacity summary'!BG196&lt;&gt;"",IF(LOWER('Capacity summary'!BG196)="x",$BI77*BG77,VALUE('Capacity summary'!BG196)),0),BG77*$BI77),BG77*$BI77),0)</f>
        <v>0</v>
      </c>
      <c r="DK77" s="137">
        <f t="shared" si="3"/>
        <v>0</v>
      </c>
      <c r="DL77" s="314"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4">
        <f>IF($BI78&lt;&gt;"",IF('Capacity summary'!$D$14="Yes",IF(COUNTBLANK('Capacity summary'!$H197:$BG197)&lt;52,IF('Capacity summary'!H197&lt;&gt;"",IF(LOWER('Capacity summary'!H197)="x",$BI78*H78,VALUE('Capacity summary'!H197)),0),H78*$BI78),H78*$BI78),0)</f>
        <v>0</v>
      </c>
      <c r="BL78" s="314">
        <f>IF($BI78&lt;&gt;"",IF('Capacity summary'!$D$14="Yes",IF(COUNTBLANK('Capacity summary'!$H197:$BG197)&lt;52,IF('Capacity summary'!I197&lt;&gt;"",IF(LOWER('Capacity summary'!I197)="x",$BI78*I78,VALUE('Capacity summary'!I197)),0),I78*$BI78),I78*$BI78),0)</f>
        <v>0</v>
      </c>
      <c r="BM78" s="314">
        <f>IF($BI78&lt;&gt;"",IF('Capacity summary'!$D$14="Yes",IF(COUNTBLANK('Capacity summary'!$H197:$BG197)&lt;52,IF('Capacity summary'!J197&lt;&gt;"",IF(LOWER('Capacity summary'!J197)="x",$BI78*J78,VALUE('Capacity summary'!J197)),0),J78*$BI78),J78*$BI78),0)</f>
        <v>0</v>
      </c>
      <c r="BN78" s="314">
        <f>IF($BI78&lt;&gt;"",IF('Capacity summary'!$D$14="Yes",IF(COUNTBLANK('Capacity summary'!$H197:$BG197)&lt;52,IF('Capacity summary'!K197&lt;&gt;"",IF(LOWER('Capacity summary'!K197)="x",$BI78*K78,VALUE('Capacity summary'!K197)),0),K78*$BI78),K78*$BI78),0)</f>
        <v>0</v>
      </c>
      <c r="BO78" s="314">
        <f>IF($BI78&lt;&gt;"",IF('Capacity summary'!$D$14="Yes",IF(COUNTBLANK('Capacity summary'!$H197:$BG197)&lt;52,IF('Capacity summary'!L197&lt;&gt;"",IF(LOWER('Capacity summary'!L197)="x",$BI78*L78,VALUE('Capacity summary'!L197)),0),L78*$BI78),L78*$BI78),0)</f>
        <v>0</v>
      </c>
      <c r="BP78" s="314">
        <f>IF($BI78&lt;&gt;"",IF('Capacity summary'!$D$14="Yes",IF(COUNTBLANK('Capacity summary'!$H197:$BG197)&lt;52,IF('Capacity summary'!M197&lt;&gt;"",IF(LOWER('Capacity summary'!M197)="x",$BI78*M78,VALUE('Capacity summary'!M197)),0),M78*$BI78),M78*$BI78),0)</f>
        <v>0</v>
      </c>
      <c r="BQ78" s="314">
        <f>IF($BI78&lt;&gt;"",IF('Capacity summary'!$D$14="Yes",IF(COUNTBLANK('Capacity summary'!$H197:$BG197)&lt;52,IF('Capacity summary'!N197&lt;&gt;"",IF(LOWER('Capacity summary'!N197)="x",$BI78*N78,VALUE('Capacity summary'!N197)),0),N78*$BI78),N78*$BI78),0)</f>
        <v>0</v>
      </c>
      <c r="BR78" s="314">
        <f>IF($BI78&lt;&gt;"",IF('Capacity summary'!$D$14="Yes",IF(COUNTBLANK('Capacity summary'!$H197:$BG197)&lt;52,IF('Capacity summary'!O197&lt;&gt;"",IF(LOWER('Capacity summary'!O197)="x",$BI78*O78,VALUE('Capacity summary'!O197)),0),O78*$BI78),O78*$BI78),0)</f>
        <v>0</v>
      </c>
      <c r="BS78" s="314">
        <f>IF($BI78&lt;&gt;"",IF('Capacity summary'!$D$14="Yes",IF(COUNTBLANK('Capacity summary'!$H197:$BG197)&lt;52,IF('Capacity summary'!P197&lt;&gt;"",IF(LOWER('Capacity summary'!P197)="x",$BI78*P78,VALUE('Capacity summary'!P197)),0),P78*$BI78),P78*$BI78),0)</f>
        <v>0</v>
      </c>
      <c r="BT78" s="314">
        <f>IF($BI78&lt;&gt;"",IF('Capacity summary'!$D$14="Yes",IF(COUNTBLANK('Capacity summary'!$H197:$BG197)&lt;52,IF('Capacity summary'!Q197&lt;&gt;"",IF(LOWER('Capacity summary'!Q197)="x",$BI78*Q78,VALUE('Capacity summary'!Q197)),0),Q78*$BI78),Q78*$BI78),0)</f>
        <v>0</v>
      </c>
      <c r="BU78" s="314">
        <f>IF($BI78&lt;&gt;"",IF('Capacity summary'!$D$14="Yes",IF(COUNTBLANK('Capacity summary'!$H197:$BG197)&lt;52,IF('Capacity summary'!R197&lt;&gt;"",IF(LOWER('Capacity summary'!R197)="x",$BI78*R78,VALUE('Capacity summary'!R197)),0),R78*$BI78),R78*$BI78),0)</f>
        <v>0</v>
      </c>
      <c r="BV78" s="314">
        <f>IF($BI78&lt;&gt;"",IF('Capacity summary'!$D$14="Yes",IF(COUNTBLANK('Capacity summary'!$H197:$BG197)&lt;52,IF('Capacity summary'!S197&lt;&gt;"",IF(LOWER('Capacity summary'!S197)="x",$BI78*S78,VALUE('Capacity summary'!S197)),0),S78*$BI78),S78*$BI78),0)</f>
        <v>0</v>
      </c>
      <c r="BW78" s="314">
        <f>IF($BI78&lt;&gt;"",IF('Capacity summary'!$D$14="Yes",IF(COUNTBLANK('Capacity summary'!$H197:$BG197)&lt;52,IF('Capacity summary'!T197&lt;&gt;"",IF(LOWER('Capacity summary'!T197)="x",$BI78*T78,VALUE('Capacity summary'!T197)),0),T78*$BI78),T78*$BI78),0)</f>
        <v>0</v>
      </c>
      <c r="BX78" s="314">
        <f>IF($BI78&lt;&gt;"",IF('Capacity summary'!$D$14="Yes",IF(COUNTBLANK('Capacity summary'!$H197:$BG197)&lt;52,IF('Capacity summary'!U197&lt;&gt;"",IF(LOWER('Capacity summary'!U197)="x",$BI78*U78,VALUE('Capacity summary'!U197)),0),U78*$BI78),U78*$BI78),0)</f>
        <v>0</v>
      </c>
      <c r="BY78" s="314">
        <f>IF($BI78&lt;&gt;"",IF('Capacity summary'!$D$14="Yes",IF(COUNTBLANK('Capacity summary'!$H197:$BG197)&lt;52,IF('Capacity summary'!V197&lt;&gt;"",IF(LOWER('Capacity summary'!V197)="x",$BI78*V78,VALUE('Capacity summary'!V197)),0),V78*$BI78),V78*$BI78),0)</f>
        <v>0</v>
      </c>
      <c r="BZ78" s="314">
        <f>IF($BI78&lt;&gt;"",IF('Capacity summary'!$D$14="Yes",IF(COUNTBLANK('Capacity summary'!$H197:$BG197)&lt;52,IF('Capacity summary'!W197&lt;&gt;"",IF(LOWER('Capacity summary'!W197)="x",$BI78*W78,VALUE('Capacity summary'!W197)),0),W78*$BI78),W78*$BI78),0)</f>
        <v>0</v>
      </c>
      <c r="CA78" s="314">
        <f>IF($BI78&lt;&gt;"",IF('Capacity summary'!$D$14="Yes",IF(COUNTBLANK('Capacity summary'!$H197:$BG197)&lt;52,IF('Capacity summary'!X197&lt;&gt;"",IF(LOWER('Capacity summary'!X197)="x",$BI78*X78,VALUE('Capacity summary'!X197)),0),X78*$BI78),X78*$BI78),0)</f>
        <v>0</v>
      </c>
      <c r="CB78" s="314">
        <f>IF($BI78&lt;&gt;"",IF('Capacity summary'!$D$14="Yes",IF(COUNTBLANK('Capacity summary'!$H197:$BG197)&lt;52,IF('Capacity summary'!Y197&lt;&gt;"",IF(LOWER('Capacity summary'!Y197)="x",$BI78*Y78,VALUE('Capacity summary'!Y197)),0),Y78*$BI78),Y78*$BI78),0)</f>
        <v>0</v>
      </c>
      <c r="CC78" s="314">
        <f>IF($BI78&lt;&gt;"",IF('Capacity summary'!$D$14="Yes",IF(COUNTBLANK('Capacity summary'!$H197:$BG197)&lt;52,IF('Capacity summary'!Z197&lt;&gt;"",IF(LOWER('Capacity summary'!Z197)="x",$BI78*Z78,VALUE('Capacity summary'!Z197)),0),Z78*$BI78),Z78*$BI78),0)</f>
        <v>0</v>
      </c>
      <c r="CD78" s="314">
        <f>IF($BI78&lt;&gt;"",IF('Capacity summary'!$D$14="Yes",IF(COUNTBLANK('Capacity summary'!$H197:$BG197)&lt;52,IF('Capacity summary'!AA197&lt;&gt;"",IF(LOWER('Capacity summary'!AA197)="x",$BI78*AA78,VALUE('Capacity summary'!AA197)),0),AA78*$BI78),AA78*$BI78),0)</f>
        <v>0</v>
      </c>
      <c r="CE78" s="314">
        <f>IF($BI78&lt;&gt;"",IF('Capacity summary'!$D$14="Yes",IF(COUNTBLANK('Capacity summary'!$H197:$BG197)&lt;52,IF('Capacity summary'!AB197&lt;&gt;"",IF(LOWER('Capacity summary'!AB197)="x",$BI78*AB78,VALUE('Capacity summary'!AB197)),0),AB78*$BI78),AB78*$BI78),0)</f>
        <v>0</v>
      </c>
      <c r="CF78" s="314">
        <f>IF($BI78&lt;&gt;"",IF('Capacity summary'!$D$14="Yes",IF(COUNTBLANK('Capacity summary'!$H197:$BG197)&lt;52,IF('Capacity summary'!AC197&lt;&gt;"",IF(LOWER('Capacity summary'!AC197)="x",$BI78*AC78,VALUE('Capacity summary'!AC197)),0),AC78*$BI78),AC78*$BI78),0)</f>
        <v>0</v>
      </c>
      <c r="CG78" s="314">
        <f>IF($BI78&lt;&gt;"",IF('Capacity summary'!$D$14="Yes",IF(COUNTBLANK('Capacity summary'!$H197:$BG197)&lt;52,IF('Capacity summary'!AD197&lt;&gt;"",IF(LOWER('Capacity summary'!AD197)="x",$BI78*AD78,VALUE('Capacity summary'!AD197)),0),AD78*$BI78),AD78*$BI78),0)</f>
        <v>0</v>
      </c>
      <c r="CH78" s="314">
        <f>IF($BI78&lt;&gt;"",IF('Capacity summary'!$D$14="Yes",IF(COUNTBLANK('Capacity summary'!$H197:$BG197)&lt;52,IF('Capacity summary'!AE197&lt;&gt;"",IF(LOWER('Capacity summary'!AE197)="x",$BI78*AE78,VALUE('Capacity summary'!AE197)),0),AE78*$BI78),AE78*$BI78),0)</f>
        <v>0</v>
      </c>
      <c r="CI78" s="314">
        <f>IF($BI78&lt;&gt;"",IF('Capacity summary'!$D$14="Yes",IF(COUNTBLANK('Capacity summary'!$H197:$BG197)&lt;52,IF('Capacity summary'!AF197&lt;&gt;"",IF(LOWER('Capacity summary'!AF197)="x",$BI78*AF78,VALUE('Capacity summary'!AF197)),0),AF78*$BI78),AF78*$BI78),0)</f>
        <v>0</v>
      </c>
      <c r="CJ78" s="314">
        <f>IF($BI78&lt;&gt;"",IF('Capacity summary'!$D$14="Yes",IF(COUNTBLANK('Capacity summary'!$H197:$BG197)&lt;52,IF('Capacity summary'!AG197&lt;&gt;"",IF(LOWER('Capacity summary'!AG197)="x",$BI78*AG78,VALUE('Capacity summary'!AG197)),0),AG78*$BI78),AG78*$BI78),0)</f>
        <v>0</v>
      </c>
      <c r="CK78" s="314">
        <f>IF($BI78&lt;&gt;"",IF('Capacity summary'!$D$14="Yes",IF(COUNTBLANK('Capacity summary'!$H197:$BG197)&lt;52,IF('Capacity summary'!AH197&lt;&gt;"",IF(LOWER('Capacity summary'!AH197)="x",$BI78*AH78,VALUE('Capacity summary'!AH197)),0),AH78*$BI78),AH78*$BI78),0)</f>
        <v>0</v>
      </c>
      <c r="CL78" s="314">
        <f>IF($BI78&lt;&gt;"",IF('Capacity summary'!$D$14="Yes",IF(COUNTBLANK('Capacity summary'!$H197:$BG197)&lt;52,IF('Capacity summary'!AI197&lt;&gt;"",IF(LOWER('Capacity summary'!AI197)="x",$BI78*AI78,VALUE('Capacity summary'!AI197)),0),AI78*$BI78),AI78*$BI78),0)</f>
        <v>0</v>
      </c>
      <c r="CM78" s="314">
        <f>IF($BI78&lt;&gt;"",IF('Capacity summary'!$D$14="Yes",IF(COUNTBLANK('Capacity summary'!$H197:$BG197)&lt;52,IF('Capacity summary'!AJ197&lt;&gt;"",IF(LOWER('Capacity summary'!AJ197)="x",$BI78*AJ78,VALUE('Capacity summary'!AJ197)),0),AJ78*$BI78),AJ78*$BI78),0)</f>
        <v>0</v>
      </c>
      <c r="CN78" s="314">
        <f>IF($BI78&lt;&gt;"",IF('Capacity summary'!$D$14="Yes",IF(COUNTBLANK('Capacity summary'!$H197:$BG197)&lt;52,IF('Capacity summary'!AK197&lt;&gt;"",IF(LOWER('Capacity summary'!AK197)="x",$BI78*AK78,VALUE('Capacity summary'!AK197)),0),AK78*$BI78),AK78*$BI78),0)</f>
        <v>0</v>
      </c>
      <c r="CO78" s="314">
        <f>IF($BI78&lt;&gt;"",IF('Capacity summary'!$D$14="Yes",IF(COUNTBLANK('Capacity summary'!$H197:$BG197)&lt;52,IF('Capacity summary'!AL197&lt;&gt;"",IF(LOWER('Capacity summary'!AL197)="x",$BI78*AL78,VALUE('Capacity summary'!AL197)),0),AL78*$BI78),AL78*$BI78),0)</f>
        <v>0</v>
      </c>
      <c r="CP78" s="314">
        <f>IF($BI78&lt;&gt;"",IF('Capacity summary'!$D$14="Yes",IF(COUNTBLANK('Capacity summary'!$H197:$BG197)&lt;52,IF('Capacity summary'!AM197&lt;&gt;"",IF(LOWER('Capacity summary'!AM197)="x",$BI78*AM78,VALUE('Capacity summary'!AM197)),0),AM78*$BI78),AM78*$BI78),0)</f>
        <v>0</v>
      </c>
      <c r="CQ78" s="314">
        <f>IF($BI78&lt;&gt;"",IF('Capacity summary'!$D$14="Yes",IF(COUNTBLANK('Capacity summary'!$H197:$BG197)&lt;52,IF('Capacity summary'!AN197&lt;&gt;"",IF(LOWER('Capacity summary'!AN197)="x",$BI78*AN78,VALUE('Capacity summary'!AN197)),0),AN78*$BI78),AN78*$BI78),0)</f>
        <v>0</v>
      </c>
      <c r="CR78" s="314">
        <f>IF($BI78&lt;&gt;"",IF('Capacity summary'!$D$14="Yes",IF(COUNTBLANK('Capacity summary'!$H197:$BG197)&lt;52,IF('Capacity summary'!AO197&lt;&gt;"",IF(LOWER('Capacity summary'!AO197)="x",$BI78*AO78,VALUE('Capacity summary'!AO197)),0),AO78*$BI78),AO78*$BI78),0)</f>
        <v>0</v>
      </c>
      <c r="CS78" s="314">
        <f>IF($BI78&lt;&gt;"",IF('Capacity summary'!$D$14="Yes",IF(COUNTBLANK('Capacity summary'!$H197:$BG197)&lt;52,IF('Capacity summary'!AP197&lt;&gt;"",IF(LOWER('Capacity summary'!AP197)="x",$BI78*AP78,VALUE('Capacity summary'!AP197)),0),AP78*$BI78),AP78*$BI78),0)</f>
        <v>0</v>
      </c>
      <c r="CT78" s="314">
        <f>IF($BI78&lt;&gt;"",IF('Capacity summary'!$D$14="Yes",IF(COUNTBLANK('Capacity summary'!$H197:$BG197)&lt;52,IF('Capacity summary'!AQ197&lt;&gt;"",IF(LOWER('Capacity summary'!AQ197)="x",$BI78*AQ78,VALUE('Capacity summary'!AQ197)),0),AQ78*$BI78),AQ78*$BI78),0)</f>
        <v>0</v>
      </c>
      <c r="CU78" s="314">
        <f>IF($BI78&lt;&gt;"",IF('Capacity summary'!$D$14="Yes",IF(COUNTBLANK('Capacity summary'!$H197:$BG197)&lt;52,IF('Capacity summary'!AR197&lt;&gt;"",IF(LOWER('Capacity summary'!AR197)="x",$BI78*AR78,VALUE('Capacity summary'!AR197)),0),AR78*$BI78),AR78*$BI78),0)</f>
        <v>0</v>
      </c>
      <c r="CV78" s="314">
        <f>IF($BI78&lt;&gt;"",IF('Capacity summary'!$D$14="Yes",IF(COUNTBLANK('Capacity summary'!$H197:$BG197)&lt;52,IF('Capacity summary'!AS197&lt;&gt;"",IF(LOWER('Capacity summary'!AS197)="x",$BI78*AS78,VALUE('Capacity summary'!AS197)),0),AS78*$BI78),AS78*$BI78),0)</f>
        <v>0</v>
      </c>
      <c r="CW78" s="314">
        <f>IF($BI78&lt;&gt;"",IF('Capacity summary'!$D$14="Yes",IF(COUNTBLANK('Capacity summary'!$H197:$BG197)&lt;52,IF('Capacity summary'!AT197&lt;&gt;"",IF(LOWER('Capacity summary'!AT197)="x",$BI78*AT78,VALUE('Capacity summary'!AT197)),0),AT78*$BI78),AT78*$BI78),0)</f>
        <v>0</v>
      </c>
      <c r="CX78" s="314">
        <f>IF($BI78&lt;&gt;"",IF('Capacity summary'!$D$14="Yes",IF(COUNTBLANK('Capacity summary'!$H197:$BG197)&lt;52,IF('Capacity summary'!AU197&lt;&gt;"",IF(LOWER('Capacity summary'!AU197)="x",$BI78*AU78,VALUE('Capacity summary'!AU197)),0),AU78*$BI78),AU78*$BI78),0)</f>
        <v>0</v>
      </c>
      <c r="CY78" s="314">
        <f>IF($BI78&lt;&gt;"",IF('Capacity summary'!$D$14="Yes",IF(COUNTBLANK('Capacity summary'!$H197:$BG197)&lt;52,IF('Capacity summary'!AV197&lt;&gt;"",IF(LOWER('Capacity summary'!AV197)="x",$BI78*AV78,VALUE('Capacity summary'!AV197)),0),AV78*$BI78),AV78*$BI78),0)</f>
        <v>0</v>
      </c>
      <c r="CZ78" s="314">
        <f>IF($BI78&lt;&gt;"",IF('Capacity summary'!$D$14="Yes",IF(COUNTBLANK('Capacity summary'!$H197:$BG197)&lt;52,IF('Capacity summary'!AW197&lt;&gt;"",IF(LOWER('Capacity summary'!AW197)="x",$BI78*AW78,VALUE('Capacity summary'!AW197)),0),AW78*$BI78),AW78*$BI78),0)</f>
        <v>0</v>
      </c>
      <c r="DA78" s="314">
        <f>IF($BI78&lt;&gt;"",IF('Capacity summary'!$D$14="Yes",IF(COUNTBLANK('Capacity summary'!$H197:$BG197)&lt;52,IF('Capacity summary'!AX197&lt;&gt;"",IF(LOWER('Capacity summary'!AX197)="x",$BI78*AX78,VALUE('Capacity summary'!AX197)),0),AX78*$BI78),AX78*$BI78),0)</f>
        <v>0</v>
      </c>
      <c r="DB78" s="314">
        <f>IF($BI78&lt;&gt;"",IF('Capacity summary'!$D$14="Yes",IF(COUNTBLANK('Capacity summary'!$H197:$BG197)&lt;52,IF('Capacity summary'!AY197&lt;&gt;"",IF(LOWER('Capacity summary'!AY197)="x",$BI78*AY78,VALUE('Capacity summary'!AY197)),0),AY78*$BI78),AY78*$BI78),0)</f>
        <v>0</v>
      </c>
      <c r="DC78" s="314">
        <f>IF($BI78&lt;&gt;"",IF('Capacity summary'!$D$14="Yes",IF(COUNTBLANK('Capacity summary'!$H197:$BG197)&lt;52,IF('Capacity summary'!AZ197&lt;&gt;"",IF(LOWER('Capacity summary'!AZ197)="x",$BI78*AZ78,VALUE('Capacity summary'!AZ197)),0),AZ78*$BI78),AZ78*$BI78),0)</f>
        <v>0</v>
      </c>
      <c r="DD78" s="314">
        <f>IF($BI78&lt;&gt;"",IF('Capacity summary'!$D$14="Yes",IF(COUNTBLANK('Capacity summary'!$H197:$BG197)&lt;52,IF('Capacity summary'!BA197&lt;&gt;"",IF(LOWER('Capacity summary'!BA197)="x",$BI78*BA78,VALUE('Capacity summary'!BA197)),0),BA78*$BI78),BA78*$BI78),0)</f>
        <v>0</v>
      </c>
      <c r="DE78" s="314">
        <f>IF($BI78&lt;&gt;"",IF('Capacity summary'!$D$14="Yes",IF(COUNTBLANK('Capacity summary'!$H197:$BG197)&lt;52,IF('Capacity summary'!BB197&lt;&gt;"",IF(LOWER('Capacity summary'!BB197)="x",$BI78*BB78,VALUE('Capacity summary'!BB197)),0),BB78*$BI78),BB78*$BI78),0)</f>
        <v>0</v>
      </c>
      <c r="DF78" s="314">
        <f>IF($BI78&lt;&gt;"",IF('Capacity summary'!$D$14="Yes",IF(COUNTBLANK('Capacity summary'!$H197:$BG197)&lt;52,IF('Capacity summary'!BC197&lt;&gt;"",IF(LOWER('Capacity summary'!BC197)="x",$BI78*BC78,VALUE('Capacity summary'!BC197)),0),BC78*$BI78),BC78*$BI78),0)</f>
        <v>0</v>
      </c>
      <c r="DG78" s="314">
        <f>IF($BI78&lt;&gt;"",IF('Capacity summary'!$D$14="Yes",IF(COUNTBLANK('Capacity summary'!$H197:$BG197)&lt;52,IF('Capacity summary'!BD197&lt;&gt;"",IF(LOWER('Capacity summary'!BD197)="x",$BI78*BD78,VALUE('Capacity summary'!BD197)),0),BD78*$BI78),BD78*$BI78),0)</f>
        <v>0</v>
      </c>
      <c r="DH78" s="314">
        <f>IF($BI78&lt;&gt;"",IF('Capacity summary'!$D$14="Yes",IF(COUNTBLANK('Capacity summary'!$H197:$BG197)&lt;52,IF('Capacity summary'!BE197&lt;&gt;"",IF(LOWER('Capacity summary'!BE197)="x",$BI78*BE78,VALUE('Capacity summary'!BE197)),0),BE78*$BI78),BE78*$BI78),0)</f>
        <v>0</v>
      </c>
      <c r="DI78" s="314">
        <f>IF($BI78&lt;&gt;"",IF('Capacity summary'!$D$14="Yes",IF(COUNTBLANK('Capacity summary'!$H197:$BG197)&lt;52,IF('Capacity summary'!BF197&lt;&gt;"",IF(LOWER('Capacity summary'!BF197)="x",$BI78*BF78,VALUE('Capacity summary'!BF197)),0),BF78*$BI78),BF78*$BI78),0)</f>
        <v>0</v>
      </c>
      <c r="DJ78" s="314">
        <f>IF($BI78&lt;&gt;"",IF('Capacity summary'!$D$14="Yes",IF(COUNTBLANK('Capacity summary'!$H197:$BG197)&lt;52,IF('Capacity summary'!BG197&lt;&gt;"",IF(LOWER('Capacity summary'!BG197)="x",$BI78*BG78,VALUE('Capacity summary'!BG197)),0),BG78*$BI78),BG78*$BI78),0)</f>
        <v>0</v>
      </c>
      <c r="DK78" s="137">
        <f t="shared" si="3"/>
        <v>0</v>
      </c>
      <c r="DL78" s="314"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4">
        <f>IF($BI79&lt;&gt;"",IF('Capacity summary'!$D$14="Yes",IF(COUNTBLANK('Capacity summary'!$H198:$BG198)&lt;52,IF('Capacity summary'!H198&lt;&gt;"",IF(LOWER('Capacity summary'!H198)="x",$BI79*H79,VALUE('Capacity summary'!H198)),0),H79*$BI79),H79*$BI79),0)</f>
        <v>0</v>
      </c>
      <c r="BL79" s="314">
        <f>IF($BI79&lt;&gt;"",IF('Capacity summary'!$D$14="Yes",IF(COUNTBLANK('Capacity summary'!$H198:$BG198)&lt;52,IF('Capacity summary'!I198&lt;&gt;"",IF(LOWER('Capacity summary'!I198)="x",$BI79*I79,VALUE('Capacity summary'!I198)),0),I79*$BI79),I79*$BI79),0)</f>
        <v>0</v>
      </c>
      <c r="BM79" s="314">
        <f>IF($BI79&lt;&gt;"",IF('Capacity summary'!$D$14="Yes",IF(COUNTBLANK('Capacity summary'!$H198:$BG198)&lt;52,IF('Capacity summary'!J198&lt;&gt;"",IF(LOWER('Capacity summary'!J198)="x",$BI79*J79,VALUE('Capacity summary'!J198)),0),J79*$BI79),J79*$BI79),0)</f>
        <v>0</v>
      </c>
      <c r="BN79" s="314">
        <f>IF($BI79&lt;&gt;"",IF('Capacity summary'!$D$14="Yes",IF(COUNTBLANK('Capacity summary'!$H198:$BG198)&lt;52,IF('Capacity summary'!K198&lt;&gt;"",IF(LOWER('Capacity summary'!K198)="x",$BI79*K79,VALUE('Capacity summary'!K198)),0),K79*$BI79),K79*$BI79),0)</f>
        <v>0</v>
      </c>
      <c r="BO79" s="314">
        <f>IF($BI79&lt;&gt;"",IF('Capacity summary'!$D$14="Yes",IF(COUNTBLANK('Capacity summary'!$H198:$BG198)&lt;52,IF('Capacity summary'!L198&lt;&gt;"",IF(LOWER('Capacity summary'!L198)="x",$BI79*L79,VALUE('Capacity summary'!L198)),0),L79*$BI79),L79*$BI79),0)</f>
        <v>0</v>
      </c>
      <c r="BP79" s="314">
        <f>IF($BI79&lt;&gt;"",IF('Capacity summary'!$D$14="Yes",IF(COUNTBLANK('Capacity summary'!$H198:$BG198)&lt;52,IF('Capacity summary'!M198&lt;&gt;"",IF(LOWER('Capacity summary'!M198)="x",$BI79*M79,VALUE('Capacity summary'!M198)),0),M79*$BI79),M79*$BI79),0)</f>
        <v>0</v>
      </c>
      <c r="BQ79" s="314">
        <f>IF($BI79&lt;&gt;"",IF('Capacity summary'!$D$14="Yes",IF(COUNTBLANK('Capacity summary'!$H198:$BG198)&lt;52,IF('Capacity summary'!N198&lt;&gt;"",IF(LOWER('Capacity summary'!N198)="x",$BI79*N79,VALUE('Capacity summary'!N198)),0),N79*$BI79),N79*$BI79),0)</f>
        <v>0</v>
      </c>
      <c r="BR79" s="314">
        <f>IF($BI79&lt;&gt;"",IF('Capacity summary'!$D$14="Yes",IF(COUNTBLANK('Capacity summary'!$H198:$BG198)&lt;52,IF('Capacity summary'!O198&lt;&gt;"",IF(LOWER('Capacity summary'!O198)="x",$BI79*O79,VALUE('Capacity summary'!O198)),0),O79*$BI79),O79*$BI79),0)</f>
        <v>0</v>
      </c>
      <c r="BS79" s="314">
        <f>IF($BI79&lt;&gt;"",IF('Capacity summary'!$D$14="Yes",IF(COUNTBLANK('Capacity summary'!$H198:$BG198)&lt;52,IF('Capacity summary'!P198&lt;&gt;"",IF(LOWER('Capacity summary'!P198)="x",$BI79*P79,VALUE('Capacity summary'!P198)),0),P79*$BI79),P79*$BI79),0)</f>
        <v>0</v>
      </c>
      <c r="BT79" s="314">
        <f>IF($BI79&lt;&gt;"",IF('Capacity summary'!$D$14="Yes",IF(COUNTBLANK('Capacity summary'!$H198:$BG198)&lt;52,IF('Capacity summary'!Q198&lt;&gt;"",IF(LOWER('Capacity summary'!Q198)="x",$BI79*Q79,VALUE('Capacity summary'!Q198)),0),Q79*$BI79),Q79*$BI79),0)</f>
        <v>0</v>
      </c>
      <c r="BU79" s="314">
        <f>IF($BI79&lt;&gt;"",IF('Capacity summary'!$D$14="Yes",IF(COUNTBLANK('Capacity summary'!$H198:$BG198)&lt;52,IF('Capacity summary'!R198&lt;&gt;"",IF(LOWER('Capacity summary'!R198)="x",$BI79*R79,VALUE('Capacity summary'!R198)),0),R79*$BI79),R79*$BI79),0)</f>
        <v>0</v>
      </c>
      <c r="BV79" s="314">
        <f>IF($BI79&lt;&gt;"",IF('Capacity summary'!$D$14="Yes",IF(COUNTBLANK('Capacity summary'!$H198:$BG198)&lt;52,IF('Capacity summary'!S198&lt;&gt;"",IF(LOWER('Capacity summary'!S198)="x",$BI79*S79,VALUE('Capacity summary'!S198)),0),S79*$BI79),S79*$BI79),0)</f>
        <v>0</v>
      </c>
      <c r="BW79" s="314">
        <f>IF($BI79&lt;&gt;"",IF('Capacity summary'!$D$14="Yes",IF(COUNTBLANK('Capacity summary'!$H198:$BG198)&lt;52,IF('Capacity summary'!T198&lt;&gt;"",IF(LOWER('Capacity summary'!T198)="x",$BI79*T79,VALUE('Capacity summary'!T198)),0),T79*$BI79),T79*$BI79),0)</f>
        <v>0</v>
      </c>
      <c r="BX79" s="314">
        <f>IF($BI79&lt;&gt;"",IF('Capacity summary'!$D$14="Yes",IF(COUNTBLANK('Capacity summary'!$H198:$BG198)&lt;52,IF('Capacity summary'!U198&lt;&gt;"",IF(LOWER('Capacity summary'!U198)="x",$BI79*U79,VALUE('Capacity summary'!U198)),0),U79*$BI79),U79*$BI79),0)</f>
        <v>0</v>
      </c>
      <c r="BY79" s="314">
        <f>IF($BI79&lt;&gt;"",IF('Capacity summary'!$D$14="Yes",IF(COUNTBLANK('Capacity summary'!$H198:$BG198)&lt;52,IF('Capacity summary'!V198&lt;&gt;"",IF(LOWER('Capacity summary'!V198)="x",$BI79*V79,VALUE('Capacity summary'!V198)),0),V79*$BI79),V79*$BI79),0)</f>
        <v>0</v>
      </c>
      <c r="BZ79" s="314">
        <f>IF($BI79&lt;&gt;"",IF('Capacity summary'!$D$14="Yes",IF(COUNTBLANK('Capacity summary'!$H198:$BG198)&lt;52,IF('Capacity summary'!W198&lt;&gt;"",IF(LOWER('Capacity summary'!W198)="x",$BI79*W79,VALUE('Capacity summary'!W198)),0),W79*$BI79),W79*$BI79),0)</f>
        <v>0</v>
      </c>
      <c r="CA79" s="314">
        <f>IF($BI79&lt;&gt;"",IF('Capacity summary'!$D$14="Yes",IF(COUNTBLANK('Capacity summary'!$H198:$BG198)&lt;52,IF('Capacity summary'!X198&lt;&gt;"",IF(LOWER('Capacity summary'!X198)="x",$BI79*X79,VALUE('Capacity summary'!X198)),0),X79*$BI79),X79*$BI79),0)</f>
        <v>0</v>
      </c>
      <c r="CB79" s="314">
        <f>IF($BI79&lt;&gt;"",IF('Capacity summary'!$D$14="Yes",IF(COUNTBLANK('Capacity summary'!$H198:$BG198)&lt;52,IF('Capacity summary'!Y198&lt;&gt;"",IF(LOWER('Capacity summary'!Y198)="x",$BI79*Y79,VALUE('Capacity summary'!Y198)),0),Y79*$BI79),Y79*$BI79),0)</f>
        <v>0</v>
      </c>
      <c r="CC79" s="314">
        <f>IF($BI79&lt;&gt;"",IF('Capacity summary'!$D$14="Yes",IF(COUNTBLANK('Capacity summary'!$H198:$BG198)&lt;52,IF('Capacity summary'!Z198&lt;&gt;"",IF(LOWER('Capacity summary'!Z198)="x",$BI79*Z79,VALUE('Capacity summary'!Z198)),0),Z79*$BI79),Z79*$BI79),0)</f>
        <v>0</v>
      </c>
      <c r="CD79" s="314">
        <f>IF($BI79&lt;&gt;"",IF('Capacity summary'!$D$14="Yes",IF(COUNTBLANK('Capacity summary'!$H198:$BG198)&lt;52,IF('Capacity summary'!AA198&lt;&gt;"",IF(LOWER('Capacity summary'!AA198)="x",$BI79*AA79,VALUE('Capacity summary'!AA198)),0),AA79*$BI79),AA79*$BI79),0)</f>
        <v>0</v>
      </c>
      <c r="CE79" s="314">
        <f>IF($BI79&lt;&gt;"",IF('Capacity summary'!$D$14="Yes",IF(COUNTBLANK('Capacity summary'!$H198:$BG198)&lt;52,IF('Capacity summary'!AB198&lt;&gt;"",IF(LOWER('Capacity summary'!AB198)="x",$BI79*AB79,VALUE('Capacity summary'!AB198)),0),AB79*$BI79),AB79*$BI79),0)</f>
        <v>0</v>
      </c>
      <c r="CF79" s="314">
        <f>IF($BI79&lt;&gt;"",IF('Capacity summary'!$D$14="Yes",IF(COUNTBLANK('Capacity summary'!$H198:$BG198)&lt;52,IF('Capacity summary'!AC198&lt;&gt;"",IF(LOWER('Capacity summary'!AC198)="x",$BI79*AC79,VALUE('Capacity summary'!AC198)),0),AC79*$BI79),AC79*$BI79),0)</f>
        <v>0</v>
      </c>
      <c r="CG79" s="314">
        <f>IF($BI79&lt;&gt;"",IF('Capacity summary'!$D$14="Yes",IF(COUNTBLANK('Capacity summary'!$H198:$BG198)&lt;52,IF('Capacity summary'!AD198&lt;&gt;"",IF(LOWER('Capacity summary'!AD198)="x",$BI79*AD79,VALUE('Capacity summary'!AD198)),0),AD79*$BI79),AD79*$BI79),0)</f>
        <v>0</v>
      </c>
      <c r="CH79" s="314">
        <f>IF($BI79&lt;&gt;"",IF('Capacity summary'!$D$14="Yes",IF(COUNTBLANK('Capacity summary'!$H198:$BG198)&lt;52,IF('Capacity summary'!AE198&lt;&gt;"",IF(LOWER('Capacity summary'!AE198)="x",$BI79*AE79,VALUE('Capacity summary'!AE198)),0),AE79*$BI79),AE79*$BI79),0)</f>
        <v>0</v>
      </c>
      <c r="CI79" s="314">
        <f>IF($BI79&lt;&gt;"",IF('Capacity summary'!$D$14="Yes",IF(COUNTBLANK('Capacity summary'!$H198:$BG198)&lt;52,IF('Capacity summary'!AF198&lt;&gt;"",IF(LOWER('Capacity summary'!AF198)="x",$BI79*AF79,VALUE('Capacity summary'!AF198)),0),AF79*$BI79),AF79*$BI79),0)</f>
        <v>0</v>
      </c>
      <c r="CJ79" s="314">
        <f>IF($BI79&lt;&gt;"",IF('Capacity summary'!$D$14="Yes",IF(COUNTBLANK('Capacity summary'!$H198:$BG198)&lt;52,IF('Capacity summary'!AG198&lt;&gt;"",IF(LOWER('Capacity summary'!AG198)="x",$BI79*AG79,VALUE('Capacity summary'!AG198)),0),AG79*$BI79),AG79*$BI79),0)</f>
        <v>0</v>
      </c>
      <c r="CK79" s="314">
        <f>IF($BI79&lt;&gt;"",IF('Capacity summary'!$D$14="Yes",IF(COUNTBLANK('Capacity summary'!$H198:$BG198)&lt;52,IF('Capacity summary'!AH198&lt;&gt;"",IF(LOWER('Capacity summary'!AH198)="x",$BI79*AH79,VALUE('Capacity summary'!AH198)),0),AH79*$BI79),AH79*$BI79),0)</f>
        <v>0</v>
      </c>
      <c r="CL79" s="314">
        <f>IF($BI79&lt;&gt;"",IF('Capacity summary'!$D$14="Yes",IF(COUNTBLANK('Capacity summary'!$H198:$BG198)&lt;52,IF('Capacity summary'!AI198&lt;&gt;"",IF(LOWER('Capacity summary'!AI198)="x",$BI79*AI79,VALUE('Capacity summary'!AI198)),0),AI79*$BI79),AI79*$BI79),0)</f>
        <v>0</v>
      </c>
      <c r="CM79" s="314">
        <f>IF($BI79&lt;&gt;"",IF('Capacity summary'!$D$14="Yes",IF(COUNTBLANK('Capacity summary'!$H198:$BG198)&lt;52,IF('Capacity summary'!AJ198&lt;&gt;"",IF(LOWER('Capacity summary'!AJ198)="x",$BI79*AJ79,VALUE('Capacity summary'!AJ198)),0),AJ79*$BI79),AJ79*$BI79),0)</f>
        <v>0</v>
      </c>
      <c r="CN79" s="314">
        <f>IF($BI79&lt;&gt;"",IF('Capacity summary'!$D$14="Yes",IF(COUNTBLANK('Capacity summary'!$H198:$BG198)&lt;52,IF('Capacity summary'!AK198&lt;&gt;"",IF(LOWER('Capacity summary'!AK198)="x",$BI79*AK79,VALUE('Capacity summary'!AK198)),0),AK79*$BI79),AK79*$BI79),0)</f>
        <v>0</v>
      </c>
      <c r="CO79" s="314">
        <f>IF($BI79&lt;&gt;"",IF('Capacity summary'!$D$14="Yes",IF(COUNTBLANK('Capacity summary'!$H198:$BG198)&lt;52,IF('Capacity summary'!AL198&lt;&gt;"",IF(LOWER('Capacity summary'!AL198)="x",$BI79*AL79,VALUE('Capacity summary'!AL198)),0),AL79*$BI79),AL79*$BI79),0)</f>
        <v>0</v>
      </c>
      <c r="CP79" s="314">
        <f>IF($BI79&lt;&gt;"",IF('Capacity summary'!$D$14="Yes",IF(COUNTBLANK('Capacity summary'!$H198:$BG198)&lt;52,IF('Capacity summary'!AM198&lt;&gt;"",IF(LOWER('Capacity summary'!AM198)="x",$BI79*AM79,VALUE('Capacity summary'!AM198)),0),AM79*$BI79),AM79*$BI79),0)</f>
        <v>0</v>
      </c>
      <c r="CQ79" s="314">
        <f>IF($BI79&lt;&gt;"",IF('Capacity summary'!$D$14="Yes",IF(COUNTBLANK('Capacity summary'!$H198:$BG198)&lt;52,IF('Capacity summary'!AN198&lt;&gt;"",IF(LOWER('Capacity summary'!AN198)="x",$BI79*AN79,VALUE('Capacity summary'!AN198)),0),AN79*$BI79),AN79*$BI79),0)</f>
        <v>0</v>
      </c>
      <c r="CR79" s="314">
        <f>IF($BI79&lt;&gt;"",IF('Capacity summary'!$D$14="Yes",IF(COUNTBLANK('Capacity summary'!$H198:$BG198)&lt;52,IF('Capacity summary'!AO198&lt;&gt;"",IF(LOWER('Capacity summary'!AO198)="x",$BI79*AO79,VALUE('Capacity summary'!AO198)),0),AO79*$BI79),AO79*$BI79),0)</f>
        <v>0</v>
      </c>
      <c r="CS79" s="314">
        <f>IF($BI79&lt;&gt;"",IF('Capacity summary'!$D$14="Yes",IF(COUNTBLANK('Capacity summary'!$H198:$BG198)&lt;52,IF('Capacity summary'!AP198&lt;&gt;"",IF(LOWER('Capacity summary'!AP198)="x",$BI79*AP79,VALUE('Capacity summary'!AP198)),0),AP79*$BI79),AP79*$BI79),0)</f>
        <v>0</v>
      </c>
      <c r="CT79" s="314">
        <f>IF($BI79&lt;&gt;"",IF('Capacity summary'!$D$14="Yes",IF(COUNTBLANK('Capacity summary'!$H198:$BG198)&lt;52,IF('Capacity summary'!AQ198&lt;&gt;"",IF(LOWER('Capacity summary'!AQ198)="x",$BI79*AQ79,VALUE('Capacity summary'!AQ198)),0),AQ79*$BI79),AQ79*$BI79),0)</f>
        <v>0</v>
      </c>
      <c r="CU79" s="314">
        <f>IF($BI79&lt;&gt;"",IF('Capacity summary'!$D$14="Yes",IF(COUNTBLANK('Capacity summary'!$H198:$BG198)&lt;52,IF('Capacity summary'!AR198&lt;&gt;"",IF(LOWER('Capacity summary'!AR198)="x",$BI79*AR79,VALUE('Capacity summary'!AR198)),0),AR79*$BI79),AR79*$BI79),0)</f>
        <v>0</v>
      </c>
      <c r="CV79" s="314">
        <f>IF($BI79&lt;&gt;"",IF('Capacity summary'!$D$14="Yes",IF(COUNTBLANK('Capacity summary'!$H198:$BG198)&lt;52,IF('Capacity summary'!AS198&lt;&gt;"",IF(LOWER('Capacity summary'!AS198)="x",$BI79*AS79,VALUE('Capacity summary'!AS198)),0),AS79*$BI79),AS79*$BI79),0)</f>
        <v>0</v>
      </c>
      <c r="CW79" s="314">
        <f>IF($BI79&lt;&gt;"",IF('Capacity summary'!$D$14="Yes",IF(COUNTBLANK('Capacity summary'!$H198:$BG198)&lt;52,IF('Capacity summary'!AT198&lt;&gt;"",IF(LOWER('Capacity summary'!AT198)="x",$BI79*AT79,VALUE('Capacity summary'!AT198)),0),AT79*$BI79),AT79*$BI79),0)</f>
        <v>0</v>
      </c>
      <c r="CX79" s="314">
        <f>IF($BI79&lt;&gt;"",IF('Capacity summary'!$D$14="Yes",IF(COUNTBLANK('Capacity summary'!$H198:$BG198)&lt;52,IF('Capacity summary'!AU198&lt;&gt;"",IF(LOWER('Capacity summary'!AU198)="x",$BI79*AU79,VALUE('Capacity summary'!AU198)),0),AU79*$BI79),AU79*$BI79),0)</f>
        <v>0</v>
      </c>
      <c r="CY79" s="314">
        <f>IF($BI79&lt;&gt;"",IF('Capacity summary'!$D$14="Yes",IF(COUNTBLANK('Capacity summary'!$H198:$BG198)&lt;52,IF('Capacity summary'!AV198&lt;&gt;"",IF(LOWER('Capacity summary'!AV198)="x",$BI79*AV79,VALUE('Capacity summary'!AV198)),0),AV79*$BI79),AV79*$BI79),0)</f>
        <v>0</v>
      </c>
      <c r="CZ79" s="314">
        <f>IF($BI79&lt;&gt;"",IF('Capacity summary'!$D$14="Yes",IF(COUNTBLANK('Capacity summary'!$H198:$BG198)&lt;52,IF('Capacity summary'!AW198&lt;&gt;"",IF(LOWER('Capacity summary'!AW198)="x",$BI79*AW79,VALUE('Capacity summary'!AW198)),0),AW79*$BI79),AW79*$BI79),0)</f>
        <v>0</v>
      </c>
      <c r="DA79" s="314">
        <f>IF($BI79&lt;&gt;"",IF('Capacity summary'!$D$14="Yes",IF(COUNTBLANK('Capacity summary'!$H198:$BG198)&lt;52,IF('Capacity summary'!AX198&lt;&gt;"",IF(LOWER('Capacity summary'!AX198)="x",$BI79*AX79,VALUE('Capacity summary'!AX198)),0),AX79*$BI79),AX79*$BI79),0)</f>
        <v>0</v>
      </c>
      <c r="DB79" s="314">
        <f>IF($BI79&lt;&gt;"",IF('Capacity summary'!$D$14="Yes",IF(COUNTBLANK('Capacity summary'!$H198:$BG198)&lt;52,IF('Capacity summary'!AY198&lt;&gt;"",IF(LOWER('Capacity summary'!AY198)="x",$BI79*AY79,VALUE('Capacity summary'!AY198)),0),AY79*$BI79),AY79*$BI79),0)</f>
        <v>0</v>
      </c>
      <c r="DC79" s="314">
        <f>IF($BI79&lt;&gt;"",IF('Capacity summary'!$D$14="Yes",IF(COUNTBLANK('Capacity summary'!$H198:$BG198)&lt;52,IF('Capacity summary'!AZ198&lt;&gt;"",IF(LOWER('Capacity summary'!AZ198)="x",$BI79*AZ79,VALUE('Capacity summary'!AZ198)),0),AZ79*$BI79),AZ79*$BI79),0)</f>
        <v>0</v>
      </c>
      <c r="DD79" s="314">
        <f>IF($BI79&lt;&gt;"",IF('Capacity summary'!$D$14="Yes",IF(COUNTBLANK('Capacity summary'!$H198:$BG198)&lt;52,IF('Capacity summary'!BA198&lt;&gt;"",IF(LOWER('Capacity summary'!BA198)="x",$BI79*BA79,VALUE('Capacity summary'!BA198)),0),BA79*$BI79),BA79*$BI79),0)</f>
        <v>0</v>
      </c>
      <c r="DE79" s="314">
        <f>IF($BI79&lt;&gt;"",IF('Capacity summary'!$D$14="Yes",IF(COUNTBLANK('Capacity summary'!$H198:$BG198)&lt;52,IF('Capacity summary'!BB198&lt;&gt;"",IF(LOWER('Capacity summary'!BB198)="x",$BI79*BB79,VALUE('Capacity summary'!BB198)),0),BB79*$BI79),BB79*$BI79),0)</f>
        <v>0</v>
      </c>
      <c r="DF79" s="314">
        <f>IF($BI79&lt;&gt;"",IF('Capacity summary'!$D$14="Yes",IF(COUNTBLANK('Capacity summary'!$H198:$BG198)&lt;52,IF('Capacity summary'!BC198&lt;&gt;"",IF(LOWER('Capacity summary'!BC198)="x",$BI79*BC79,VALUE('Capacity summary'!BC198)),0),BC79*$BI79),BC79*$BI79),0)</f>
        <v>0</v>
      </c>
      <c r="DG79" s="314">
        <f>IF($BI79&lt;&gt;"",IF('Capacity summary'!$D$14="Yes",IF(COUNTBLANK('Capacity summary'!$H198:$BG198)&lt;52,IF('Capacity summary'!BD198&lt;&gt;"",IF(LOWER('Capacity summary'!BD198)="x",$BI79*BD79,VALUE('Capacity summary'!BD198)),0),BD79*$BI79),BD79*$BI79),0)</f>
        <v>0</v>
      </c>
      <c r="DH79" s="314">
        <f>IF($BI79&lt;&gt;"",IF('Capacity summary'!$D$14="Yes",IF(COUNTBLANK('Capacity summary'!$H198:$BG198)&lt;52,IF('Capacity summary'!BE198&lt;&gt;"",IF(LOWER('Capacity summary'!BE198)="x",$BI79*BE79,VALUE('Capacity summary'!BE198)),0),BE79*$BI79),BE79*$BI79),0)</f>
        <v>0</v>
      </c>
      <c r="DI79" s="314">
        <f>IF($BI79&lt;&gt;"",IF('Capacity summary'!$D$14="Yes",IF(COUNTBLANK('Capacity summary'!$H198:$BG198)&lt;52,IF('Capacity summary'!BF198&lt;&gt;"",IF(LOWER('Capacity summary'!BF198)="x",$BI79*BF79,VALUE('Capacity summary'!BF198)),0),BF79*$BI79),BF79*$BI79),0)</f>
        <v>0</v>
      </c>
      <c r="DJ79" s="314">
        <f>IF($BI79&lt;&gt;"",IF('Capacity summary'!$D$14="Yes",IF(COUNTBLANK('Capacity summary'!$H198:$BG198)&lt;52,IF('Capacity summary'!BG198&lt;&gt;"",IF(LOWER('Capacity summary'!BG198)="x",$BI79*BG79,VALUE('Capacity summary'!BG198)),0),BG79*$BI79),BG79*$BI79),0)</f>
        <v>0</v>
      </c>
      <c r="DK79" s="137">
        <f t="shared" si="3"/>
        <v>0</v>
      </c>
      <c r="DL79" s="314"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4">
        <f>IF($BI80&lt;&gt;"",IF('Capacity summary'!$D$14="Yes",IF(COUNTBLANK('Capacity summary'!$H199:$BG199)&lt;52,IF('Capacity summary'!H199&lt;&gt;"",IF(LOWER('Capacity summary'!H199)="x",$BI80*H80,VALUE('Capacity summary'!H199)),0),H80*$BI80),H80*$BI80),0)</f>
        <v>0</v>
      </c>
      <c r="BL80" s="314">
        <f>IF($BI80&lt;&gt;"",IF('Capacity summary'!$D$14="Yes",IF(COUNTBLANK('Capacity summary'!$H199:$BG199)&lt;52,IF('Capacity summary'!I199&lt;&gt;"",IF(LOWER('Capacity summary'!I199)="x",$BI80*I80,VALUE('Capacity summary'!I199)),0),I80*$BI80),I80*$BI80),0)</f>
        <v>0</v>
      </c>
      <c r="BM80" s="314">
        <f>IF($BI80&lt;&gt;"",IF('Capacity summary'!$D$14="Yes",IF(COUNTBLANK('Capacity summary'!$H199:$BG199)&lt;52,IF('Capacity summary'!J199&lt;&gt;"",IF(LOWER('Capacity summary'!J199)="x",$BI80*J80,VALUE('Capacity summary'!J199)),0),J80*$BI80),J80*$BI80),0)</f>
        <v>0</v>
      </c>
      <c r="BN80" s="314">
        <f>IF($BI80&lt;&gt;"",IF('Capacity summary'!$D$14="Yes",IF(COUNTBLANK('Capacity summary'!$H199:$BG199)&lt;52,IF('Capacity summary'!K199&lt;&gt;"",IF(LOWER('Capacity summary'!K199)="x",$BI80*K80,VALUE('Capacity summary'!K199)),0),K80*$BI80),K80*$BI80),0)</f>
        <v>0</v>
      </c>
      <c r="BO80" s="314">
        <f>IF($BI80&lt;&gt;"",IF('Capacity summary'!$D$14="Yes",IF(COUNTBLANK('Capacity summary'!$H199:$BG199)&lt;52,IF('Capacity summary'!L199&lt;&gt;"",IF(LOWER('Capacity summary'!L199)="x",$BI80*L80,VALUE('Capacity summary'!L199)),0),L80*$BI80),L80*$BI80),0)</f>
        <v>0</v>
      </c>
      <c r="BP80" s="314">
        <f>IF($BI80&lt;&gt;"",IF('Capacity summary'!$D$14="Yes",IF(COUNTBLANK('Capacity summary'!$H199:$BG199)&lt;52,IF('Capacity summary'!M199&lt;&gt;"",IF(LOWER('Capacity summary'!M199)="x",$BI80*M80,VALUE('Capacity summary'!M199)),0),M80*$BI80),M80*$BI80),0)</f>
        <v>0</v>
      </c>
      <c r="BQ80" s="314">
        <f>IF($BI80&lt;&gt;"",IF('Capacity summary'!$D$14="Yes",IF(COUNTBLANK('Capacity summary'!$H199:$BG199)&lt;52,IF('Capacity summary'!N199&lt;&gt;"",IF(LOWER('Capacity summary'!N199)="x",$BI80*N80,VALUE('Capacity summary'!N199)),0),N80*$BI80),N80*$BI80),0)</f>
        <v>0</v>
      </c>
      <c r="BR80" s="314">
        <f>IF($BI80&lt;&gt;"",IF('Capacity summary'!$D$14="Yes",IF(COUNTBLANK('Capacity summary'!$H199:$BG199)&lt;52,IF('Capacity summary'!O199&lt;&gt;"",IF(LOWER('Capacity summary'!O199)="x",$BI80*O80,VALUE('Capacity summary'!O199)),0),O80*$BI80),O80*$BI80),0)</f>
        <v>0</v>
      </c>
      <c r="BS80" s="314">
        <f>IF($BI80&lt;&gt;"",IF('Capacity summary'!$D$14="Yes",IF(COUNTBLANK('Capacity summary'!$H199:$BG199)&lt;52,IF('Capacity summary'!P199&lt;&gt;"",IF(LOWER('Capacity summary'!P199)="x",$BI80*P80,VALUE('Capacity summary'!P199)),0),P80*$BI80),P80*$BI80),0)</f>
        <v>0</v>
      </c>
      <c r="BT80" s="314">
        <f>IF($BI80&lt;&gt;"",IF('Capacity summary'!$D$14="Yes",IF(COUNTBLANK('Capacity summary'!$H199:$BG199)&lt;52,IF('Capacity summary'!Q199&lt;&gt;"",IF(LOWER('Capacity summary'!Q199)="x",$BI80*Q80,VALUE('Capacity summary'!Q199)),0),Q80*$BI80),Q80*$BI80),0)</f>
        <v>0</v>
      </c>
      <c r="BU80" s="314">
        <f>IF($BI80&lt;&gt;"",IF('Capacity summary'!$D$14="Yes",IF(COUNTBLANK('Capacity summary'!$H199:$BG199)&lt;52,IF('Capacity summary'!R199&lt;&gt;"",IF(LOWER('Capacity summary'!R199)="x",$BI80*R80,VALUE('Capacity summary'!R199)),0),R80*$BI80),R80*$BI80),0)</f>
        <v>0</v>
      </c>
      <c r="BV80" s="314">
        <f>IF($BI80&lt;&gt;"",IF('Capacity summary'!$D$14="Yes",IF(COUNTBLANK('Capacity summary'!$H199:$BG199)&lt;52,IF('Capacity summary'!S199&lt;&gt;"",IF(LOWER('Capacity summary'!S199)="x",$BI80*S80,VALUE('Capacity summary'!S199)),0),S80*$BI80),S80*$BI80),0)</f>
        <v>0</v>
      </c>
      <c r="BW80" s="314">
        <f>IF($BI80&lt;&gt;"",IF('Capacity summary'!$D$14="Yes",IF(COUNTBLANK('Capacity summary'!$H199:$BG199)&lt;52,IF('Capacity summary'!T199&lt;&gt;"",IF(LOWER('Capacity summary'!T199)="x",$BI80*T80,VALUE('Capacity summary'!T199)),0),T80*$BI80),T80*$BI80),0)</f>
        <v>0</v>
      </c>
      <c r="BX80" s="314">
        <f>IF($BI80&lt;&gt;"",IF('Capacity summary'!$D$14="Yes",IF(COUNTBLANK('Capacity summary'!$H199:$BG199)&lt;52,IF('Capacity summary'!U199&lt;&gt;"",IF(LOWER('Capacity summary'!U199)="x",$BI80*U80,VALUE('Capacity summary'!U199)),0),U80*$BI80),U80*$BI80),0)</f>
        <v>0</v>
      </c>
      <c r="BY80" s="314">
        <f>IF($BI80&lt;&gt;"",IF('Capacity summary'!$D$14="Yes",IF(COUNTBLANK('Capacity summary'!$H199:$BG199)&lt;52,IF('Capacity summary'!V199&lt;&gt;"",IF(LOWER('Capacity summary'!V199)="x",$BI80*V80,VALUE('Capacity summary'!V199)),0),V80*$BI80),V80*$BI80),0)</f>
        <v>0</v>
      </c>
      <c r="BZ80" s="314">
        <f>IF($BI80&lt;&gt;"",IF('Capacity summary'!$D$14="Yes",IF(COUNTBLANK('Capacity summary'!$H199:$BG199)&lt;52,IF('Capacity summary'!W199&lt;&gt;"",IF(LOWER('Capacity summary'!W199)="x",$BI80*W80,VALUE('Capacity summary'!W199)),0),W80*$BI80),W80*$BI80),0)</f>
        <v>0</v>
      </c>
      <c r="CA80" s="314">
        <f>IF($BI80&lt;&gt;"",IF('Capacity summary'!$D$14="Yes",IF(COUNTBLANK('Capacity summary'!$H199:$BG199)&lt;52,IF('Capacity summary'!X199&lt;&gt;"",IF(LOWER('Capacity summary'!X199)="x",$BI80*X80,VALUE('Capacity summary'!X199)),0),X80*$BI80),X80*$BI80),0)</f>
        <v>0</v>
      </c>
      <c r="CB80" s="314">
        <f>IF($BI80&lt;&gt;"",IF('Capacity summary'!$D$14="Yes",IF(COUNTBLANK('Capacity summary'!$H199:$BG199)&lt;52,IF('Capacity summary'!Y199&lt;&gt;"",IF(LOWER('Capacity summary'!Y199)="x",$BI80*Y80,VALUE('Capacity summary'!Y199)),0),Y80*$BI80),Y80*$BI80),0)</f>
        <v>0</v>
      </c>
      <c r="CC80" s="314">
        <f>IF($BI80&lt;&gt;"",IF('Capacity summary'!$D$14="Yes",IF(COUNTBLANK('Capacity summary'!$H199:$BG199)&lt;52,IF('Capacity summary'!Z199&lt;&gt;"",IF(LOWER('Capacity summary'!Z199)="x",$BI80*Z80,VALUE('Capacity summary'!Z199)),0),Z80*$BI80),Z80*$BI80),0)</f>
        <v>0</v>
      </c>
      <c r="CD80" s="314">
        <f>IF($BI80&lt;&gt;"",IF('Capacity summary'!$D$14="Yes",IF(COUNTBLANK('Capacity summary'!$H199:$BG199)&lt;52,IF('Capacity summary'!AA199&lt;&gt;"",IF(LOWER('Capacity summary'!AA199)="x",$BI80*AA80,VALUE('Capacity summary'!AA199)),0),AA80*$BI80),AA80*$BI80),0)</f>
        <v>0</v>
      </c>
      <c r="CE80" s="314">
        <f>IF($BI80&lt;&gt;"",IF('Capacity summary'!$D$14="Yes",IF(COUNTBLANK('Capacity summary'!$H199:$BG199)&lt;52,IF('Capacity summary'!AB199&lt;&gt;"",IF(LOWER('Capacity summary'!AB199)="x",$BI80*AB80,VALUE('Capacity summary'!AB199)),0),AB80*$BI80),AB80*$BI80),0)</f>
        <v>0</v>
      </c>
      <c r="CF80" s="314">
        <f>IF($BI80&lt;&gt;"",IF('Capacity summary'!$D$14="Yes",IF(COUNTBLANK('Capacity summary'!$H199:$BG199)&lt;52,IF('Capacity summary'!AC199&lt;&gt;"",IF(LOWER('Capacity summary'!AC199)="x",$BI80*AC80,VALUE('Capacity summary'!AC199)),0),AC80*$BI80),AC80*$BI80),0)</f>
        <v>0</v>
      </c>
      <c r="CG80" s="314">
        <f>IF($BI80&lt;&gt;"",IF('Capacity summary'!$D$14="Yes",IF(COUNTBLANK('Capacity summary'!$H199:$BG199)&lt;52,IF('Capacity summary'!AD199&lt;&gt;"",IF(LOWER('Capacity summary'!AD199)="x",$BI80*AD80,VALUE('Capacity summary'!AD199)),0),AD80*$BI80),AD80*$BI80),0)</f>
        <v>0</v>
      </c>
      <c r="CH80" s="314">
        <f>IF($BI80&lt;&gt;"",IF('Capacity summary'!$D$14="Yes",IF(COUNTBLANK('Capacity summary'!$H199:$BG199)&lt;52,IF('Capacity summary'!AE199&lt;&gt;"",IF(LOWER('Capacity summary'!AE199)="x",$BI80*AE80,VALUE('Capacity summary'!AE199)),0),AE80*$BI80),AE80*$BI80),0)</f>
        <v>0</v>
      </c>
      <c r="CI80" s="314">
        <f>IF($BI80&lt;&gt;"",IF('Capacity summary'!$D$14="Yes",IF(COUNTBLANK('Capacity summary'!$H199:$BG199)&lt;52,IF('Capacity summary'!AF199&lt;&gt;"",IF(LOWER('Capacity summary'!AF199)="x",$BI80*AF80,VALUE('Capacity summary'!AF199)),0),AF80*$BI80),AF80*$BI80),0)</f>
        <v>0</v>
      </c>
      <c r="CJ80" s="314">
        <f>IF($BI80&lt;&gt;"",IF('Capacity summary'!$D$14="Yes",IF(COUNTBLANK('Capacity summary'!$H199:$BG199)&lt;52,IF('Capacity summary'!AG199&lt;&gt;"",IF(LOWER('Capacity summary'!AG199)="x",$BI80*AG80,VALUE('Capacity summary'!AG199)),0),AG80*$BI80),AG80*$BI80),0)</f>
        <v>0</v>
      </c>
      <c r="CK80" s="314">
        <f>IF($BI80&lt;&gt;"",IF('Capacity summary'!$D$14="Yes",IF(COUNTBLANK('Capacity summary'!$H199:$BG199)&lt;52,IF('Capacity summary'!AH199&lt;&gt;"",IF(LOWER('Capacity summary'!AH199)="x",$BI80*AH80,VALUE('Capacity summary'!AH199)),0),AH80*$BI80),AH80*$BI80),0)</f>
        <v>0</v>
      </c>
      <c r="CL80" s="314">
        <f>IF($BI80&lt;&gt;"",IF('Capacity summary'!$D$14="Yes",IF(COUNTBLANK('Capacity summary'!$H199:$BG199)&lt;52,IF('Capacity summary'!AI199&lt;&gt;"",IF(LOWER('Capacity summary'!AI199)="x",$BI80*AI80,VALUE('Capacity summary'!AI199)),0),AI80*$BI80),AI80*$BI80),0)</f>
        <v>0</v>
      </c>
      <c r="CM80" s="314">
        <f>IF($BI80&lt;&gt;"",IF('Capacity summary'!$D$14="Yes",IF(COUNTBLANK('Capacity summary'!$H199:$BG199)&lt;52,IF('Capacity summary'!AJ199&lt;&gt;"",IF(LOWER('Capacity summary'!AJ199)="x",$BI80*AJ80,VALUE('Capacity summary'!AJ199)),0),AJ80*$BI80),AJ80*$BI80),0)</f>
        <v>0</v>
      </c>
      <c r="CN80" s="314">
        <f>IF($BI80&lt;&gt;"",IF('Capacity summary'!$D$14="Yes",IF(COUNTBLANK('Capacity summary'!$H199:$BG199)&lt;52,IF('Capacity summary'!AK199&lt;&gt;"",IF(LOWER('Capacity summary'!AK199)="x",$BI80*AK80,VALUE('Capacity summary'!AK199)),0),AK80*$BI80),AK80*$BI80),0)</f>
        <v>0</v>
      </c>
      <c r="CO80" s="314">
        <f>IF($BI80&lt;&gt;"",IF('Capacity summary'!$D$14="Yes",IF(COUNTBLANK('Capacity summary'!$H199:$BG199)&lt;52,IF('Capacity summary'!AL199&lt;&gt;"",IF(LOWER('Capacity summary'!AL199)="x",$BI80*AL80,VALUE('Capacity summary'!AL199)),0),AL80*$BI80),AL80*$BI80),0)</f>
        <v>0</v>
      </c>
      <c r="CP80" s="314">
        <f>IF($BI80&lt;&gt;"",IF('Capacity summary'!$D$14="Yes",IF(COUNTBLANK('Capacity summary'!$H199:$BG199)&lt;52,IF('Capacity summary'!AM199&lt;&gt;"",IF(LOWER('Capacity summary'!AM199)="x",$BI80*AM80,VALUE('Capacity summary'!AM199)),0),AM80*$BI80),AM80*$BI80),0)</f>
        <v>0</v>
      </c>
      <c r="CQ80" s="314">
        <f>IF($BI80&lt;&gt;"",IF('Capacity summary'!$D$14="Yes",IF(COUNTBLANK('Capacity summary'!$H199:$BG199)&lt;52,IF('Capacity summary'!AN199&lt;&gt;"",IF(LOWER('Capacity summary'!AN199)="x",$BI80*AN80,VALUE('Capacity summary'!AN199)),0),AN80*$BI80),AN80*$BI80),0)</f>
        <v>0</v>
      </c>
      <c r="CR80" s="314">
        <f>IF($BI80&lt;&gt;"",IF('Capacity summary'!$D$14="Yes",IF(COUNTBLANK('Capacity summary'!$H199:$BG199)&lt;52,IF('Capacity summary'!AO199&lt;&gt;"",IF(LOWER('Capacity summary'!AO199)="x",$BI80*AO80,VALUE('Capacity summary'!AO199)),0),AO80*$BI80),AO80*$BI80),0)</f>
        <v>0</v>
      </c>
      <c r="CS80" s="314">
        <f>IF($BI80&lt;&gt;"",IF('Capacity summary'!$D$14="Yes",IF(COUNTBLANK('Capacity summary'!$H199:$BG199)&lt;52,IF('Capacity summary'!AP199&lt;&gt;"",IF(LOWER('Capacity summary'!AP199)="x",$BI80*AP80,VALUE('Capacity summary'!AP199)),0),AP80*$BI80),AP80*$BI80),0)</f>
        <v>0</v>
      </c>
      <c r="CT80" s="314">
        <f>IF($BI80&lt;&gt;"",IF('Capacity summary'!$D$14="Yes",IF(COUNTBLANK('Capacity summary'!$H199:$BG199)&lt;52,IF('Capacity summary'!AQ199&lt;&gt;"",IF(LOWER('Capacity summary'!AQ199)="x",$BI80*AQ80,VALUE('Capacity summary'!AQ199)),0),AQ80*$BI80),AQ80*$BI80),0)</f>
        <v>0</v>
      </c>
      <c r="CU80" s="314">
        <f>IF($BI80&lt;&gt;"",IF('Capacity summary'!$D$14="Yes",IF(COUNTBLANK('Capacity summary'!$H199:$BG199)&lt;52,IF('Capacity summary'!AR199&lt;&gt;"",IF(LOWER('Capacity summary'!AR199)="x",$BI80*AR80,VALUE('Capacity summary'!AR199)),0),AR80*$BI80),AR80*$BI80),0)</f>
        <v>0</v>
      </c>
      <c r="CV80" s="314">
        <f>IF($BI80&lt;&gt;"",IF('Capacity summary'!$D$14="Yes",IF(COUNTBLANK('Capacity summary'!$H199:$BG199)&lt;52,IF('Capacity summary'!AS199&lt;&gt;"",IF(LOWER('Capacity summary'!AS199)="x",$BI80*AS80,VALUE('Capacity summary'!AS199)),0),AS80*$BI80),AS80*$BI80),0)</f>
        <v>0</v>
      </c>
      <c r="CW80" s="314">
        <f>IF($BI80&lt;&gt;"",IF('Capacity summary'!$D$14="Yes",IF(COUNTBLANK('Capacity summary'!$H199:$BG199)&lt;52,IF('Capacity summary'!AT199&lt;&gt;"",IF(LOWER('Capacity summary'!AT199)="x",$BI80*AT80,VALUE('Capacity summary'!AT199)),0),AT80*$BI80),AT80*$BI80),0)</f>
        <v>0</v>
      </c>
      <c r="CX80" s="314">
        <f>IF($BI80&lt;&gt;"",IF('Capacity summary'!$D$14="Yes",IF(COUNTBLANK('Capacity summary'!$H199:$BG199)&lt;52,IF('Capacity summary'!AU199&lt;&gt;"",IF(LOWER('Capacity summary'!AU199)="x",$BI80*AU80,VALUE('Capacity summary'!AU199)),0),AU80*$BI80),AU80*$BI80),0)</f>
        <v>0</v>
      </c>
      <c r="CY80" s="314">
        <f>IF($BI80&lt;&gt;"",IF('Capacity summary'!$D$14="Yes",IF(COUNTBLANK('Capacity summary'!$H199:$BG199)&lt;52,IF('Capacity summary'!AV199&lt;&gt;"",IF(LOWER('Capacity summary'!AV199)="x",$BI80*AV80,VALUE('Capacity summary'!AV199)),0),AV80*$BI80),AV80*$BI80),0)</f>
        <v>0</v>
      </c>
      <c r="CZ80" s="314">
        <f>IF($BI80&lt;&gt;"",IF('Capacity summary'!$D$14="Yes",IF(COUNTBLANK('Capacity summary'!$H199:$BG199)&lt;52,IF('Capacity summary'!AW199&lt;&gt;"",IF(LOWER('Capacity summary'!AW199)="x",$BI80*AW80,VALUE('Capacity summary'!AW199)),0),AW80*$BI80),AW80*$BI80),0)</f>
        <v>0</v>
      </c>
      <c r="DA80" s="314">
        <f>IF($BI80&lt;&gt;"",IF('Capacity summary'!$D$14="Yes",IF(COUNTBLANK('Capacity summary'!$H199:$BG199)&lt;52,IF('Capacity summary'!AX199&lt;&gt;"",IF(LOWER('Capacity summary'!AX199)="x",$BI80*AX80,VALUE('Capacity summary'!AX199)),0),AX80*$BI80),AX80*$BI80),0)</f>
        <v>0</v>
      </c>
      <c r="DB80" s="314">
        <f>IF($BI80&lt;&gt;"",IF('Capacity summary'!$D$14="Yes",IF(COUNTBLANK('Capacity summary'!$H199:$BG199)&lt;52,IF('Capacity summary'!AY199&lt;&gt;"",IF(LOWER('Capacity summary'!AY199)="x",$BI80*AY80,VALUE('Capacity summary'!AY199)),0),AY80*$BI80),AY80*$BI80),0)</f>
        <v>0</v>
      </c>
      <c r="DC80" s="314">
        <f>IF($BI80&lt;&gt;"",IF('Capacity summary'!$D$14="Yes",IF(COUNTBLANK('Capacity summary'!$H199:$BG199)&lt;52,IF('Capacity summary'!AZ199&lt;&gt;"",IF(LOWER('Capacity summary'!AZ199)="x",$BI80*AZ80,VALUE('Capacity summary'!AZ199)),0),AZ80*$BI80),AZ80*$BI80),0)</f>
        <v>0</v>
      </c>
      <c r="DD80" s="314">
        <f>IF($BI80&lt;&gt;"",IF('Capacity summary'!$D$14="Yes",IF(COUNTBLANK('Capacity summary'!$H199:$BG199)&lt;52,IF('Capacity summary'!BA199&lt;&gt;"",IF(LOWER('Capacity summary'!BA199)="x",$BI80*BA80,VALUE('Capacity summary'!BA199)),0),BA80*$BI80),BA80*$BI80),0)</f>
        <v>0</v>
      </c>
      <c r="DE80" s="314">
        <f>IF($BI80&lt;&gt;"",IF('Capacity summary'!$D$14="Yes",IF(COUNTBLANK('Capacity summary'!$H199:$BG199)&lt;52,IF('Capacity summary'!BB199&lt;&gt;"",IF(LOWER('Capacity summary'!BB199)="x",$BI80*BB80,VALUE('Capacity summary'!BB199)),0),BB80*$BI80),BB80*$BI80),0)</f>
        <v>0</v>
      </c>
      <c r="DF80" s="314">
        <f>IF($BI80&lt;&gt;"",IF('Capacity summary'!$D$14="Yes",IF(COUNTBLANK('Capacity summary'!$H199:$BG199)&lt;52,IF('Capacity summary'!BC199&lt;&gt;"",IF(LOWER('Capacity summary'!BC199)="x",$BI80*BC80,VALUE('Capacity summary'!BC199)),0),BC80*$BI80),BC80*$BI80),0)</f>
        <v>0</v>
      </c>
      <c r="DG80" s="314">
        <f>IF($BI80&lt;&gt;"",IF('Capacity summary'!$D$14="Yes",IF(COUNTBLANK('Capacity summary'!$H199:$BG199)&lt;52,IF('Capacity summary'!BD199&lt;&gt;"",IF(LOWER('Capacity summary'!BD199)="x",$BI80*BD80,VALUE('Capacity summary'!BD199)),0),BD80*$BI80),BD80*$BI80),0)</f>
        <v>0</v>
      </c>
      <c r="DH80" s="314">
        <f>IF($BI80&lt;&gt;"",IF('Capacity summary'!$D$14="Yes",IF(COUNTBLANK('Capacity summary'!$H199:$BG199)&lt;52,IF('Capacity summary'!BE199&lt;&gt;"",IF(LOWER('Capacity summary'!BE199)="x",$BI80*BE80,VALUE('Capacity summary'!BE199)),0),BE80*$BI80),BE80*$BI80),0)</f>
        <v>0</v>
      </c>
      <c r="DI80" s="314">
        <f>IF($BI80&lt;&gt;"",IF('Capacity summary'!$D$14="Yes",IF(COUNTBLANK('Capacity summary'!$H199:$BG199)&lt;52,IF('Capacity summary'!BF199&lt;&gt;"",IF(LOWER('Capacity summary'!BF199)="x",$BI80*BF80,VALUE('Capacity summary'!BF199)),0),BF80*$BI80),BF80*$BI80),0)</f>
        <v>0</v>
      </c>
      <c r="DJ80" s="314">
        <f>IF($BI80&lt;&gt;"",IF('Capacity summary'!$D$14="Yes",IF(COUNTBLANK('Capacity summary'!$H199:$BG199)&lt;52,IF('Capacity summary'!BG199&lt;&gt;"",IF(LOWER('Capacity summary'!BG199)="x",$BI80*BG80,VALUE('Capacity summary'!BG199)),0),BG80*$BI80),BG80*$BI80),0)</f>
        <v>0</v>
      </c>
      <c r="DK80" s="137">
        <f t="shared" si="3"/>
        <v>0</v>
      </c>
      <c r="DL80" s="314"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4">
        <f>IF($BI81&lt;&gt;"",IF('Capacity summary'!$D$14="Yes",IF(COUNTBLANK('Capacity summary'!$H200:$BG200)&lt;52,IF('Capacity summary'!H200&lt;&gt;"",IF(LOWER('Capacity summary'!H200)="x",$BI81*H81,VALUE('Capacity summary'!H200)),0),H81*$BI81),H81*$BI81),0)</f>
        <v>0</v>
      </c>
      <c r="BL81" s="314">
        <f>IF($BI81&lt;&gt;"",IF('Capacity summary'!$D$14="Yes",IF(COUNTBLANK('Capacity summary'!$H200:$BG200)&lt;52,IF('Capacity summary'!I200&lt;&gt;"",IF(LOWER('Capacity summary'!I200)="x",$BI81*I81,VALUE('Capacity summary'!I200)),0),I81*$BI81),I81*$BI81),0)</f>
        <v>0</v>
      </c>
      <c r="BM81" s="314">
        <f>IF($BI81&lt;&gt;"",IF('Capacity summary'!$D$14="Yes",IF(COUNTBLANK('Capacity summary'!$H200:$BG200)&lt;52,IF('Capacity summary'!J200&lt;&gt;"",IF(LOWER('Capacity summary'!J200)="x",$BI81*J81,VALUE('Capacity summary'!J200)),0),J81*$BI81),J81*$BI81),0)</f>
        <v>0</v>
      </c>
      <c r="BN81" s="314">
        <f>IF($BI81&lt;&gt;"",IF('Capacity summary'!$D$14="Yes",IF(COUNTBLANK('Capacity summary'!$H200:$BG200)&lt;52,IF('Capacity summary'!K200&lt;&gt;"",IF(LOWER('Capacity summary'!K200)="x",$BI81*K81,VALUE('Capacity summary'!K200)),0),K81*$BI81),K81*$BI81),0)</f>
        <v>0</v>
      </c>
      <c r="BO81" s="314">
        <f>IF($BI81&lt;&gt;"",IF('Capacity summary'!$D$14="Yes",IF(COUNTBLANK('Capacity summary'!$H200:$BG200)&lt;52,IF('Capacity summary'!L200&lt;&gt;"",IF(LOWER('Capacity summary'!L200)="x",$BI81*L81,VALUE('Capacity summary'!L200)),0),L81*$BI81),L81*$BI81),0)</f>
        <v>0</v>
      </c>
      <c r="BP81" s="314">
        <f>IF($BI81&lt;&gt;"",IF('Capacity summary'!$D$14="Yes",IF(COUNTBLANK('Capacity summary'!$H200:$BG200)&lt;52,IF('Capacity summary'!M200&lt;&gt;"",IF(LOWER('Capacity summary'!M200)="x",$BI81*M81,VALUE('Capacity summary'!M200)),0),M81*$BI81),M81*$BI81),0)</f>
        <v>0</v>
      </c>
      <c r="BQ81" s="314">
        <f>IF($BI81&lt;&gt;"",IF('Capacity summary'!$D$14="Yes",IF(COUNTBLANK('Capacity summary'!$H200:$BG200)&lt;52,IF('Capacity summary'!N200&lt;&gt;"",IF(LOWER('Capacity summary'!N200)="x",$BI81*N81,VALUE('Capacity summary'!N200)),0),N81*$BI81),N81*$BI81),0)</f>
        <v>0</v>
      </c>
      <c r="BR81" s="314">
        <f>IF($BI81&lt;&gt;"",IF('Capacity summary'!$D$14="Yes",IF(COUNTBLANK('Capacity summary'!$H200:$BG200)&lt;52,IF('Capacity summary'!O200&lt;&gt;"",IF(LOWER('Capacity summary'!O200)="x",$BI81*O81,VALUE('Capacity summary'!O200)),0),O81*$BI81),O81*$BI81),0)</f>
        <v>0</v>
      </c>
      <c r="BS81" s="314">
        <f>IF($BI81&lt;&gt;"",IF('Capacity summary'!$D$14="Yes",IF(COUNTBLANK('Capacity summary'!$H200:$BG200)&lt;52,IF('Capacity summary'!P200&lt;&gt;"",IF(LOWER('Capacity summary'!P200)="x",$BI81*P81,VALUE('Capacity summary'!P200)),0),P81*$BI81),P81*$BI81),0)</f>
        <v>0</v>
      </c>
      <c r="BT81" s="314">
        <f>IF($BI81&lt;&gt;"",IF('Capacity summary'!$D$14="Yes",IF(COUNTBLANK('Capacity summary'!$H200:$BG200)&lt;52,IF('Capacity summary'!Q200&lt;&gt;"",IF(LOWER('Capacity summary'!Q200)="x",$BI81*Q81,VALUE('Capacity summary'!Q200)),0),Q81*$BI81),Q81*$BI81),0)</f>
        <v>0</v>
      </c>
      <c r="BU81" s="314">
        <f>IF($BI81&lt;&gt;"",IF('Capacity summary'!$D$14="Yes",IF(COUNTBLANK('Capacity summary'!$H200:$BG200)&lt;52,IF('Capacity summary'!R200&lt;&gt;"",IF(LOWER('Capacity summary'!R200)="x",$BI81*R81,VALUE('Capacity summary'!R200)),0),R81*$BI81),R81*$BI81),0)</f>
        <v>0</v>
      </c>
      <c r="BV81" s="314">
        <f>IF($BI81&lt;&gt;"",IF('Capacity summary'!$D$14="Yes",IF(COUNTBLANK('Capacity summary'!$H200:$BG200)&lt;52,IF('Capacity summary'!S200&lt;&gt;"",IF(LOWER('Capacity summary'!S200)="x",$BI81*S81,VALUE('Capacity summary'!S200)),0),S81*$BI81),S81*$BI81),0)</f>
        <v>0</v>
      </c>
      <c r="BW81" s="314">
        <f>IF($BI81&lt;&gt;"",IF('Capacity summary'!$D$14="Yes",IF(COUNTBLANK('Capacity summary'!$H200:$BG200)&lt;52,IF('Capacity summary'!T200&lt;&gt;"",IF(LOWER('Capacity summary'!T200)="x",$BI81*T81,VALUE('Capacity summary'!T200)),0),T81*$BI81),T81*$BI81),0)</f>
        <v>0</v>
      </c>
      <c r="BX81" s="314">
        <f>IF($BI81&lt;&gt;"",IF('Capacity summary'!$D$14="Yes",IF(COUNTBLANK('Capacity summary'!$H200:$BG200)&lt;52,IF('Capacity summary'!U200&lt;&gt;"",IF(LOWER('Capacity summary'!U200)="x",$BI81*U81,VALUE('Capacity summary'!U200)),0),U81*$BI81),U81*$BI81),0)</f>
        <v>0</v>
      </c>
      <c r="BY81" s="314">
        <f>IF($BI81&lt;&gt;"",IF('Capacity summary'!$D$14="Yes",IF(COUNTBLANK('Capacity summary'!$H200:$BG200)&lt;52,IF('Capacity summary'!V200&lt;&gt;"",IF(LOWER('Capacity summary'!V200)="x",$BI81*V81,VALUE('Capacity summary'!V200)),0),V81*$BI81),V81*$BI81),0)</f>
        <v>0</v>
      </c>
      <c r="BZ81" s="314">
        <f>IF($BI81&lt;&gt;"",IF('Capacity summary'!$D$14="Yes",IF(COUNTBLANK('Capacity summary'!$H200:$BG200)&lt;52,IF('Capacity summary'!W200&lt;&gt;"",IF(LOWER('Capacity summary'!W200)="x",$BI81*W81,VALUE('Capacity summary'!W200)),0),W81*$BI81),W81*$BI81),0)</f>
        <v>0</v>
      </c>
      <c r="CA81" s="314">
        <f>IF($BI81&lt;&gt;"",IF('Capacity summary'!$D$14="Yes",IF(COUNTBLANK('Capacity summary'!$H200:$BG200)&lt;52,IF('Capacity summary'!X200&lt;&gt;"",IF(LOWER('Capacity summary'!X200)="x",$BI81*X81,VALUE('Capacity summary'!X200)),0),X81*$BI81),X81*$BI81),0)</f>
        <v>0</v>
      </c>
      <c r="CB81" s="314">
        <f>IF($BI81&lt;&gt;"",IF('Capacity summary'!$D$14="Yes",IF(COUNTBLANK('Capacity summary'!$H200:$BG200)&lt;52,IF('Capacity summary'!Y200&lt;&gt;"",IF(LOWER('Capacity summary'!Y200)="x",$BI81*Y81,VALUE('Capacity summary'!Y200)),0),Y81*$BI81),Y81*$BI81),0)</f>
        <v>0</v>
      </c>
      <c r="CC81" s="314">
        <f>IF($BI81&lt;&gt;"",IF('Capacity summary'!$D$14="Yes",IF(COUNTBLANK('Capacity summary'!$H200:$BG200)&lt;52,IF('Capacity summary'!Z200&lt;&gt;"",IF(LOWER('Capacity summary'!Z200)="x",$BI81*Z81,VALUE('Capacity summary'!Z200)),0),Z81*$BI81),Z81*$BI81),0)</f>
        <v>0</v>
      </c>
      <c r="CD81" s="314">
        <f>IF($BI81&lt;&gt;"",IF('Capacity summary'!$D$14="Yes",IF(COUNTBLANK('Capacity summary'!$H200:$BG200)&lt;52,IF('Capacity summary'!AA200&lt;&gt;"",IF(LOWER('Capacity summary'!AA200)="x",$BI81*AA81,VALUE('Capacity summary'!AA200)),0),AA81*$BI81),AA81*$BI81),0)</f>
        <v>0</v>
      </c>
      <c r="CE81" s="314">
        <f>IF($BI81&lt;&gt;"",IF('Capacity summary'!$D$14="Yes",IF(COUNTBLANK('Capacity summary'!$H200:$BG200)&lt;52,IF('Capacity summary'!AB200&lt;&gt;"",IF(LOWER('Capacity summary'!AB200)="x",$BI81*AB81,VALUE('Capacity summary'!AB200)),0),AB81*$BI81),AB81*$BI81),0)</f>
        <v>0</v>
      </c>
      <c r="CF81" s="314">
        <f>IF($BI81&lt;&gt;"",IF('Capacity summary'!$D$14="Yes",IF(COUNTBLANK('Capacity summary'!$H200:$BG200)&lt;52,IF('Capacity summary'!AC200&lt;&gt;"",IF(LOWER('Capacity summary'!AC200)="x",$BI81*AC81,VALUE('Capacity summary'!AC200)),0),AC81*$BI81),AC81*$BI81),0)</f>
        <v>0</v>
      </c>
      <c r="CG81" s="314">
        <f>IF($BI81&lt;&gt;"",IF('Capacity summary'!$D$14="Yes",IF(COUNTBLANK('Capacity summary'!$H200:$BG200)&lt;52,IF('Capacity summary'!AD200&lt;&gt;"",IF(LOWER('Capacity summary'!AD200)="x",$BI81*AD81,VALUE('Capacity summary'!AD200)),0),AD81*$BI81),AD81*$BI81),0)</f>
        <v>0</v>
      </c>
      <c r="CH81" s="314">
        <f>IF($BI81&lt;&gt;"",IF('Capacity summary'!$D$14="Yes",IF(COUNTBLANK('Capacity summary'!$H200:$BG200)&lt;52,IF('Capacity summary'!AE200&lt;&gt;"",IF(LOWER('Capacity summary'!AE200)="x",$BI81*AE81,VALUE('Capacity summary'!AE200)),0),AE81*$BI81),AE81*$BI81),0)</f>
        <v>0</v>
      </c>
      <c r="CI81" s="314">
        <f>IF($BI81&lt;&gt;"",IF('Capacity summary'!$D$14="Yes",IF(COUNTBLANK('Capacity summary'!$H200:$BG200)&lt;52,IF('Capacity summary'!AF200&lt;&gt;"",IF(LOWER('Capacity summary'!AF200)="x",$BI81*AF81,VALUE('Capacity summary'!AF200)),0),AF81*$BI81),AF81*$BI81),0)</f>
        <v>0</v>
      </c>
      <c r="CJ81" s="314">
        <f>IF($BI81&lt;&gt;"",IF('Capacity summary'!$D$14="Yes",IF(COUNTBLANK('Capacity summary'!$H200:$BG200)&lt;52,IF('Capacity summary'!AG200&lt;&gt;"",IF(LOWER('Capacity summary'!AG200)="x",$BI81*AG81,VALUE('Capacity summary'!AG200)),0),AG81*$BI81),AG81*$BI81),0)</f>
        <v>0</v>
      </c>
      <c r="CK81" s="314">
        <f>IF($BI81&lt;&gt;"",IF('Capacity summary'!$D$14="Yes",IF(COUNTBLANK('Capacity summary'!$H200:$BG200)&lt;52,IF('Capacity summary'!AH200&lt;&gt;"",IF(LOWER('Capacity summary'!AH200)="x",$BI81*AH81,VALUE('Capacity summary'!AH200)),0),AH81*$BI81),AH81*$BI81),0)</f>
        <v>0</v>
      </c>
      <c r="CL81" s="314">
        <f>IF($BI81&lt;&gt;"",IF('Capacity summary'!$D$14="Yes",IF(COUNTBLANK('Capacity summary'!$H200:$BG200)&lt;52,IF('Capacity summary'!AI200&lt;&gt;"",IF(LOWER('Capacity summary'!AI200)="x",$BI81*AI81,VALUE('Capacity summary'!AI200)),0),AI81*$BI81),AI81*$BI81),0)</f>
        <v>0</v>
      </c>
      <c r="CM81" s="314">
        <f>IF($BI81&lt;&gt;"",IF('Capacity summary'!$D$14="Yes",IF(COUNTBLANK('Capacity summary'!$H200:$BG200)&lt;52,IF('Capacity summary'!AJ200&lt;&gt;"",IF(LOWER('Capacity summary'!AJ200)="x",$BI81*AJ81,VALUE('Capacity summary'!AJ200)),0),AJ81*$BI81),AJ81*$BI81),0)</f>
        <v>0</v>
      </c>
      <c r="CN81" s="314">
        <f>IF($BI81&lt;&gt;"",IF('Capacity summary'!$D$14="Yes",IF(COUNTBLANK('Capacity summary'!$H200:$BG200)&lt;52,IF('Capacity summary'!AK200&lt;&gt;"",IF(LOWER('Capacity summary'!AK200)="x",$BI81*AK81,VALUE('Capacity summary'!AK200)),0),AK81*$BI81),AK81*$BI81),0)</f>
        <v>0</v>
      </c>
      <c r="CO81" s="314">
        <f>IF($BI81&lt;&gt;"",IF('Capacity summary'!$D$14="Yes",IF(COUNTBLANK('Capacity summary'!$H200:$BG200)&lt;52,IF('Capacity summary'!AL200&lt;&gt;"",IF(LOWER('Capacity summary'!AL200)="x",$BI81*AL81,VALUE('Capacity summary'!AL200)),0),AL81*$BI81),AL81*$BI81),0)</f>
        <v>0</v>
      </c>
      <c r="CP81" s="314">
        <f>IF($BI81&lt;&gt;"",IF('Capacity summary'!$D$14="Yes",IF(COUNTBLANK('Capacity summary'!$H200:$BG200)&lt;52,IF('Capacity summary'!AM200&lt;&gt;"",IF(LOWER('Capacity summary'!AM200)="x",$BI81*AM81,VALUE('Capacity summary'!AM200)),0),AM81*$BI81),AM81*$BI81),0)</f>
        <v>0</v>
      </c>
      <c r="CQ81" s="314">
        <f>IF($BI81&lt;&gt;"",IF('Capacity summary'!$D$14="Yes",IF(COUNTBLANK('Capacity summary'!$H200:$BG200)&lt;52,IF('Capacity summary'!AN200&lt;&gt;"",IF(LOWER('Capacity summary'!AN200)="x",$BI81*AN81,VALUE('Capacity summary'!AN200)),0),AN81*$BI81),AN81*$BI81),0)</f>
        <v>0</v>
      </c>
      <c r="CR81" s="314">
        <f>IF($BI81&lt;&gt;"",IF('Capacity summary'!$D$14="Yes",IF(COUNTBLANK('Capacity summary'!$H200:$BG200)&lt;52,IF('Capacity summary'!AO200&lt;&gt;"",IF(LOWER('Capacity summary'!AO200)="x",$BI81*AO81,VALUE('Capacity summary'!AO200)),0),AO81*$BI81),AO81*$BI81),0)</f>
        <v>0</v>
      </c>
      <c r="CS81" s="314">
        <f>IF($BI81&lt;&gt;"",IF('Capacity summary'!$D$14="Yes",IF(COUNTBLANK('Capacity summary'!$H200:$BG200)&lt;52,IF('Capacity summary'!AP200&lt;&gt;"",IF(LOWER('Capacity summary'!AP200)="x",$BI81*AP81,VALUE('Capacity summary'!AP200)),0),AP81*$BI81),AP81*$BI81),0)</f>
        <v>0</v>
      </c>
      <c r="CT81" s="314">
        <f>IF($BI81&lt;&gt;"",IF('Capacity summary'!$D$14="Yes",IF(COUNTBLANK('Capacity summary'!$H200:$BG200)&lt;52,IF('Capacity summary'!AQ200&lt;&gt;"",IF(LOWER('Capacity summary'!AQ200)="x",$BI81*AQ81,VALUE('Capacity summary'!AQ200)),0),AQ81*$BI81),AQ81*$BI81),0)</f>
        <v>0</v>
      </c>
      <c r="CU81" s="314">
        <f>IF($BI81&lt;&gt;"",IF('Capacity summary'!$D$14="Yes",IF(COUNTBLANK('Capacity summary'!$H200:$BG200)&lt;52,IF('Capacity summary'!AR200&lt;&gt;"",IF(LOWER('Capacity summary'!AR200)="x",$BI81*AR81,VALUE('Capacity summary'!AR200)),0),AR81*$BI81),AR81*$BI81),0)</f>
        <v>0</v>
      </c>
      <c r="CV81" s="314">
        <f>IF($BI81&lt;&gt;"",IF('Capacity summary'!$D$14="Yes",IF(COUNTBLANK('Capacity summary'!$H200:$BG200)&lt;52,IF('Capacity summary'!AS200&lt;&gt;"",IF(LOWER('Capacity summary'!AS200)="x",$BI81*AS81,VALUE('Capacity summary'!AS200)),0),AS81*$BI81),AS81*$BI81),0)</f>
        <v>0</v>
      </c>
      <c r="CW81" s="314">
        <f>IF($BI81&lt;&gt;"",IF('Capacity summary'!$D$14="Yes",IF(COUNTBLANK('Capacity summary'!$H200:$BG200)&lt;52,IF('Capacity summary'!AT200&lt;&gt;"",IF(LOWER('Capacity summary'!AT200)="x",$BI81*AT81,VALUE('Capacity summary'!AT200)),0),AT81*$BI81),AT81*$BI81),0)</f>
        <v>0</v>
      </c>
      <c r="CX81" s="314">
        <f>IF($BI81&lt;&gt;"",IF('Capacity summary'!$D$14="Yes",IF(COUNTBLANK('Capacity summary'!$H200:$BG200)&lt;52,IF('Capacity summary'!AU200&lt;&gt;"",IF(LOWER('Capacity summary'!AU200)="x",$BI81*AU81,VALUE('Capacity summary'!AU200)),0),AU81*$BI81),AU81*$BI81),0)</f>
        <v>0</v>
      </c>
      <c r="CY81" s="314">
        <f>IF($BI81&lt;&gt;"",IF('Capacity summary'!$D$14="Yes",IF(COUNTBLANK('Capacity summary'!$H200:$BG200)&lt;52,IF('Capacity summary'!AV200&lt;&gt;"",IF(LOWER('Capacity summary'!AV200)="x",$BI81*AV81,VALUE('Capacity summary'!AV200)),0),AV81*$BI81),AV81*$BI81),0)</f>
        <v>0</v>
      </c>
      <c r="CZ81" s="314">
        <f>IF($BI81&lt;&gt;"",IF('Capacity summary'!$D$14="Yes",IF(COUNTBLANK('Capacity summary'!$H200:$BG200)&lt;52,IF('Capacity summary'!AW200&lt;&gt;"",IF(LOWER('Capacity summary'!AW200)="x",$BI81*AW81,VALUE('Capacity summary'!AW200)),0),AW81*$BI81),AW81*$BI81),0)</f>
        <v>0</v>
      </c>
      <c r="DA81" s="314">
        <f>IF($BI81&lt;&gt;"",IF('Capacity summary'!$D$14="Yes",IF(COUNTBLANK('Capacity summary'!$H200:$BG200)&lt;52,IF('Capacity summary'!AX200&lt;&gt;"",IF(LOWER('Capacity summary'!AX200)="x",$BI81*AX81,VALUE('Capacity summary'!AX200)),0),AX81*$BI81),AX81*$BI81),0)</f>
        <v>0</v>
      </c>
      <c r="DB81" s="314">
        <f>IF($BI81&lt;&gt;"",IF('Capacity summary'!$D$14="Yes",IF(COUNTBLANK('Capacity summary'!$H200:$BG200)&lt;52,IF('Capacity summary'!AY200&lt;&gt;"",IF(LOWER('Capacity summary'!AY200)="x",$BI81*AY81,VALUE('Capacity summary'!AY200)),0),AY81*$BI81),AY81*$BI81),0)</f>
        <v>0</v>
      </c>
      <c r="DC81" s="314">
        <f>IF($BI81&lt;&gt;"",IF('Capacity summary'!$D$14="Yes",IF(COUNTBLANK('Capacity summary'!$H200:$BG200)&lt;52,IF('Capacity summary'!AZ200&lt;&gt;"",IF(LOWER('Capacity summary'!AZ200)="x",$BI81*AZ81,VALUE('Capacity summary'!AZ200)),0),AZ81*$BI81),AZ81*$BI81),0)</f>
        <v>0</v>
      </c>
      <c r="DD81" s="314">
        <f>IF($BI81&lt;&gt;"",IF('Capacity summary'!$D$14="Yes",IF(COUNTBLANK('Capacity summary'!$H200:$BG200)&lt;52,IF('Capacity summary'!BA200&lt;&gt;"",IF(LOWER('Capacity summary'!BA200)="x",$BI81*BA81,VALUE('Capacity summary'!BA200)),0),BA81*$BI81),BA81*$BI81),0)</f>
        <v>0</v>
      </c>
      <c r="DE81" s="314">
        <f>IF($BI81&lt;&gt;"",IF('Capacity summary'!$D$14="Yes",IF(COUNTBLANK('Capacity summary'!$H200:$BG200)&lt;52,IF('Capacity summary'!BB200&lt;&gt;"",IF(LOWER('Capacity summary'!BB200)="x",$BI81*BB81,VALUE('Capacity summary'!BB200)),0),BB81*$BI81),BB81*$BI81),0)</f>
        <v>0</v>
      </c>
      <c r="DF81" s="314">
        <f>IF($BI81&lt;&gt;"",IF('Capacity summary'!$D$14="Yes",IF(COUNTBLANK('Capacity summary'!$H200:$BG200)&lt;52,IF('Capacity summary'!BC200&lt;&gt;"",IF(LOWER('Capacity summary'!BC200)="x",$BI81*BC81,VALUE('Capacity summary'!BC200)),0),BC81*$BI81),BC81*$BI81),0)</f>
        <v>0</v>
      </c>
      <c r="DG81" s="314">
        <f>IF($BI81&lt;&gt;"",IF('Capacity summary'!$D$14="Yes",IF(COUNTBLANK('Capacity summary'!$H200:$BG200)&lt;52,IF('Capacity summary'!BD200&lt;&gt;"",IF(LOWER('Capacity summary'!BD200)="x",$BI81*BD81,VALUE('Capacity summary'!BD200)),0),BD81*$BI81),BD81*$BI81),0)</f>
        <v>0</v>
      </c>
      <c r="DH81" s="314">
        <f>IF($BI81&lt;&gt;"",IF('Capacity summary'!$D$14="Yes",IF(COUNTBLANK('Capacity summary'!$H200:$BG200)&lt;52,IF('Capacity summary'!BE200&lt;&gt;"",IF(LOWER('Capacity summary'!BE200)="x",$BI81*BE81,VALUE('Capacity summary'!BE200)),0),BE81*$BI81),BE81*$BI81),0)</f>
        <v>0</v>
      </c>
      <c r="DI81" s="314">
        <f>IF($BI81&lt;&gt;"",IF('Capacity summary'!$D$14="Yes",IF(COUNTBLANK('Capacity summary'!$H200:$BG200)&lt;52,IF('Capacity summary'!BF200&lt;&gt;"",IF(LOWER('Capacity summary'!BF200)="x",$BI81*BF81,VALUE('Capacity summary'!BF200)),0),BF81*$BI81),BF81*$BI81),0)</f>
        <v>0</v>
      </c>
      <c r="DJ81" s="314">
        <f>IF($BI81&lt;&gt;"",IF('Capacity summary'!$D$14="Yes",IF(COUNTBLANK('Capacity summary'!$H200:$BG200)&lt;52,IF('Capacity summary'!BG200&lt;&gt;"",IF(LOWER('Capacity summary'!BG200)="x",$BI81*BG81,VALUE('Capacity summary'!BG200)),0),BG81*$BI81),BG81*$BI81),0)</f>
        <v>0</v>
      </c>
      <c r="DK81" s="137">
        <f t="shared" si="3"/>
        <v>0</v>
      </c>
      <c r="DL81" s="314"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4">
        <f>IF($BI82&lt;&gt;"",IF('Capacity summary'!$D$14="Yes",IF(COUNTBLANK('Capacity summary'!$H201:$BG201)&lt;52,IF('Capacity summary'!H201&lt;&gt;"",IF(LOWER('Capacity summary'!H201)="x",$BI82*H82,VALUE('Capacity summary'!H201)),0),H82*$BI82),H82*$BI82),0)</f>
        <v>0</v>
      </c>
      <c r="BL82" s="314">
        <f>IF($BI82&lt;&gt;"",IF('Capacity summary'!$D$14="Yes",IF(COUNTBLANK('Capacity summary'!$H201:$BG201)&lt;52,IF('Capacity summary'!I201&lt;&gt;"",IF(LOWER('Capacity summary'!I201)="x",$BI82*I82,VALUE('Capacity summary'!I201)),0),I82*$BI82),I82*$BI82),0)</f>
        <v>0</v>
      </c>
      <c r="BM82" s="314">
        <f>IF($BI82&lt;&gt;"",IF('Capacity summary'!$D$14="Yes",IF(COUNTBLANK('Capacity summary'!$H201:$BG201)&lt;52,IF('Capacity summary'!J201&lt;&gt;"",IF(LOWER('Capacity summary'!J201)="x",$BI82*J82,VALUE('Capacity summary'!J201)),0),J82*$BI82),J82*$BI82),0)</f>
        <v>0</v>
      </c>
      <c r="BN82" s="314">
        <f>IF($BI82&lt;&gt;"",IF('Capacity summary'!$D$14="Yes",IF(COUNTBLANK('Capacity summary'!$H201:$BG201)&lt;52,IF('Capacity summary'!K201&lt;&gt;"",IF(LOWER('Capacity summary'!K201)="x",$BI82*K82,VALUE('Capacity summary'!K201)),0),K82*$BI82),K82*$BI82),0)</f>
        <v>0</v>
      </c>
      <c r="BO82" s="314">
        <f>IF($BI82&lt;&gt;"",IF('Capacity summary'!$D$14="Yes",IF(COUNTBLANK('Capacity summary'!$H201:$BG201)&lt;52,IF('Capacity summary'!L201&lt;&gt;"",IF(LOWER('Capacity summary'!L201)="x",$BI82*L82,VALUE('Capacity summary'!L201)),0),L82*$BI82),L82*$BI82),0)</f>
        <v>0</v>
      </c>
      <c r="BP82" s="314">
        <f>IF($BI82&lt;&gt;"",IF('Capacity summary'!$D$14="Yes",IF(COUNTBLANK('Capacity summary'!$H201:$BG201)&lt;52,IF('Capacity summary'!M201&lt;&gt;"",IF(LOWER('Capacity summary'!M201)="x",$BI82*M82,VALUE('Capacity summary'!M201)),0),M82*$BI82),M82*$BI82),0)</f>
        <v>0</v>
      </c>
      <c r="BQ82" s="314">
        <f>IF($BI82&lt;&gt;"",IF('Capacity summary'!$D$14="Yes",IF(COUNTBLANK('Capacity summary'!$H201:$BG201)&lt;52,IF('Capacity summary'!N201&lt;&gt;"",IF(LOWER('Capacity summary'!N201)="x",$BI82*N82,VALUE('Capacity summary'!N201)),0),N82*$BI82),N82*$BI82),0)</f>
        <v>0</v>
      </c>
      <c r="BR82" s="314">
        <f>IF($BI82&lt;&gt;"",IF('Capacity summary'!$D$14="Yes",IF(COUNTBLANK('Capacity summary'!$H201:$BG201)&lt;52,IF('Capacity summary'!O201&lt;&gt;"",IF(LOWER('Capacity summary'!O201)="x",$BI82*O82,VALUE('Capacity summary'!O201)),0),O82*$BI82),O82*$BI82),0)</f>
        <v>0</v>
      </c>
      <c r="BS82" s="314">
        <f>IF($BI82&lt;&gt;"",IF('Capacity summary'!$D$14="Yes",IF(COUNTBLANK('Capacity summary'!$H201:$BG201)&lt;52,IF('Capacity summary'!P201&lt;&gt;"",IF(LOWER('Capacity summary'!P201)="x",$BI82*P82,VALUE('Capacity summary'!P201)),0),P82*$BI82),P82*$BI82),0)</f>
        <v>0</v>
      </c>
      <c r="BT82" s="314">
        <f>IF($BI82&lt;&gt;"",IF('Capacity summary'!$D$14="Yes",IF(COUNTBLANK('Capacity summary'!$H201:$BG201)&lt;52,IF('Capacity summary'!Q201&lt;&gt;"",IF(LOWER('Capacity summary'!Q201)="x",$BI82*Q82,VALUE('Capacity summary'!Q201)),0),Q82*$BI82),Q82*$BI82),0)</f>
        <v>0</v>
      </c>
      <c r="BU82" s="314">
        <f>IF($BI82&lt;&gt;"",IF('Capacity summary'!$D$14="Yes",IF(COUNTBLANK('Capacity summary'!$H201:$BG201)&lt;52,IF('Capacity summary'!R201&lt;&gt;"",IF(LOWER('Capacity summary'!R201)="x",$BI82*R82,VALUE('Capacity summary'!R201)),0),R82*$BI82),R82*$BI82),0)</f>
        <v>0</v>
      </c>
      <c r="BV82" s="314">
        <f>IF($BI82&lt;&gt;"",IF('Capacity summary'!$D$14="Yes",IF(COUNTBLANK('Capacity summary'!$H201:$BG201)&lt;52,IF('Capacity summary'!S201&lt;&gt;"",IF(LOWER('Capacity summary'!S201)="x",$BI82*S82,VALUE('Capacity summary'!S201)),0),S82*$BI82),S82*$BI82),0)</f>
        <v>0</v>
      </c>
      <c r="BW82" s="314">
        <f>IF($BI82&lt;&gt;"",IF('Capacity summary'!$D$14="Yes",IF(COUNTBLANK('Capacity summary'!$H201:$BG201)&lt;52,IF('Capacity summary'!T201&lt;&gt;"",IF(LOWER('Capacity summary'!T201)="x",$BI82*T82,VALUE('Capacity summary'!T201)),0),T82*$BI82),T82*$BI82),0)</f>
        <v>0</v>
      </c>
      <c r="BX82" s="314">
        <f>IF($BI82&lt;&gt;"",IF('Capacity summary'!$D$14="Yes",IF(COUNTBLANK('Capacity summary'!$H201:$BG201)&lt;52,IF('Capacity summary'!U201&lt;&gt;"",IF(LOWER('Capacity summary'!U201)="x",$BI82*U82,VALUE('Capacity summary'!U201)),0),U82*$BI82),U82*$BI82),0)</f>
        <v>0</v>
      </c>
      <c r="BY82" s="314">
        <f>IF($BI82&lt;&gt;"",IF('Capacity summary'!$D$14="Yes",IF(COUNTBLANK('Capacity summary'!$H201:$BG201)&lt;52,IF('Capacity summary'!V201&lt;&gt;"",IF(LOWER('Capacity summary'!V201)="x",$BI82*V82,VALUE('Capacity summary'!V201)),0),V82*$BI82),V82*$BI82),0)</f>
        <v>0</v>
      </c>
      <c r="BZ82" s="314">
        <f>IF($BI82&lt;&gt;"",IF('Capacity summary'!$D$14="Yes",IF(COUNTBLANK('Capacity summary'!$H201:$BG201)&lt;52,IF('Capacity summary'!W201&lt;&gt;"",IF(LOWER('Capacity summary'!W201)="x",$BI82*W82,VALUE('Capacity summary'!W201)),0),W82*$BI82),W82*$BI82),0)</f>
        <v>0</v>
      </c>
      <c r="CA82" s="314">
        <f>IF($BI82&lt;&gt;"",IF('Capacity summary'!$D$14="Yes",IF(COUNTBLANK('Capacity summary'!$H201:$BG201)&lt;52,IF('Capacity summary'!X201&lt;&gt;"",IF(LOWER('Capacity summary'!X201)="x",$BI82*X82,VALUE('Capacity summary'!X201)),0),X82*$BI82),X82*$BI82),0)</f>
        <v>0</v>
      </c>
      <c r="CB82" s="314">
        <f>IF($BI82&lt;&gt;"",IF('Capacity summary'!$D$14="Yes",IF(COUNTBLANK('Capacity summary'!$H201:$BG201)&lt;52,IF('Capacity summary'!Y201&lt;&gt;"",IF(LOWER('Capacity summary'!Y201)="x",$BI82*Y82,VALUE('Capacity summary'!Y201)),0),Y82*$BI82),Y82*$BI82),0)</f>
        <v>0</v>
      </c>
      <c r="CC82" s="314">
        <f>IF($BI82&lt;&gt;"",IF('Capacity summary'!$D$14="Yes",IF(COUNTBLANK('Capacity summary'!$H201:$BG201)&lt;52,IF('Capacity summary'!Z201&lt;&gt;"",IF(LOWER('Capacity summary'!Z201)="x",$BI82*Z82,VALUE('Capacity summary'!Z201)),0),Z82*$BI82),Z82*$BI82),0)</f>
        <v>0</v>
      </c>
      <c r="CD82" s="314">
        <f>IF($BI82&lt;&gt;"",IF('Capacity summary'!$D$14="Yes",IF(COUNTBLANK('Capacity summary'!$H201:$BG201)&lt;52,IF('Capacity summary'!AA201&lt;&gt;"",IF(LOWER('Capacity summary'!AA201)="x",$BI82*AA82,VALUE('Capacity summary'!AA201)),0),AA82*$BI82),AA82*$BI82),0)</f>
        <v>0</v>
      </c>
      <c r="CE82" s="314">
        <f>IF($BI82&lt;&gt;"",IF('Capacity summary'!$D$14="Yes",IF(COUNTBLANK('Capacity summary'!$H201:$BG201)&lt;52,IF('Capacity summary'!AB201&lt;&gt;"",IF(LOWER('Capacity summary'!AB201)="x",$BI82*AB82,VALUE('Capacity summary'!AB201)),0),AB82*$BI82),AB82*$BI82),0)</f>
        <v>0</v>
      </c>
      <c r="CF82" s="314">
        <f>IF($BI82&lt;&gt;"",IF('Capacity summary'!$D$14="Yes",IF(COUNTBLANK('Capacity summary'!$H201:$BG201)&lt;52,IF('Capacity summary'!AC201&lt;&gt;"",IF(LOWER('Capacity summary'!AC201)="x",$BI82*AC82,VALUE('Capacity summary'!AC201)),0),AC82*$BI82),AC82*$BI82),0)</f>
        <v>0</v>
      </c>
      <c r="CG82" s="314">
        <f>IF($BI82&lt;&gt;"",IF('Capacity summary'!$D$14="Yes",IF(COUNTBLANK('Capacity summary'!$H201:$BG201)&lt;52,IF('Capacity summary'!AD201&lt;&gt;"",IF(LOWER('Capacity summary'!AD201)="x",$BI82*AD82,VALUE('Capacity summary'!AD201)),0),AD82*$BI82),AD82*$BI82),0)</f>
        <v>0</v>
      </c>
      <c r="CH82" s="314">
        <f>IF($BI82&lt;&gt;"",IF('Capacity summary'!$D$14="Yes",IF(COUNTBLANK('Capacity summary'!$H201:$BG201)&lt;52,IF('Capacity summary'!AE201&lt;&gt;"",IF(LOWER('Capacity summary'!AE201)="x",$BI82*AE82,VALUE('Capacity summary'!AE201)),0),AE82*$BI82),AE82*$BI82),0)</f>
        <v>0</v>
      </c>
      <c r="CI82" s="314">
        <f>IF($BI82&lt;&gt;"",IF('Capacity summary'!$D$14="Yes",IF(COUNTBLANK('Capacity summary'!$H201:$BG201)&lt;52,IF('Capacity summary'!AF201&lt;&gt;"",IF(LOWER('Capacity summary'!AF201)="x",$BI82*AF82,VALUE('Capacity summary'!AF201)),0),AF82*$BI82),AF82*$BI82),0)</f>
        <v>0</v>
      </c>
      <c r="CJ82" s="314">
        <f>IF($BI82&lt;&gt;"",IF('Capacity summary'!$D$14="Yes",IF(COUNTBLANK('Capacity summary'!$H201:$BG201)&lt;52,IF('Capacity summary'!AG201&lt;&gt;"",IF(LOWER('Capacity summary'!AG201)="x",$BI82*AG82,VALUE('Capacity summary'!AG201)),0),AG82*$BI82),AG82*$BI82),0)</f>
        <v>0</v>
      </c>
      <c r="CK82" s="314">
        <f>IF($BI82&lt;&gt;"",IF('Capacity summary'!$D$14="Yes",IF(COUNTBLANK('Capacity summary'!$H201:$BG201)&lt;52,IF('Capacity summary'!AH201&lt;&gt;"",IF(LOWER('Capacity summary'!AH201)="x",$BI82*AH82,VALUE('Capacity summary'!AH201)),0),AH82*$BI82),AH82*$BI82),0)</f>
        <v>0</v>
      </c>
      <c r="CL82" s="314">
        <f>IF($BI82&lt;&gt;"",IF('Capacity summary'!$D$14="Yes",IF(COUNTBLANK('Capacity summary'!$H201:$BG201)&lt;52,IF('Capacity summary'!AI201&lt;&gt;"",IF(LOWER('Capacity summary'!AI201)="x",$BI82*AI82,VALUE('Capacity summary'!AI201)),0),AI82*$BI82),AI82*$BI82),0)</f>
        <v>0</v>
      </c>
      <c r="CM82" s="314">
        <f>IF($BI82&lt;&gt;"",IF('Capacity summary'!$D$14="Yes",IF(COUNTBLANK('Capacity summary'!$H201:$BG201)&lt;52,IF('Capacity summary'!AJ201&lt;&gt;"",IF(LOWER('Capacity summary'!AJ201)="x",$BI82*AJ82,VALUE('Capacity summary'!AJ201)),0),AJ82*$BI82),AJ82*$BI82),0)</f>
        <v>0</v>
      </c>
      <c r="CN82" s="314">
        <f>IF($BI82&lt;&gt;"",IF('Capacity summary'!$D$14="Yes",IF(COUNTBLANK('Capacity summary'!$H201:$BG201)&lt;52,IF('Capacity summary'!AK201&lt;&gt;"",IF(LOWER('Capacity summary'!AK201)="x",$BI82*AK82,VALUE('Capacity summary'!AK201)),0),AK82*$BI82),AK82*$BI82),0)</f>
        <v>0</v>
      </c>
      <c r="CO82" s="314">
        <f>IF($BI82&lt;&gt;"",IF('Capacity summary'!$D$14="Yes",IF(COUNTBLANK('Capacity summary'!$H201:$BG201)&lt;52,IF('Capacity summary'!AL201&lt;&gt;"",IF(LOWER('Capacity summary'!AL201)="x",$BI82*AL82,VALUE('Capacity summary'!AL201)),0),AL82*$BI82),AL82*$BI82),0)</f>
        <v>0</v>
      </c>
      <c r="CP82" s="314">
        <f>IF($BI82&lt;&gt;"",IF('Capacity summary'!$D$14="Yes",IF(COUNTBLANK('Capacity summary'!$H201:$BG201)&lt;52,IF('Capacity summary'!AM201&lt;&gt;"",IF(LOWER('Capacity summary'!AM201)="x",$BI82*AM82,VALUE('Capacity summary'!AM201)),0),AM82*$BI82),AM82*$BI82),0)</f>
        <v>0</v>
      </c>
      <c r="CQ82" s="314">
        <f>IF($BI82&lt;&gt;"",IF('Capacity summary'!$D$14="Yes",IF(COUNTBLANK('Capacity summary'!$H201:$BG201)&lt;52,IF('Capacity summary'!AN201&lt;&gt;"",IF(LOWER('Capacity summary'!AN201)="x",$BI82*AN82,VALUE('Capacity summary'!AN201)),0),AN82*$BI82),AN82*$BI82),0)</f>
        <v>0</v>
      </c>
      <c r="CR82" s="314">
        <f>IF($BI82&lt;&gt;"",IF('Capacity summary'!$D$14="Yes",IF(COUNTBLANK('Capacity summary'!$H201:$BG201)&lt;52,IF('Capacity summary'!AO201&lt;&gt;"",IF(LOWER('Capacity summary'!AO201)="x",$BI82*AO82,VALUE('Capacity summary'!AO201)),0),AO82*$BI82),AO82*$BI82),0)</f>
        <v>0</v>
      </c>
      <c r="CS82" s="314">
        <f>IF($BI82&lt;&gt;"",IF('Capacity summary'!$D$14="Yes",IF(COUNTBLANK('Capacity summary'!$H201:$BG201)&lt;52,IF('Capacity summary'!AP201&lt;&gt;"",IF(LOWER('Capacity summary'!AP201)="x",$BI82*AP82,VALUE('Capacity summary'!AP201)),0),AP82*$BI82),AP82*$BI82),0)</f>
        <v>0</v>
      </c>
      <c r="CT82" s="314">
        <f>IF($BI82&lt;&gt;"",IF('Capacity summary'!$D$14="Yes",IF(COUNTBLANK('Capacity summary'!$H201:$BG201)&lt;52,IF('Capacity summary'!AQ201&lt;&gt;"",IF(LOWER('Capacity summary'!AQ201)="x",$BI82*AQ82,VALUE('Capacity summary'!AQ201)),0),AQ82*$BI82),AQ82*$BI82),0)</f>
        <v>0</v>
      </c>
      <c r="CU82" s="314">
        <f>IF($BI82&lt;&gt;"",IF('Capacity summary'!$D$14="Yes",IF(COUNTBLANK('Capacity summary'!$H201:$BG201)&lt;52,IF('Capacity summary'!AR201&lt;&gt;"",IF(LOWER('Capacity summary'!AR201)="x",$BI82*AR82,VALUE('Capacity summary'!AR201)),0),AR82*$BI82),AR82*$BI82),0)</f>
        <v>0</v>
      </c>
      <c r="CV82" s="314">
        <f>IF($BI82&lt;&gt;"",IF('Capacity summary'!$D$14="Yes",IF(COUNTBLANK('Capacity summary'!$H201:$BG201)&lt;52,IF('Capacity summary'!AS201&lt;&gt;"",IF(LOWER('Capacity summary'!AS201)="x",$BI82*AS82,VALUE('Capacity summary'!AS201)),0),AS82*$BI82),AS82*$BI82),0)</f>
        <v>0</v>
      </c>
      <c r="CW82" s="314">
        <f>IF($BI82&lt;&gt;"",IF('Capacity summary'!$D$14="Yes",IF(COUNTBLANK('Capacity summary'!$H201:$BG201)&lt;52,IF('Capacity summary'!AT201&lt;&gt;"",IF(LOWER('Capacity summary'!AT201)="x",$BI82*AT82,VALUE('Capacity summary'!AT201)),0),AT82*$BI82),AT82*$BI82),0)</f>
        <v>0</v>
      </c>
      <c r="CX82" s="314">
        <f>IF($BI82&lt;&gt;"",IF('Capacity summary'!$D$14="Yes",IF(COUNTBLANK('Capacity summary'!$H201:$BG201)&lt;52,IF('Capacity summary'!AU201&lt;&gt;"",IF(LOWER('Capacity summary'!AU201)="x",$BI82*AU82,VALUE('Capacity summary'!AU201)),0),AU82*$BI82),AU82*$BI82),0)</f>
        <v>0</v>
      </c>
      <c r="CY82" s="314">
        <f>IF($BI82&lt;&gt;"",IF('Capacity summary'!$D$14="Yes",IF(COUNTBLANK('Capacity summary'!$H201:$BG201)&lt;52,IF('Capacity summary'!AV201&lt;&gt;"",IF(LOWER('Capacity summary'!AV201)="x",$BI82*AV82,VALUE('Capacity summary'!AV201)),0),AV82*$BI82),AV82*$BI82),0)</f>
        <v>0</v>
      </c>
      <c r="CZ82" s="314">
        <f>IF($BI82&lt;&gt;"",IF('Capacity summary'!$D$14="Yes",IF(COUNTBLANK('Capacity summary'!$H201:$BG201)&lt;52,IF('Capacity summary'!AW201&lt;&gt;"",IF(LOWER('Capacity summary'!AW201)="x",$BI82*AW82,VALUE('Capacity summary'!AW201)),0),AW82*$BI82),AW82*$BI82),0)</f>
        <v>0</v>
      </c>
      <c r="DA82" s="314">
        <f>IF($BI82&lt;&gt;"",IF('Capacity summary'!$D$14="Yes",IF(COUNTBLANK('Capacity summary'!$H201:$BG201)&lt;52,IF('Capacity summary'!AX201&lt;&gt;"",IF(LOWER('Capacity summary'!AX201)="x",$BI82*AX82,VALUE('Capacity summary'!AX201)),0),AX82*$BI82),AX82*$BI82),0)</f>
        <v>0</v>
      </c>
      <c r="DB82" s="314">
        <f>IF($BI82&lt;&gt;"",IF('Capacity summary'!$D$14="Yes",IF(COUNTBLANK('Capacity summary'!$H201:$BG201)&lt;52,IF('Capacity summary'!AY201&lt;&gt;"",IF(LOWER('Capacity summary'!AY201)="x",$BI82*AY82,VALUE('Capacity summary'!AY201)),0),AY82*$BI82),AY82*$BI82),0)</f>
        <v>0</v>
      </c>
      <c r="DC82" s="314">
        <f>IF($BI82&lt;&gt;"",IF('Capacity summary'!$D$14="Yes",IF(COUNTBLANK('Capacity summary'!$H201:$BG201)&lt;52,IF('Capacity summary'!AZ201&lt;&gt;"",IF(LOWER('Capacity summary'!AZ201)="x",$BI82*AZ82,VALUE('Capacity summary'!AZ201)),0),AZ82*$BI82),AZ82*$BI82),0)</f>
        <v>0</v>
      </c>
      <c r="DD82" s="314">
        <f>IF($BI82&lt;&gt;"",IF('Capacity summary'!$D$14="Yes",IF(COUNTBLANK('Capacity summary'!$H201:$BG201)&lt;52,IF('Capacity summary'!BA201&lt;&gt;"",IF(LOWER('Capacity summary'!BA201)="x",$BI82*BA82,VALUE('Capacity summary'!BA201)),0),BA82*$BI82),BA82*$BI82),0)</f>
        <v>0</v>
      </c>
      <c r="DE82" s="314">
        <f>IF($BI82&lt;&gt;"",IF('Capacity summary'!$D$14="Yes",IF(COUNTBLANK('Capacity summary'!$H201:$BG201)&lt;52,IF('Capacity summary'!BB201&lt;&gt;"",IF(LOWER('Capacity summary'!BB201)="x",$BI82*BB82,VALUE('Capacity summary'!BB201)),0),BB82*$BI82),BB82*$BI82),0)</f>
        <v>0</v>
      </c>
      <c r="DF82" s="314">
        <f>IF($BI82&lt;&gt;"",IF('Capacity summary'!$D$14="Yes",IF(COUNTBLANK('Capacity summary'!$H201:$BG201)&lt;52,IF('Capacity summary'!BC201&lt;&gt;"",IF(LOWER('Capacity summary'!BC201)="x",$BI82*BC82,VALUE('Capacity summary'!BC201)),0),BC82*$BI82),BC82*$BI82),0)</f>
        <v>0</v>
      </c>
      <c r="DG82" s="314">
        <f>IF($BI82&lt;&gt;"",IF('Capacity summary'!$D$14="Yes",IF(COUNTBLANK('Capacity summary'!$H201:$BG201)&lt;52,IF('Capacity summary'!BD201&lt;&gt;"",IF(LOWER('Capacity summary'!BD201)="x",$BI82*BD82,VALUE('Capacity summary'!BD201)),0),BD82*$BI82),BD82*$BI82),0)</f>
        <v>0</v>
      </c>
      <c r="DH82" s="314">
        <f>IF($BI82&lt;&gt;"",IF('Capacity summary'!$D$14="Yes",IF(COUNTBLANK('Capacity summary'!$H201:$BG201)&lt;52,IF('Capacity summary'!BE201&lt;&gt;"",IF(LOWER('Capacity summary'!BE201)="x",$BI82*BE82,VALUE('Capacity summary'!BE201)),0),BE82*$BI82),BE82*$BI82),0)</f>
        <v>0</v>
      </c>
      <c r="DI82" s="314">
        <f>IF($BI82&lt;&gt;"",IF('Capacity summary'!$D$14="Yes",IF(COUNTBLANK('Capacity summary'!$H201:$BG201)&lt;52,IF('Capacity summary'!BF201&lt;&gt;"",IF(LOWER('Capacity summary'!BF201)="x",$BI82*BF82,VALUE('Capacity summary'!BF201)),0),BF82*$BI82),BF82*$BI82),0)</f>
        <v>0</v>
      </c>
      <c r="DJ82" s="314">
        <f>IF($BI82&lt;&gt;"",IF('Capacity summary'!$D$14="Yes",IF(COUNTBLANK('Capacity summary'!$H201:$BG201)&lt;52,IF('Capacity summary'!BG201&lt;&gt;"",IF(LOWER('Capacity summary'!BG201)="x",$BI82*BG82,VALUE('Capacity summary'!BG201)),0),BG82*$BI82),BG82*$BI82),0)</f>
        <v>0</v>
      </c>
      <c r="DK82" s="137">
        <f t="shared" si="3"/>
        <v>0</v>
      </c>
      <c r="DL82" s="314"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4">
        <f>IF($BI83&lt;&gt;"",IF('Capacity summary'!$D$14="Yes",IF(COUNTBLANK('Capacity summary'!$H202:$BG202)&lt;52,IF('Capacity summary'!H202&lt;&gt;"",IF(LOWER('Capacity summary'!H202)="x",$BI83*H83,VALUE('Capacity summary'!H202)),0),H83*$BI83),H83*$BI83),0)</f>
        <v>0</v>
      </c>
      <c r="BL83" s="314">
        <f>IF($BI83&lt;&gt;"",IF('Capacity summary'!$D$14="Yes",IF(COUNTBLANK('Capacity summary'!$H202:$BG202)&lt;52,IF('Capacity summary'!I202&lt;&gt;"",IF(LOWER('Capacity summary'!I202)="x",$BI83*I83,VALUE('Capacity summary'!I202)),0),I83*$BI83),I83*$BI83),0)</f>
        <v>0</v>
      </c>
      <c r="BM83" s="314">
        <f>IF($BI83&lt;&gt;"",IF('Capacity summary'!$D$14="Yes",IF(COUNTBLANK('Capacity summary'!$H202:$BG202)&lt;52,IF('Capacity summary'!J202&lt;&gt;"",IF(LOWER('Capacity summary'!J202)="x",$BI83*J83,VALUE('Capacity summary'!J202)),0),J83*$BI83),J83*$BI83),0)</f>
        <v>0</v>
      </c>
      <c r="BN83" s="314">
        <f>IF($BI83&lt;&gt;"",IF('Capacity summary'!$D$14="Yes",IF(COUNTBLANK('Capacity summary'!$H202:$BG202)&lt;52,IF('Capacity summary'!K202&lt;&gt;"",IF(LOWER('Capacity summary'!K202)="x",$BI83*K83,VALUE('Capacity summary'!K202)),0),K83*$BI83),K83*$BI83),0)</f>
        <v>0</v>
      </c>
      <c r="BO83" s="314">
        <f>IF($BI83&lt;&gt;"",IF('Capacity summary'!$D$14="Yes",IF(COUNTBLANK('Capacity summary'!$H202:$BG202)&lt;52,IF('Capacity summary'!L202&lt;&gt;"",IF(LOWER('Capacity summary'!L202)="x",$BI83*L83,VALUE('Capacity summary'!L202)),0),L83*$BI83),L83*$BI83),0)</f>
        <v>0</v>
      </c>
      <c r="BP83" s="314">
        <f>IF($BI83&lt;&gt;"",IF('Capacity summary'!$D$14="Yes",IF(COUNTBLANK('Capacity summary'!$H202:$BG202)&lt;52,IF('Capacity summary'!M202&lt;&gt;"",IF(LOWER('Capacity summary'!M202)="x",$BI83*M83,VALUE('Capacity summary'!M202)),0),M83*$BI83),M83*$BI83),0)</f>
        <v>0</v>
      </c>
      <c r="BQ83" s="314">
        <f>IF($BI83&lt;&gt;"",IF('Capacity summary'!$D$14="Yes",IF(COUNTBLANK('Capacity summary'!$H202:$BG202)&lt;52,IF('Capacity summary'!N202&lt;&gt;"",IF(LOWER('Capacity summary'!N202)="x",$BI83*N83,VALUE('Capacity summary'!N202)),0),N83*$BI83),N83*$BI83),0)</f>
        <v>0</v>
      </c>
      <c r="BR83" s="314">
        <f>IF($BI83&lt;&gt;"",IF('Capacity summary'!$D$14="Yes",IF(COUNTBLANK('Capacity summary'!$H202:$BG202)&lt;52,IF('Capacity summary'!O202&lt;&gt;"",IF(LOWER('Capacity summary'!O202)="x",$BI83*O83,VALUE('Capacity summary'!O202)),0),O83*$BI83),O83*$BI83),0)</f>
        <v>0</v>
      </c>
      <c r="BS83" s="314">
        <f>IF($BI83&lt;&gt;"",IF('Capacity summary'!$D$14="Yes",IF(COUNTBLANK('Capacity summary'!$H202:$BG202)&lt;52,IF('Capacity summary'!P202&lt;&gt;"",IF(LOWER('Capacity summary'!P202)="x",$BI83*P83,VALUE('Capacity summary'!P202)),0),P83*$BI83),P83*$BI83),0)</f>
        <v>0</v>
      </c>
      <c r="BT83" s="314">
        <f>IF($BI83&lt;&gt;"",IF('Capacity summary'!$D$14="Yes",IF(COUNTBLANK('Capacity summary'!$H202:$BG202)&lt;52,IF('Capacity summary'!Q202&lt;&gt;"",IF(LOWER('Capacity summary'!Q202)="x",$BI83*Q83,VALUE('Capacity summary'!Q202)),0),Q83*$BI83),Q83*$BI83),0)</f>
        <v>0</v>
      </c>
      <c r="BU83" s="314">
        <f>IF($BI83&lt;&gt;"",IF('Capacity summary'!$D$14="Yes",IF(COUNTBLANK('Capacity summary'!$H202:$BG202)&lt;52,IF('Capacity summary'!R202&lt;&gt;"",IF(LOWER('Capacity summary'!R202)="x",$BI83*R83,VALUE('Capacity summary'!R202)),0),R83*$BI83),R83*$BI83),0)</f>
        <v>0</v>
      </c>
      <c r="BV83" s="314">
        <f>IF($BI83&lt;&gt;"",IF('Capacity summary'!$D$14="Yes",IF(COUNTBLANK('Capacity summary'!$H202:$BG202)&lt;52,IF('Capacity summary'!S202&lt;&gt;"",IF(LOWER('Capacity summary'!S202)="x",$BI83*S83,VALUE('Capacity summary'!S202)),0),S83*$BI83),S83*$BI83),0)</f>
        <v>0</v>
      </c>
      <c r="BW83" s="314">
        <f>IF($BI83&lt;&gt;"",IF('Capacity summary'!$D$14="Yes",IF(COUNTBLANK('Capacity summary'!$H202:$BG202)&lt;52,IF('Capacity summary'!T202&lt;&gt;"",IF(LOWER('Capacity summary'!T202)="x",$BI83*T83,VALUE('Capacity summary'!T202)),0),T83*$BI83),T83*$BI83),0)</f>
        <v>0</v>
      </c>
      <c r="BX83" s="314">
        <f>IF($BI83&lt;&gt;"",IF('Capacity summary'!$D$14="Yes",IF(COUNTBLANK('Capacity summary'!$H202:$BG202)&lt;52,IF('Capacity summary'!U202&lt;&gt;"",IF(LOWER('Capacity summary'!U202)="x",$BI83*U83,VALUE('Capacity summary'!U202)),0),U83*$BI83),U83*$BI83),0)</f>
        <v>0</v>
      </c>
      <c r="BY83" s="314">
        <f>IF($BI83&lt;&gt;"",IF('Capacity summary'!$D$14="Yes",IF(COUNTBLANK('Capacity summary'!$H202:$BG202)&lt;52,IF('Capacity summary'!V202&lt;&gt;"",IF(LOWER('Capacity summary'!V202)="x",$BI83*V83,VALUE('Capacity summary'!V202)),0),V83*$BI83),V83*$BI83),0)</f>
        <v>0</v>
      </c>
      <c r="BZ83" s="314">
        <f>IF($BI83&lt;&gt;"",IF('Capacity summary'!$D$14="Yes",IF(COUNTBLANK('Capacity summary'!$H202:$BG202)&lt;52,IF('Capacity summary'!W202&lt;&gt;"",IF(LOWER('Capacity summary'!W202)="x",$BI83*W83,VALUE('Capacity summary'!W202)),0),W83*$BI83),W83*$BI83),0)</f>
        <v>0</v>
      </c>
      <c r="CA83" s="314">
        <f>IF($BI83&lt;&gt;"",IF('Capacity summary'!$D$14="Yes",IF(COUNTBLANK('Capacity summary'!$H202:$BG202)&lt;52,IF('Capacity summary'!X202&lt;&gt;"",IF(LOWER('Capacity summary'!X202)="x",$BI83*X83,VALUE('Capacity summary'!X202)),0),X83*$BI83),X83*$BI83),0)</f>
        <v>0</v>
      </c>
      <c r="CB83" s="314">
        <f>IF($BI83&lt;&gt;"",IF('Capacity summary'!$D$14="Yes",IF(COUNTBLANK('Capacity summary'!$H202:$BG202)&lt;52,IF('Capacity summary'!Y202&lt;&gt;"",IF(LOWER('Capacity summary'!Y202)="x",$BI83*Y83,VALUE('Capacity summary'!Y202)),0),Y83*$BI83),Y83*$BI83),0)</f>
        <v>0</v>
      </c>
      <c r="CC83" s="314">
        <f>IF($BI83&lt;&gt;"",IF('Capacity summary'!$D$14="Yes",IF(COUNTBLANK('Capacity summary'!$H202:$BG202)&lt;52,IF('Capacity summary'!Z202&lt;&gt;"",IF(LOWER('Capacity summary'!Z202)="x",$BI83*Z83,VALUE('Capacity summary'!Z202)),0),Z83*$BI83),Z83*$BI83),0)</f>
        <v>0</v>
      </c>
      <c r="CD83" s="314">
        <f>IF($BI83&lt;&gt;"",IF('Capacity summary'!$D$14="Yes",IF(COUNTBLANK('Capacity summary'!$H202:$BG202)&lt;52,IF('Capacity summary'!AA202&lt;&gt;"",IF(LOWER('Capacity summary'!AA202)="x",$BI83*AA83,VALUE('Capacity summary'!AA202)),0),AA83*$BI83),AA83*$BI83),0)</f>
        <v>0</v>
      </c>
      <c r="CE83" s="314">
        <f>IF($BI83&lt;&gt;"",IF('Capacity summary'!$D$14="Yes",IF(COUNTBLANK('Capacity summary'!$H202:$BG202)&lt;52,IF('Capacity summary'!AB202&lt;&gt;"",IF(LOWER('Capacity summary'!AB202)="x",$BI83*AB83,VALUE('Capacity summary'!AB202)),0),AB83*$BI83),AB83*$BI83),0)</f>
        <v>0</v>
      </c>
      <c r="CF83" s="314">
        <f>IF($BI83&lt;&gt;"",IF('Capacity summary'!$D$14="Yes",IF(COUNTBLANK('Capacity summary'!$H202:$BG202)&lt;52,IF('Capacity summary'!AC202&lt;&gt;"",IF(LOWER('Capacity summary'!AC202)="x",$BI83*AC83,VALUE('Capacity summary'!AC202)),0),AC83*$BI83),AC83*$BI83),0)</f>
        <v>0</v>
      </c>
      <c r="CG83" s="314">
        <f>IF($BI83&lt;&gt;"",IF('Capacity summary'!$D$14="Yes",IF(COUNTBLANK('Capacity summary'!$H202:$BG202)&lt;52,IF('Capacity summary'!AD202&lt;&gt;"",IF(LOWER('Capacity summary'!AD202)="x",$BI83*AD83,VALUE('Capacity summary'!AD202)),0),AD83*$BI83),AD83*$BI83),0)</f>
        <v>0</v>
      </c>
      <c r="CH83" s="314">
        <f>IF($BI83&lt;&gt;"",IF('Capacity summary'!$D$14="Yes",IF(COUNTBLANK('Capacity summary'!$H202:$BG202)&lt;52,IF('Capacity summary'!AE202&lt;&gt;"",IF(LOWER('Capacity summary'!AE202)="x",$BI83*AE83,VALUE('Capacity summary'!AE202)),0),AE83*$BI83),AE83*$BI83),0)</f>
        <v>0</v>
      </c>
      <c r="CI83" s="314">
        <f>IF($BI83&lt;&gt;"",IF('Capacity summary'!$D$14="Yes",IF(COUNTBLANK('Capacity summary'!$H202:$BG202)&lt;52,IF('Capacity summary'!AF202&lt;&gt;"",IF(LOWER('Capacity summary'!AF202)="x",$BI83*AF83,VALUE('Capacity summary'!AF202)),0),AF83*$BI83),AF83*$BI83),0)</f>
        <v>0</v>
      </c>
      <c r="CJ83" s="314">
        <f>IF($BI83&lt;&gt;"",IF('Capacity summary'!$D$14="Yes",IF(COUNTBLANK('Capacity summary'!$H202:$BG202)&lt;52,IF('Capacity summary'!AG202&lt;&gt;"",IF(LOWER('Capacity summary'!AG202)="x",$BI83*AG83,VALUE('Capacity summary'!AG202)),0),AG83*$BI83),AG83*$BI83),0)</f>
        <v>0</v>
      </c>
      <c r="CK83" s="314">
        <f>IF($BI83&lt;&gt;"",IF('Capacity summary'!$D$14="Yes",IF(COUNTBLANK('Capacity summary'!$H202:$BG202)&lt;52,IF('Capacity summary'!AH202&lt;&gt;"",IF(LOWER('Capacity summary'!AH202)="x",$BI83*AH83,VALUE('Capacity summary'!AH202)),0),AH83*$BI83),AH83*$BI83),0)</f>
        <v>0</v>
      </c>
      <c r="CL83" s="314">
        <f>IF($BI83&lt;&gt;"",IF('Capacity summary'!$D$14="Yes",IF(COUNTBLANK('Capacity summary'!$H202:$BG202)&lt;52,IF('Capacity summary'!AI202&lt;&gt;"",IF(LOWER('Capacity summary'!AI202)="x",$BI83*AI83,VALUE('Capacity summary'!AI202)),0),AI83*$BI83),AI83*$BI83),0)</f>
        <v>0</v>
      </c>
      <c r="CM83" s="314">
        <f>IF($BI83&lt;&gt;"",IF('Capacity summary'!$D$14="Yes",IF(COUNTBLANK('Capacity summary'!$H202:$BG202)&lt;52,IF('Capacity summary'!AJ202&lt;&gt;"",IF(LOWER('Capacity summary'!AJ202)="x",$BI83*AJ83,VALUE('Capacity summary'!AJ202)),0),AJ83*$BI83),AJ83*$BI83),0)</f>
        <v>0</v>
      </c>
      <c r="CN83" s="314">
        <f>IF($BI83&lt;&gt;"",IF('Capacity summary'!$D$14="Yes",IF(COUNTBLANK('Capacity summary'!$H202:$BG202)&lt;52,IF('Capacity summary'!AK202&lt;&gt;"",IF(LOWER('Capacity summary'!AK202)="x",$BI83*AK83,VALUE('Capacity summary'!AK202)),0),AK83*$BI83),AK83*$BI83),0)</f>
        <v>0</v>
      </c>
      <c r="CO83" s="314">
        <f>IF($BI83&lt;&gt;"",IF('Capacity summary'!$D$14="Yes",IF(COUNTBLANK('Capacity summary'!$H202:$BG202)&lt;52,IF('Capacity summary'!AL202&lt;&gt;"",IF(LOWER('Capacity summary'!AL202)="x",$BI83*AL83,VALUE('Capacity summary'!AL202)),0),AL83*$BI83),AL83*$BI83),0)</f>
        <v>0</v>
      </c>
      <c r="CP83" s="314">
        <f>IF($BI83&lt;&gt;"",IF('Capacity summary'!$D$14="Yes",IF(COUNTBLANK('Capacity summary'!$H202:$BG202)&lt;52,IF('Capacity summary'!AM202&lt;&gt;"",IF(LOWER('Capacity summary'!AM202)="x",$BI83*AM83,VALUE('Capacity summary'!AM202)),0),AM83*$BI83),AM83*$BI83),0)</f>
        <v>0</v>
      </c>
      <c r="CQ83" s="314">
        <f>IF($BI83&lt;&gt;"",IF('Capacity summary'!$D$14="Yes",IF(COUNTBLANK('Capacity summary'!$H202:$BG202)&lt;52,IF('Capacity summary'!AN202&lt;&gt;"",IF(LOWER('Capacity summary'!AN202)="x",$BI83*AN83,VALUE('Capacity summary'!AN202)),0),AN83*$BI83),AN83*$BI83),0)</f>
        <v>0</v>
      </c>
      <c r="CR83" s="314">
        <f>IF($BI83&lt;&gt;"",IF('Capacity summary'!$D$14="Yes",IF(COUNTBLANK('Capacity summary'!$H202:$BG202)&lt;52,IF('Capacity summary'!AO202&lt;&gt;"",IF(LOWER('Capacity summary'!AO202)="x",$BI83*AO83,VALUE('Capacity summary'!AO202)),0),AO83*$BI83),AO83*$BI83),0)</f>
        <v>0</v>
      </c>
      <c r="CS83" s="314">
        <f>IF($BI83&lt;&gt;"",IF('Capacity summary'!$D$14="Yes",IF(COUNTBLANK('Capacity summary'!$H202:$BG202)&lt;52,IF('Capacity summary'!AP202&lt;&gt;"",IF(LOWER('Capacity summary'!AP202)="x",$BI83*AP83,VALUE('Capacity summary'!AP202)),0),AP83*$BI83),AP83*$BI83),0)</f>
        <v>0</v>
      </c>
      <c r="CT83" s="314">
        <f>IF($BI83&lt;&gt;"",IF('Capacity summary'!$D$14="Yes",IF(COUNTBLANK('Capacity summary'!$H202:$BG202)&lt;52,IF('Capacity summary'!AQ202&lt;&gt;"",IF(LOWER('Capacity summary'!AQ202)="x",$BI83*AQ83,VALUE('Capacity summary'!AQ202)),0),AQ83*$BI83),AQ83*$BI83),0)</f>
        <v>0</v>
      </c>
      <c r="CU83" s="314">
        <f>IF($BI83&lt;&gt;"",IF('Capacity summary'!$D$14="Yes",IF(COUNTBLANK('Capacity summary'!$H202:$BG202)&lt;52,IF('Capacity summary'!AR202&lt;&gt;"",IF(LOWER('Capacity summary'!AR202)="x",$BI83*AR83,VALUE('Capacity summary'!AR202)),0),AR83*$BI83),AR83*$BI83),0)</f>
        <v>0</v>
      </c>
      <c r="CV83" s="314">
        <f>IF($BI83&lt;&gt;"",IF('Capacity summary'!$D$14="Yes",IF(COUNTBLANK('Capacity summary'!$H202:$BG202)&lt;52,IF('Capacity summary'!AS202&lt;&gt;"",IF(LOWER('Capacity summary'!AS202)="x",$BI83*AS83,VALUE('Capacity summary'!AS202)),0),AS83*$BI83),AS83*$BI83),0)</f>
        <v>0</v>
      </c>
      <c r="CW83" s="314">
        <f>IF($BI83&lt;&gt;"",IF('Capacity summary'!$D$14="Yes",IF(COUNTBLANK('Capacity summary'!$H202:$BG202)&lt;52,IF('Capacity summary'!AT202&lt;&gt;"",IF(LOWER('Capacity summary'!AT202)="x",$BI83*AT83,VALUE('Capacity summary'!AT202)),0),AT83*$BI83),AT83*$BI83),0)</f>
        <v>0</v>
      </c>
      <c r="CX83" s="314">
        <f>IF($BI83&lt;&gt;"",IF('Capacity summary'!$D$14="Yes",IF(COUNTBLANK('Capacity summary'!$H202:$BG202)&lt;52,IF('Capacity summary'!AU202&lt;&gt;"",IF(LOWER('Capacity summary'!AU202)="x",$BI83*AU83,VALUE('Capacity summary'!AU202)),0),AU83*$BI83),AU83*$BI83),0)</f>
        <v>0</v>
      </c>
      <c r="CY83" s="314">
        <f>IF($BI83&lt;&gt;"",IF('Capacity summary'!$D$14="Yes",IF(COUNTBLANK('Capacity summary'!$H202:$BG202)&lt;52,IF('Capacity summary'!AV202&lt;&gt;"",IF(LOWER('Capacity summary'!AV202)="x",$BI83*AV83,VALUE('Capacity summary'!AV202)),0),AV83*$BI83),AV83*$BI83),0)</f>
        <v>0</v>
      </c>
      <c r="CZ83" s="314">
        <f>IF($BI83&lt;&gt;"",IF('Capacity summary'!$D$14="Yes",IF(COUNTBLANK('Capacity summary'!$H202:$BG202)&lt;52,IF('Capacity summary'!AW202&lt;&gt;"",IF(LOWER('Capacity summary'!AW202)="x",$BI83*AW83,VALUE('Capacity summary'!AW202)),0),AW83*$BI83),AW83*$BI83),0)</f>
        <v>0</v>
      </c>
      <c r="DA83" s="314">
        <f>IF($BI83&lt;&gt;"",IF('Capacity summary'!$D$14="Yes",IF(COUNTBLANK('Capacity summary'!$H202:$BG202)&lt;52,IF('Capacity summary'!AX202&lt;&gt;"",IF(LOWER('Capacity summary'!AX202)="x",$BI83*AX83,VALUE('Capacity summary'!AX202)),0),AX83*$BI83),AX83*$BI83),0)</f>
        <v>0</v>
      </c>
      <c r="DB83" s="314">
        <f>IF($BI83&lt;&gt;"",IF('Capacity summary'!$D$14="Yes",IF(COUNTBLANK('Capacity summary'!$H202:$BG202)&lt;52,IF('Capacity summary'!AY202&lt;&gt;"",IF(LOWER('Capacity summary'!AY202)="x",$BI83*AY83,VALUE('Capacity summary'!AY202)),0),AY83*$BI83),AY83*$BI83),0)</f>
        <v>0</v>
      </c>
      <c r="DC83" s="314">
        <f>IF($BI83&lt;&gt;"",IF('Capacity summary'!$D$14="Yes",IF(COUNTBLANK('Capacity summary'!$H202:$BG202)&lt;52,IF('Capacity summary'!AZ202&lt;&gt;"",IF(LOWER('Capacity summary'!AZ202)="x",$BI83*AZ83,VALUE('Capacity summary'!AZ202)),0),AZ83*$BI83),AZ83*$BI83),0)</f>
        <v>0</v>
      </c>
      <c r="DD83" s="314">
        <f>IF($BI83&lt;&gt;"",IF('Capacity summary'!$D$14="Yes",IF(COUNTBLANK('Capacity summary'!$H202:$BG202)&lt;52,IF('Capacity summary'!BA202&lt;&gt;"",IF(LOWER('Capacity summary'!BA202)="x",$BI83*BA83,VALUE('Capacity summary'!BA202)),0),BA83*$BI83),BA83*$BI83),0)</f>
        <v>0</v>
      </c>
      <c r="DE83" s="314">
        <f>IF($BI83&lt;&gt;"",IF('Capacity summary'!$D$14="Yes",IF(COUNTBLANK('Capacity summary'!$H202:$BG202)&lt;52,IF('Capacity summary'!BB202&lt;&gt;"",IF(LOWER('Capacity summary'!BB202)="x",$BI83*BB83,VALUE('Capacity summary'!BB202)),0),BB83*$BI83),BB83*$BI83),0)</f>
        <v>0</v>
      </c>
      <c r="DF83" s="314">
        <f>IF($BI83&lt;&gt;"",IF('Capacity summary'!$D$14="Yes",IF(COUNTBLANK('Capacity summary'!$H202:$BG202)&lt;52,IF('Capacity summary'!BC202&lt;&gt;"",IF(LOWER('Capacity summary'!BC202)="x",$BI83*BC83,VALUE('Capacity summary'!BC202)),0),BC83*$BI83),BC83*$BI83),0)</f>
        <v>0</v>
      </c>
      <c r="DG83" s="314">
        <f>IF($BI83&lt;&gt;"",IF('Capacity summary'!$D$14="Yes",IF(COUNTBLANK('Capacity summary'!$H202:$BG202)&lt;52,IF('Capacity summary'!BD202&lt;&gt;"",IF(LOWER('Capacity summary'!BD202)="x",$BI83*BD83,VALUE('Capacity summary'!BD202)),0),BD83*$BI83),BD83*$BI83),0)</f>
        <v>0</v>
      </c>
      <c r="DH83" s="314">
        <f>IF($BI83&lt;&gt;"",IF('Capacity summary'!$D$14="Yes",IF(COUNTBLANK('Capacity summary'!$H202:$BG202)&lt;52,IF('Capacity summary'!BE202&lt;&gt;"",IF(LOWER('Capacity summary'!BE202)="x",$BI83*BE83,VALUE('Capacity summary'!BE202)),0),BE83*$BI83),BE83*$BI83),0)</f>
        <v>0</v>
      </c>
      <c r="DI83" s="314">
        <f>IF($BI83&lt;&gt;"",IF('Capacity summary'!$D$14="Yes",IF(COUNTBLANK('Capacity summary'!$H202:$BG202)&lt;52,IF('Capacity summary'!BF202&lt;&gt;"",IF(LOWER('Capacity summary'!BF202)="x",$BI83*BF83,VALUE('Capacity summary'!BF202)),0),BF83*$BI83),BF83*$BI83),0)</f>
        <v>0</v>
      </c>
      <c r="DJ83" s="314">
        <f>IF($BI83&lt;&gt;"",IF('Capacity summary'!$D$14="Yes",IF(COUNTBLANK('Capacity summary'!$H202:$BG202)&lt;52,IF('Capacity summary'!BG202&lt;&gt;"",IF(LOWER('Capacity summary'!BG202)="x",$BI83*BG83,VALUE('Capacity summary'!BG202)),0),BG83*$BI83),BG83*$BI83),0)</f>
        <v>0</v>
      </c>
      <c r="DK83" s="137">
        <f t="shared" si="3"/>
        <v>0</v>
      </c>
      <c r="DL83" s="314"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4">
        <f>IF($BI84&lt;&gt;"",IF('Capacity summary'!$D$14="Yes",IF(COUNTBLANK('Capacity summary'!$H203:$BG203)&lt;52,IF('Capacity summary'!H203&lt;&gt;"",IF(LOWER('Capacity summary'!H203)="x",$BI84*H84,VALUE('Capacity summary'!H203)),0),H84*$BI84),H84*$BI84),0)</f>
        <v>0</v>
      </c>
      <c r="BL84" s="314">
        <f>IF($BI84&lt;&gt;"",IF('Capacity summary'!$D$14="Yes",IF(COUNTBLANK('Capacity summary'!$H203:$BG203)&lt;52,IF('Capacity summary'!I203&lt;&gt;"",IF(LOWER('Capacity summary'!I203)="x",$BI84*I84,VALUE('Capacity summary'!I203)),0),I84*$BI84),I84*$BI84),0)</f>
        <v>0</v>
      </c>
      <c r="BM84" s="314">
        <f>IF($BI84&lt;&gt;"",IF('Capacity summary'!$D$14="Yes",IF(COUNTBLANK('Capacity summary'!$H203:$BG203)&lt;52,IF('Capacity summary'!J203&lt;&gt;"",IF(LOWER('Capacity summary'!J203)="x",$BI84*J84,VALUE('Capacity summary'!J203)),0),J84*$BI84),J84*$BI84),0)</f>
        <v>0</v>
      </c>
      <c r="BN84" s="314">
        <f>IF($BI84&lt;&gt;"",IF('Capacity summary'!$D$14="Yes",IF(COUNTBLANK('Capacity summary'!$H203:$BG203)&lt;52,IF('Capacity summary'!K203&lt;&gt;"",IF(LOWER('Capacity summary'!K203)="x",$BI84*K84,VALUE('Capacity summary'!K203)),0),K84*$BI84),K84*$BI84),0)</f>
        <v>0</v>
      </c>
      <c r="BO84" s="314">
        <f>IF($BI84&lt;&gt;"",IF('Capacity summary'!$D$14="Yes",IF(COUNTBLANK('Capacity summary'!$H203:$BG203)&lt;52,IF('Capacity summary'!L203&lt;&gt;"",IF(LOWER('Capacity summary'!L203)="x",$BI84*L84,VALUE('Capacity summary'!L203)),0),L84*$BI84),L84*$BI84),0)</f>
        <v>0</v>
      </c>
      <c r="BP84" s="314">
        <f>IF($BI84&lt;&gt;"",IF('Capacity summary'!$D$14="Yes",IF(COUNTBLANK('Capacity summary'!$H203:$BG203)&lt;52,IF('Capacity summary'!M203&lt;&gt;"",IF(LOWER('Capacity summary'!M203)="x",$BI84*M84,VALUE('Capacity summary'!M203)),0),M84*$BI84),M84*$BI84),0)</f>
        <v>0</v>
      </c>
      <c r="BQ84" s="314">
        <f>IF($BI84&lt;&gt;"",IF('Capacity summary'!$D$14="Yes",IF(COUNTBLANK('Capacity summary'!$H203:$BG203)&lt;52,IF('Capacity summary'!N203&lt;&gt;"",IF(LOWER('Capacity summary'!N203)="x",$BI84*N84,VALUE('Capacity summary'!N203)),0),N84*$BI84),N84*$BI84),0)</f>
        <v>0</v>
      </c>
      <c r="BR84" s="314">
        <f>IF($BI84&lt;&gt;"",IF('Capacity summary'!$D$14="Yes",IF(COUNTBLANK('Capacity summary'!$H203:$BG203)&lt;52,IF('Capacity summary'!O203&lt;&gt;"",IF(LOWER('Capacity summary'!O203)="x",$BI84*O84,VALUE('Capacity summary'!O203)),0),O84*$BI84),O84*$BI84),0)</f>
        <v>0</v>
      </c>
      <c r="BS84" s="314">
        <f>IF($BI84&lt;&gt;"",IF('Capacity summary'!$D$14="Yes",IF(COUNTBLANK('Capacity summary'!$H203:$BG203)&lt;52,IF('Capacity summary'!P203&lt;&gt;"",IF(LOWER('Capacity summary'!P203)="x",$BI84*P84,VALUE('Capacity summary'!P203)),0),P84*$BI84),P84*$BI84),0)</f>
        <v>0</v>
      </c>
      <c r="BT84" s="314">
        <f>IF($BI84&lt;&gt;"",IF('Capacity summary'!$D$14="Yes",IF(COUNTBLANK('Capacity summary'!$H203:$BG203)&lt;52,IF('Capacity summary'!Q203&lt;&gt;"",IF(LOWER('Capacity summary'!Q203)="x",$BI84*Q84,VALUE('Capacity summary'!Q203)),0),Q84*$BI84),Q84*$BI84),0)</f>
        <v>0</v>
      </c>
      <c r="BU84" s="314">
        <f>IF($BI84&lt;&gt;"",IF('Capacity summary'!$D$14="Yes",IF(COUNTBLANK('Capacity summary'!$H203:$BG203)&lt;52,IF('Capacity summary'!R203&lt;&gt;"",IF(LOWER('Capacity summary'!R203)="x",$BI84*R84,VALUE('Capacity summary'!R203)),0),R84*$BI84),R84*$BI84),0)</f>
        <v>0</v>
      </c>
      <c r="BV84" s="314">
        <f>IF($BI84&lt;&gt;"",IF('Capacity summary'!$D$14="Yes",IF(COUNTBLANK('Capacity summary'!$H203:$BG203)&lt;52,IF('Capacity summary'!S203&lt;&gt;"",IF(LOWER('Capacity summary'!S203)="x",$BI84*S84,VALUE('Capacity summary'!S203)),0),S84*$BI84),S84*$BI84),0)</f>
        <v>0</v>
      </c>
      <c r="BW84" s="314">
        <f>IF($BI84&lt;&gt;"",IF('Capacity summary'!$D$14="Yes",IF(COUNTBLANK('Capacity summary'!$H203:$BG203)&lt;52,IF('Capacity summary'!T203&lt;&gt;"",IF(LOWER('Capacity summary'!T203)="x",$BI84*T84,VALUE('Capacity summary'!T203)),0),T84*$BI84),T84*$BI84),0)</f>
        <v>0</v>
      </c>
      <c r="BX84" s="314">
        <f>IF($BI84&lt;&gt;"",IF('Capacity summary'!$D$14="Yes",IF(COUNTBLANK('Capacity summary'!$H203:$BG203)&lt;52,IF('Capacity summary'!U203&lt;&gt;"",IF(LOWER('Capacity summary'!U203)="x",$BI84*U84,VALUE('Capacity summary'!U203)),0),U84*$BI84),U84*$BI84),0)</f>
        <v>0</v>
      </c>
      <c r="BY84" s="314">
        <f>IF($BI84&lt;&gt;"",IF('Capacity summary'!$D$14="Yes",IF(COUNTBLANK('Capacity summary'!$H203:$BG203)&lt;52,IF('Capacity summary'!V203&lt;&gt;"",IF(LOWER('Capacity summary'!V203)="x",$BI84*V84,VALUE('Capacity summary'!V203)),0),V84*$BI84),V84*$BI84),0)</f>
        <v>0</v>
      </c>
      <c r="BZ84" s="314">
        <f>IF($BI84&lt;&gt;"",IF('Capacity summary'!$D$14="Yes",IF(COUNTBLANK('Capacity summary'!$H203:$BG203)&lt;52,IF('Capacity summary'!W203&lt;&gt;"",IF(LOWER('Capacity summary'!W203)="x",$BI84*W84,VALUE('Capacity summary'!W203)),0),W84*$BI84),W84*$BI84),0)</f>
        <v>0</v>
      </c>
      <c r="CA84" s="314">
        <f>IF($BI84&lt;&gt;"",IF('Capacity summary'!$D$14="Yes",IF(COUNTBLANK('Capacity summary'!$H203:$BG203)&lt;52,IF('Capacity summary'!X203&lt;&gt;"",IF(LOWER('Capacity summary'!X203)="x",$BI84*X84,VALUE('Capacity summary'!X203)),0),X84*$BI84),X84*$BI84),0)</f>
        <v>0</v>
      </c>
      <c r="CB84" s="314">
        <f>IF($BI84&lt;&gt;"",IF('Capacity summary'!$D$14="Yes",IF(COUNTBLANK('Capacity summary'!$H203:$BG203)&lt;52,IF('Capacity summary'!Y203&lt;&gt;"",IF(LOWER('Capacity summary'!Y203)="x",$BI84*Y84,VALUE('Capacity summary'!Y203)),0),Y84*$BI84),Y84*$BI84),0)</f>
        <v>0</v>
      </c>
      <c r="CC84" s="314">
        <f>IF($BI84&lt;&gt;"",IF('Capacity summary'!$D$14="Yes",IF(COUNTBLANK('Capacity summary'!$H203:$BG203)&lt;52,IF('Capacity summary'!Z203&lt;&gt;"",IF(LOWER('Capacity summary'!Z203)="x",$BI84*Z84,VALUE('Capacity summary'!Z203)),0),Z84*$BI84),Z84*$BI84),0)</f>
        <v>0</v>
      </c>
      <c r="CD84" s="314">
        <f>IF($BI84&lt;&gt;"",IF('Capacity summary'!$D$14="Yes",IF(COUNTBLANK('Capacity summary'!$H203:$BG203)&lt;52,IF('Capacity summary'!AA203&lt;&gt;"",IF(LOWER('Capacity summary'!AA203)="x",$BI84*AA84,VALUE('Capacity summary'!AA203)),0),AA84*$BI84),AA84*$BI84),0)</f>
        <v>0</v>
      </c>
      <c r="CE84" s="314">
        <f>IF($BI84&lt;&gt;"",IF('Capacity summary'!$D$14="Yes",IF(COUNTBLANK('Capacity summary'!$H203:$BG203)&lt;52,IF('Capacity summary'!AB203&lt;&gt;"",IF(LOWER('Capacity summary'!AB203)="x",$BI84*AB84,VALUE('Capacity summary'!AB203)),0),AB84*$BI84),AB84*$BI84),0)</f>
        <v>0</v>
      </c>
      <c r="CF84" s="314">
        <f>IF($BI84&lt;&gt;"",IF('Capacity summary'!$D$14="Yes",IF(COUNTBLANK('Capacity summary'!$H203:$BG203)&lt;52,IF('Capacity summary'!AC203&lt;&gt;"",IF(LOWER('Capacity summary'!AC203)="x",$BI84*AC84,VALUE('Capacity summary'!AC203)),0),AC84*$BI84),AC84*$BI84),0)</f>
        <v>0</v>
      </c>
      <c r="CG84" s="314">
        <f>IF($BI84&lt;&gt;"",IF('Capacity summary'!$D$14="Yes",IF(COUNTBLANK('Capacity summary'!$H203:$BG203)&lt;52,IF('Capacity summary'!AD203&lt;&gt;"",IF(LOWER('Capacity summary'!AD203)="x",$BI84*AD84,VALUE('Capacity summary'!AD203)),0),AD84*$BI84),AD84*$BI84),0)</f>
        <v>0</v>
      </c>
      <c r="CH84" s="314">
        <f>IF($BI84&lt;&gt;"",IF('Capacity summary'!$D$14="Yes",IF(COUNTBLANK('Capacity summary'!$H203:$BG203)&lt;52,IF('Capacity summary'!AE203&lt;&gt;"",IF(LOWER('Capacity summary'!AE203)="x",$BI84*AE84,VALUE('Capacity summary'!AE203)),0),AE84*$BI84),AE84*$BI84),0)</f>
        <v>0</v>
      </c>
      <c r="CI84" s="314">
        <f>IF($BI84&lt;&gt;"",IF('Capacity summary'!$D$14="Yes",IF(COUNTBLANK('Capacity summary'!$H203:$BG203)&lt;52,IF('Capacity summary'!AF203&lt;&gt;"",IF(LOWER('Capacity summary'!AF203)="x",$BI84*AF84,VALUE('Capacity summary'!AF203)),0),AF84*$BI84),AF84*$BI84),0)</f>
        <v>0</v>
      </c>
      <c r="CJ84" s="314">
        <f>IF($BI84&lt;&gt;"",IF('Capacity summary'!$D$14="Yes",IF(COUNTBLANK('Capacity summary'!$H203:$BG203)&lt;52,IF('Capacity summary'!AG203&lt;&gt;"",IF(LOWER('Capacity summary'!AG203)="x",$BI84*AG84,VALUE('Capacity summary'!AG203)),0),AG84*$BI84),AG84*$BI84),0)</f>
        <v>0</v>
      </c>
      <c r="CK84" s="314">
        <f>IF($BI84&lt;&gt;"",IF('Capacity summary'!$D$14="Yes",IF(COUNTBLANK('Capacity summary'!$H203:$BG203)&lt;52,IF('Capacity summary'!AH203&lt;&gt;"",IF(LOWER('Capacity summary'!AH203)="x",$BI84*AH84,VALUE('Capacity summary'!AH203)),0),AH84*$BI84),AH84*$BI84),0)</f>
        <v>0</v>
      </c>
      <c r="CL84" s="314">
        <f>IF($BI84&lt;&gt;"",IF('Capacity summary'!$D$14="Yes",IF(COUNTBLANK('Capacity summary'!$H203:$BG203)&lt;52,IF('Capacity summary'!AI203&lt;&gt;"",IF(LOWER('Capacity summary'!AI203)="x",$BI84*AI84,VALUE('Capacity summary'!AI203)),0),AI84*$BI84),AI84*$BI84),0)</f>
        <v>0</v>
      </c>
      <c r="CM84" s="314">
        <f>IF($BI84&lt;&gt;"",IF('Capacity summary'!$D$14="Yes",IF(COUNTBLANK('Capacity summary'!$H203:$BG203)&lt;52,IF('Capacity summary'!AJ203&lt;&gt;"",IF(LOWER('Capacity summary'!AJ203)="x",$BI84*AJ84,VALUE('Capacity summary'!AJ203)),0),AJ84*$BI84),AJ84*$BI84),0)</f>
        <v>0</v>
      </c>
      <c r="CN84" s="314">
        <f>IF($BI84&lt;&gt;"",IF('Capacity summary'!$D$14="Yes",IF(COUNTBLANK('Capacity summary'!$H203:$BG203)&lt;52,IF('Capacity summary'!AK203&lt;&gt;"",IF(LOWER('Capacity summary'!AK203)="x",$BI84*AK84,VALUE('Capacity summary'!AK203)),0),AK84*$BI84),AK84*$BI84),0)</f>
        <v>0</v>
      </c>
      <c r="CO84" s="314">
        <f>IF($BI84&lt;&gt;"",IF('Capacity summary'!$D$14="Yes",IF(COUNTBLANK('Capacity summary'!$H203:$BG203)&lt;52,IF('Capacity summary'!AL203&lt;&gt;"",IF(LOWER('Capacity summary'!AL203)="x",$BI84*AL84,VALUE('Capacity summary'!AL203)),0),AL84*$BI84),AL84*$BI84),0)</f>
        <v>0</v>
      </c>
      <c r="CP84" s="314">
        <f>IF($BI84&lt;&gt;"",IF('Capacity summary'!$D$14="Yes",IF(COUNTBLANK('Capacity summary'!$H203:$BG203)&lt;52,IF('Capacity summary'!AM203&lt;&gt;"",IF(LOWER('Capacity summary'!AM203)="x",$BI84*AM84,VALUE('Capacity summary'!AM203)),0),AM84*$BI84),AM84*$BI84),0)</f>
        <v>0</v>
      </c>
      <c r="CQ84" s="314">
        <f>IF($BI84&lt;&gt;"",IF('Capacity summary'!$D$14="Yes",IF(COUNTBLANK('Capacity summary'!$H203:$BG203)&lt;52,IF('Capacity summary'!AN203&lt;&gt;"",IF(LOWER('Capacity summary'!AN203)="x",$BI84*AN84,VALUE('Capacity summary'!AN203)),0),AN84*$BI84),AN84*$BI84),0)</f>
        <v>0</v>
      </c>
      <c r="CR84" s="314">
        <f>IF($BI84&lt;&gt;"",IF('Capacity summary'!$D$14="Yes",IF(COUNTBLANK('Capacity summary'!$H203:$BG203)&lt;52,IF('Capacity summary'!AO203&lt;&gt;"",IF(LOWER('Capacity summary'!AO203)="x",$BI84*AO84,VALUE('Capacity summary'!AO203)),0),AO84*$BI84),AO84*$BI84),0)</f>
        <v>0</v>
      </c>
      <c r="CS84" s="314">
        <f>IF($BI84&lt;&gt;"",IF('Capacity summary'!$D$14="Yes",IF(COUNTBLANK('Capacity summary'!$H203:$BG203)&lt;52,IF('Capacity summary'!AP203&lt;&gt;"",IF(LOWER('Capacity summary'!AP203)="x",$BI84*AP84,VALUE('Capacity summary'!AP203)),0),AP84*$BI84),AP84*$BI84),0)</f>
        <v>0</v>
      </c>
      <c r="CT84" s="314">
        <f>IF($BI84&lt;&gt;"",IF('Capacity summary'!$D$14="Yes",IF(COUNTBLANK('Capacity summary'!$H203:$BG203)&lt;52,IF('Capacity summary'!AQ203&lt;&gt;"",IF(LOWER('Capacity summary'!AQ203)="x",$BI84*AQ84,VALUE('Capacity summary'!AQ203)),0),AQ84*$BI84),AQ84*$BI84),0)</f>
        <v>0</v>
      </c>
      <c r="CU84" s="314">
        <f>IF($BI84&lt;&gt;"",IF('Capacity summary'!$D$14="Yes",IF(COUNTBLANK('Capacity summary'!$H203:$BG203)&lt;52,IF('Capacity summary'!AR203&lt;&gt;"",IF(LOWER('Capacity summary'!AR203)="x",$BI84*AR84,VALUE('Capacity summary'!AR203)),0),AR84*$BI84),AR84*$BI84),0)</f>
        <v>0</v>
      </c>
      <c r="CV84" s="314">
        <f>IF($BI84&lt;&gt;"",IF('Capacity summary'!$D$14="Yes",IF(COUNTBLANK('Capacity summary'!$H203:$BG203)&lt;52,IF('Capacity summary'!AS203&lt;&gt;"",IF(LOWER('Capacity summary'!AS203)="x",$BI84*AS84,VALUE('Capacity summary'!AS203)),0),AS84*$BI84),AS84*$BI84),0)</f>
        <v>0</v>
      </c>
      <c r="CW84" s="314">
        <f>IF($BI84&lt;&gt;"",IF('Capacity summary'!$D$14="Yes",IF(COUNTBLANK('Capacity summary'!$H203:$BG203)&lt;52,IF('Capacity summary'!AT203&lt;&gt;"",IF(LOWER('Capacity summary'!AT203)="x",$BI84*AT84,VALUE('Capacity summary'!AT203)),0),AT84*$BI84),AT84*$BI84),0)</f>
        <v>0</v>
      </c>
      <c r="CX84" s="314">
        <f>IF($BI84&lt;&gt;"",IF('Capacity summary'!$D$14="Yes",IF(COUNTBLANK('Capacity summary'!$H203:$BG203)&lt;52,IF('Capacity summary'!AU203&lt;&gt;"",IF(LOWER('Capacity summary'!AU203)="x",$BI84*AU84,VALUE('Capacity summary'!AU203)),0),AU84*$BI84),AU84*$BI84),0)</f>
        <v>0</v>
      </c>
      <c r="CY84" s="314">
        <f>IF($BI84&lt;&gt;"",IF('Capacity summary'!$D$14="Yes",IF(COUNTBLANK('Capacity summary'!$H203:$BG203)&lt;52,IF('Capacity summary'!AV203&lt;&gt;"",IF(LOWER('Capacity summary'!AV203)="x",$BI84*AV84,VALUE('Capacity summary'!AV203)),0),AV84*$BI84),AV84*$BI84),0)</f>
        <v>0</v>
      </c>
      <c r="CZ84" s="314">
        <f>IF($BI84&lt;&gt;"",IF('Capacity summary'!$D$14="Yes",IF(COUNTBLANK('Capacity summary'!$H203:$BG203)&lt;52,IF('Capacity summary'!AW203&lt;&gt;"",IF(LOWER('Capacity summary'!AW203)="x",$BI84*AW84,VALUE('Capacity summary'!AW203)),0),AW84*$BI84),AW84*$BI84),0)</f>
        <v>0</v>
      </c>
      <c r="DA84" s="314">
        <f>IF($BI84&lt;&gt;"",IF('Capacity summary'!$D$14="Yes",IF(COUNTBLANK('Capacity summary'!$H203:$BG203)&lt;52,IF('Capacity summary'!AX203&lt;&gt;"",IF(LOWER('Capacity summary'!AX203)="x",$BI84*AX84,VALUE('Capacity summary'!AX203)),0),AX84*$BI84),AX84*$BI84),0)</f>
        <v>0</v>
      </c>
      <c r="DB84" s="314">
        <f>IF($BI84&lt;&gt;"",IF('Capacity summary'!$D$14="Yes",IF(COUNTBLANK('Capacity summary'!$H203:$BG203)&lt;52,IF('Capacity summary'!AY203&lt;&gt;"",IF(LOWER('Capacity summary'!AY203)="x",$BI84*AY84,VALUE('Capacity summary'!AY203)),0),AY84*$BI84),AY84*$BI84),0)</f>
        <v>0</v>
      </c>
      <c r="DC84" s="314">
        <f>IF($BI84&lt;&gt;"",IF('Capacity summary'!$D$14="Yes",IF(COUNTBLANK('Capacity summary'!$H203:$BG203)&lt;52,IF('Capacity summary'!AZ203&lt;&gt;"",IF(LOWER('Capacity summary'!AZ203)="x",$BI84*AZ84,VALUE('Capacity summary'!AZ203)),0),AZ84*$BI84),AZ84*$BI84),0)</f>
        <v>0</v>
      </c>
      <c r="DD84" s="314">
        <f>IF($BI84&lt;&gt;"",IF('Capacity summary'!$D$14="Yes",IF(COUNTBLANK('Capacity summary'!$H203:$BG203)&lt;52,IF('Capacity summary'!BA203&lt;&gt;"",IF(LOWER('Capacity summary'!BA203)="x",$BI84*BA84,VALUE('Capacity summary'!BA203)),0),BA84*$BI84),BA84*$BI84),0)</f>
        <v>0</v>
      </c>
      <c r="DE84" s="314">
        <f>IF($BI84&lt;&gt;"",IF('Capacity summary'!$D$14="Yes",IF(COUNTBLANK('Capacity summary'!$H203:$BG203)&lt;52,IF('Capacity summary'!BB203&lt;&gt;"",IF(LOWER('Capacity summary'!BB203)="x",$BI84*BB84,VALUE('Capacity summary'!BB203)),0),BB84*$BI84),BB84*$BI84),0)</f>
        <v>0</v>
      </c>
      <c r="DF84" s="314">
        <f>IF($BI84&lt;&gt;"",IF('Capacity summary'!$D$14="Yes",IF(COUNTBLANK('Capacity summary'!$H203:$BG203)&lt;52,IF('Capacity summary'!BC203&lt;&gt;"",IF(LOWER('Capacity summary'!BC203)="x",$BI84*BC84,VALUE('Capacity summary'!BC203)),0),BC84*$BI84),BC84*$BI84),0)</f>
        <v>0</v>
      </c>
      <c r="DG84" s="314">
        <f>IF($BI84&lt;&gt;"",IF('Capacity summary'!$D$14="Yes",IF(COUNTBLANK('Capacity summary'!$H203:$BG203)&lt;52,IF('Capacity summary'!BD203&lt;&gt;"",IF(LOWER('Capacity summary'!BD203)="x",$BI84*BD84,VALUE('Capacity summary'!BD203)),0),BD84*$BI84),BD84*$BI84),0)</f>
        <v>0</v>
      </c>
      <c r="DH84" s="314">
        <f>IF($BI84&lt;&gt;"",IF('Capacity summary'!$D$14="Yes",IF(COUNTBLANK('Capacity summary'!$H203:$BG203)&lt;52,IF('Capacity summary'!BE203&lt;&gt;"",IF(LOWER('Capacity summary'!BE203)="x",$BI84*BE84,VALUE('Capacity summary'!BE203)),0),BE84*$BI84),BE84*$BI84),0)</f>
        <v>0</v>
      </c>
      <c r="DI84" s="314">
        <f>IF($BI84&lt;&gt;"",IF('Capacity summary'!$D$14="Yes",IF(COUNTBLANK('Capacity summary'!$H203:$BG203)&lt;52,IF('Capacity summary'!BF203&lt;&gt;"",IF(LOWER('Capacity summary'!BF203)="x",$BI84*BF84,VALUE('Capacity summary'!BF203)),0),BF84*$BI84),BF84*$BI84),0)</f>
        <v>0</v>
      </c>
      <c r="DJ84" s="314">
        <f>IF($BI84&lt;&gt;"",IF('Capacity summary'!$D$14="Yes",IF(COUNTBLANK('Capacity summary'!$H203:$BG203)&lt;52,IF('Capacity summary'!BG203&lt;&gt;"",IF(LOWER('Capacity summary'!BG203)="x",$BI84*BG84,VALUE('Capacity summary'!BG203)),0),BG84*$BI84),BG84*$BI84),0)</f>
        <v>0</v>
      </c>
      <c r="DK84" s="137">
        <f t="shared" si="3"/>
        <v>0</v>
      </c>
      <c r="DL84" s="314"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4">
        <f>IF($BI85&lt;&gt;"",IF('Capacity summary'!$D$14="Yes",IF(COUNTBLANK('Capacity summary'!$H204:$BG204)&lt;52,IF('Capacity summary'!H204&lt;&gt;"",IF(LOWER('Capacity summary'!H204)="x",$BI85*H85,VALUE('Capacity summary'!H204)),0),H85*$BI85),H85*$BI85),0)</f>
        <v>0</v>
      </c>
      <c r="BL85" s="314">
        <f>IF($BI85&lt;&gt;"",IF('Capacity summary'!$D$14="Yes",IF(COUNTBLANK('Capacity summary'!$H204:$BG204)&lt;52,IF('Capacity summary'!I204&lt;&gt;"",IF(LOWER('Capacity summary'!I204)="x",$BI85*I85,VALUE('Capacity summary'!I204)),0),I85*$BI85),I85*$BI85),0)</f>
        <v>0</v>
      </c>
      <c r="BM85" s="314">
        <f>IF($BI85&lt;&gt;"",IF('Capacity summary'!$D$14="Yes",IF(COUNTBLANK('Capacity summary'!$H204:$BG204)&lt;52,IF('Capacity summary'!J204&lt;&gt;"",IF(LOWER('Capacity summary'!J204)="x",$BI85*J85,VALUE('Capacity summary'!J204)),0),J85*$BI85),J85*$BI85),0)</f>
        <v>0</v>
      </c>
      <c r="BN85" s="314">
        <f>IF($BI85&lt;&gt;"",IF('Capacity summary'!$D$14="Yes",IF(COUNTBLANK('Capacity summary'!$H204:$BG204)&lt;52,IF('Capacity summary'!K204&lt;&gt;"",IF(LOWER('Capacity summary'!K204)="x",$BI85*K85,VALUE('Capacity summary'!K204)),0),K85*$BI85),K85*$BI85),0)</f>
        <v>0</v>
      </c>
      <c r="BO85" s="314">
        <f>IF($BI85&lt;&gt;"",IF('Capacity summary'!$D$14="Yes",IF(COUNTBLANK('Capacity summary'!$H204:$BG204)&lt;52,IF('Capacity summary'!L204&lt;&gt;"",IF(LOWER('Capacity summary'!L204)="x",$BI85*L85,VALUE('Capacity summary'!L204)),0),L85*$BI85),L85*$BI85),0)</f>
        <v>0</v>
      </c>
      <c r="BP85" s="314">
        <f>IF($BI85&lt;&gt;"",IF('Capacity summary'!$D$14="Yes",IF(COUNTBLANK('Capacity summary'!$H204:$BG204)&lt;52,IF('Capacity summary'!M204&lt;&gt;"",IF(LOWER('Capacity summary'!M204)="x",$BI85*M85,VALUE('Capacity summary'!M204)),0),M85*$BI85),M85*$BI85),0)</f>
        <v>0</v>
      </c>
      <c r="BQ85" s="314">
        <f>IF($BI85&lt;&gt;"",IF('Capacity summary'!$D$14="Yes",IF(COUNTBLANK('Capacity summary'!$H204:$BG204)&lt;52,IF('Capacity summary'!N204&lt;&gt;"",IF(LOWER('Capacity summary'!N204)="x",$BI85*N85,VALUE('Capacity summary'!N204)),0),N85*$BI85),N85*$BI85),0)</f>
        <v>0</v>
      </c>
      <c r="BR85" s="314">
        <f>IF($BI85&lt;&gt;"",IF('Capacity summary'!$D$14="Yes",IF(COUNTBLANK('Capacity summary'!$H204:$BG204)&lt;52,IF('Capacity summary'!O204&lt;&gt;"",IF(LOWER('Capacity summary'!O204)="x",$BI85*O85,VALUE('Capacity summary'!O204)),0),O85*$BI85),O85*$BI85),0)</f>
        <v>0</v>
      </c>
      <c r="BS85" s="314">
        <f>IF($BI85&lt;&gt;"",IF('Capacity summary'!$D$14="Yes",IF(COUNTBLANK('Capacity summary'!$H204:$BG204)&lt;52,IF('Capacity summary'!P204&lt;&gt;"",IF(LOWER('Capacity summary'!P204)="x",$BI85*P85,VALUE('Capacity summary'!P204)),0),P85*$BI85),P85*$BI85),0)</f>
        <v>0</v>
      </c>
      <c r="BT85" s="314">
        <f>IF($BI85&lt;&gt;"",IF('Capacity summary'!$D$14="Yes",IF(COUNTBLANK('Capacity summary'!$H204:$BG204)&lt;52,IF('Capacity summary'!Q204&lt;&gt;"",IF(LOWER('Capacity summary'!Q204)="x",$BI85*Q85,VALUE('Capacity summary'!Q204)),0),Q85*$BI85),Q85*$BI85),0)</f>
        <v>0</v>
      </c>
      <c r="BU85" s="314">
        <f>IF($BI85&lt;&gt;"",IF('Capacity summary'!$D$14="Yes",IF(COUNTBLANK('Capacity summary'!$H204:$BG204)&lt;52,IF('Capacity summary'!R204&lt;&gt;"",IF(LOWER('Capacity summary'!R204)="x",$BI85*R85,VALUE('Capacity summary'!R204)),0),R85*$BI85),R85*$BI85),0)</f>
        <v>0</v>
      </c>
      <c r="BV85" s="314">
        <f>IF($BI85&lt;&gt;"",IF('Capacity summary'!$D$14="Yes",IF(COUNTBLANK('Capacity summary'!$H204:$BG204)&lt;52,IF('Capacity summary'!S204&lt;&gt;"",IF(LOWER('Capacity summary'!S204)="x",$BI85*S85,VALUE('Capacity summary'!S204)),0),S85*$BI85),S85*$BI85),0)</f>
        <v>0</v>
      </c>
      <c r="BW85" s="314">
        <f>IF($BI85&lt;&gt;"",IF('Capacity summary'!$D$14="Yes",IF(COUNTBLANK('Capacity summary'!$H204:$BG204)&lt;52,IF('Capacity summary'!T204&lt;&gt;"",IF(LOWER('Capacity summary'!T204)="x",$BI85*T85,VALUE('Capacity summary'!T204)),0),T85*$BI85),T85*$BI85),0)</f>
        <v>0</v>
      </c>
      <c r="BX85" s="314">
        <f>IF($BI85&lt;&gt;"",IF('Capacity summary'!$D$14="Yes",IF(COUNTBLANK('Capacity summary'!$H204:$BG204)&lt;52,IF('Capacity summary'!U204&lt;&gt;"",IF(LOWER('Capacity summary'!U204)="x",$BI85*U85,VALUE('Capacity summary'!U204)),0),U85*$BI85),U85*$BI85),0)</f>
        <v>0</v>
      </c>
      <c r="BY85" s="314">
        <f>IF($BI85&lt;&gt;"",IF('Capacity summary'!$D$14="Yes",IF(COUNTBLANK('Capacity summary'!$H204:$BG204)&lt;52,IF('Capacity summary'!V204&lt;&gt;"",IF(LOWER('Capacity summary'!V204)="x",$BI85*V85,VALUE('Capacity summary'!V204)),0),V85*$BI85),V85*$BI85),0)</f>
        <v>0</v>
      </c>
      <c r="BZ85" s="314">
        <f>IF($BI85&lt;&gt;"",IF('Capacity summary'!$D$14="Yes",IF(COUNTBLANK('Capacity summary'!$H204:$BG204)&lt;52,IF('Capacity summary'!W204&lt;&gt;"",IF(LOWER('Capacity summary'!W204)="x",$BI85*W85,VALUE('Capacity summary'!W204)),0),W85*$BI85),W85*$BI85),0)</f>
        <v>0</v>
      </c>
      <c r="CA85" s="314">
        <f>IF($BI85&lt;&gt;"",IF('Capacity summary'!$D$14="Yes",IF(COUNTBLANK('Capacity summary'!$H204:$BG204)&lt;52,IF('Capacity summary'!X204&lt;&gt;"",IF(LOWER('Capacity summary'!X204)="x",$BI85*X85,VALUE('Capacity summary'!X204)),0),X85*$BI85),X85*$BI85),0)</f>
        <v>0</v>
      </c>
      <c r="CB85" s="314">
        <f>IF($BI85&lt;&gt;"",IF('Capacity summary'!$D$14="Yes",IF(COUNTBLANK('Capacity summary'!$H204:$BG204)&lt;52,IF('Capacity summary'!Y204&lt;&gt;"",IF(LOWER('Capacity summary'!Y204)="x",$BI85*Y85,VALUE('Capacity summary'!Y204)),0),Y85*$BI85),Y85*$BI85),0)</f>
        <v>0</v>
      </c>
      <c r="CC85" s="314">
        <f>IF($BI85&lt;&gt;"",IF('Capacity summary'!$D$14="Yes",IF(COUNTBLANK('Capacity summary'!$H204:$BG204)&lt;52,IF('Capacity summary'!Z204&lt;&gt;"",IF(LOWER('Capacity summary'!Z204)="x",$BI85*Z85,VALUE('Capacity summary'!Z204)),0),Z85*$BI85),Z85*$BI85),0)</f>
        <v>0</v>
      </c>
      <c r="CD85" s="314">
        <f>IF($BI85&lt;&gt;"",IF('Capacity summary'!$D$14="Yes",IF(COUNTBLANK('Capacity summary'!$H204:$BG204)&lt;52,IF('Capacity summary'!AA204&lt;&gt;"",IF(LOWER('Capacity summary'!AA204)="x",$BI85*AA85,VALUE('Capacity summary'!AA204)),0),AA85*$BI85),AA85*$BI85),0)</f>
        <v>0</v>
      </c>
      <c r="CE85" s="314">
        <f>IF($BI85&lt;&gt;"",IF('Capacity summary'!$D$14="Yes",IF(COUNTBLANK('Capacity summary'!$H204:$BG204)&lt;52,IF('Capacity summary'!AB204&lt;&gt;"",IF(LOWER('Capacity summary'!AB204)="x",$BI85*AB85,VALUE('Capacity summary'!AB204)),0),AB85*$BI85),AB85*$BI85),0)</f>
        <v>0</v>
      </c>
      <c r="CF85" s="314">
        <f>IF($BI85&lt;&gt;"",IF('Capacity summary'!$D$14="Yes",IF(COUNTBLANK('Capacity summary'!$H204:$BG204)&lt;52,IF('Capacity summary'!AC204&lt;&gt;"",IF(LOWER('Capacity summary'!AC204)="x",$BI85*AC85,VALUE('Capacity summary'!AC204)),0),AC85*$BI85),AC85*$BI85),0)</f>
        <v>0</v>
      </c>
      <c r="CG85" s="314">
        <f>IF($BI85&lt;&gt;"",IF('Capacity summary'!$D$14="Yes",IF(COUNTBLANK('Capacity summary'!$H204:$BG204)&lt;52,IF('Capacity summary'!AD204&lt;&gt;"",IF(LOWER('Capacity summary'!AD204)="x",$BI85*AD85,VALUE('Capacity summary'!AD204)),0),AD85*$BI85),AD85*$BI85),0)</f>
        <v>0</v>
      </c>
      <c r="CH85" s="314">
        <f>IF($BI85&lt;&gt;"",IF('Capacity summary'!$D$14="Yes",IF(COUNTBLANK('Capacity summary'!$H204:$BG204)&lt;52,IF('Capacity summary'!AE204&lt;&gt;"",IF(LOWER('Capacity summary'!AE204)="x",$BI85*AE85,VALUE('Capacity summary'!AE204)),0),AE85*$BI85),AE85*$BI85),0)</f>
        <v>0</v>
      </c>
      <c r="CI85" s="314">
        <f>IF($BI85&lt;&gt;"",IF('Capacity summary'!$D$14="Yes",IF(COUNTBLANK('Capacity summary'!$H204:$BG204)&lt;52,IF('Capacity summary'!AF204&lt;&gt;"",IF(LOWER('Capacity summary'!AF204)="x",$BI85*AF85,VALUE('Capacity summary'!AF204)),0),AF85*$BI85),AF85*$BI85),0)</f>
        <v>0</v>
      </c>
      <c r="CJ85" s="314">
        <f>IF($BI85&lt;&gt;"",IF('Capacity summary'!$D$14="Yes",IF(COUNTBLANK('Capacity summary'!$H204:$BG204)&lt;52,IF('Capacity summary'!AG204&lt;&gt;"",IF(LOWER('Capacity summary'!AG204)="x",$BI85*AG85,VALUE('Capacity summary'!AG204)),0),AG85*$BI85),AG85*$BI85),0)</f>
        <v>0</v>
      </c>
      <c r="CK85" s="314">
        <f>IF($BI85&lt;&gt;"",IF('Capacity summary'!$D$14="Yes",IF(COUNTBLANK('Capacity summary'!$H204:$BG204)&lt;52,IF('Capacity summary'!AH204&lt;&gt;"",IF(LOWER('Capacity summary'!AH204)="x",$BI85*AH85,VALUE('Capacity summary'!AH204)),0),AH85*$BI85),AH85*$BI85),0)</f>
        <v>0</v>
      </c>
      <c r="CL85" s="314">
        <f>IF($BI85&lt;&gt;"",IF('Capacity summary'!$D$14="Yes",IF(COUNTBLANK('Capacity summary'!$H204:$BG204)&lt;52,IF('Capacity summary'!AI204&lt;&gt;"",IF(LOWER('Capacity summary'!AI204)="x",$BI85*AI85,VALUE('Capacity summary'!AI204)),0),AI85*$BI85),AI85*$BI85),0)</f>
        <v>0</v>
      </c>
      <c r="CM85" s="314">
        <f>IF($BI85&lt;&gt;"",IF('Capacity summary'!$D$14="Yes",IF(COUNTBLANK('Capacity summary'!$H204:$BG204)&lt;52,IF('Capacity summary'!AJ204&lt;&gt;"",IF(LOWER('Capacity summary'!AJ204)="x",$BI85*AJ85,VALUE('Capacity summary'!AJ204)),0),AJ85*$BI85),AJ85*$BI85),0)</f>
        <v>0</v>
      </c>
      <c r="CN85" s="314">
        <f>IF($BI85&lt;&gt;"",IF('Capacity summary'!$D$14="Yes",IF(COUNTBLANK('Capacity summary'!$H204:$BG204)&lt;52,IF('Capacity summary'!AK204&lt;&gt;"",IF(LOWER('Capacity summary'!AK204)="x",$BI85*AK85,VALUE('Capacity summary'!AK204)),0),AK85*$BI85),AK85*$BI85),0)</f>
        <v>0</v>
      </c>
      <c r="CO85" s="314">
        <f>IF($BI85&lt;&gt;"",IF('Capacity summary'!$D$14="Yes",IF(COUNTBLANK('Capacity summary'!$H204:$BG204)&lt;52,IF('Capacity summary'!AL204&lt;&gt;"",IF(LOWER('Capacity summary'!AL204)="x",$BI85*AL85,VALUE('Capacity summary'!AL204)),0),AL85*$BI85),AL85*$BI85),0)</f>
        <v>0</v>
      </c>
      <c r="CP85" s="314">
        <f>IF($BI85&lt;&gt;"",IF('Capacity summary'!$D$14="Yes",IF(COUNTBLANK('Capacity summary'!$H204:$BG204)&lt;52,IF('Capacity summary'!AM204&lt;&gt;"",IF(LOWER('Capacity summary'!AM204)="x",$BI85*AM85,VALUE('Capacity summary'!AM204)),0),AM85*$BI85),AM85*$BI85),0)</f>
        <v>0</v>
      </c>
      <c r="CQ85" s="314">
        <f>IF($BI85&lt;&gt;"",IF('Capacity summary'!$D$14="Yes",IF(COUNTBLANK('Capacity summary'!$H204:$BG204)&lt;52,IF('Capacity summary'!AN204&lt;&gt;"",IF(LOWER('Capacity summary'!AN204)="x",$BI85*AN85,VALUE('Capacity summary'!AN204)),0),AN85*$BI85),AN85*$BI85),0)</f>
        <v>0</v>
      </c>
      <c r="CR85" s="314">
        <f>IF($BI85&lt;&gt;"",IF('Capacity summary'!$D$14="Yes",IF(COUNTBLANK('Capacity summary'!$H204:$BG204)&lt;52,IF('Capacity summary'!AO204&lt;&gt;"",IF(LOWER('Capacity summary'!AO204)="x",$BI85*AO85,VALUE('Capacity summary'!AO204)),0),AO85*$BI85),AO85*$BI85),0)</f>
        <v>0</v>
      </c>
      <c r="CS85" s="314">
        <f>IF($BI85&lt;&gt;"",IF('Capacity summary'!$D$14="Yes",IF(COUNTBLANK('Capacity summary'!$H204:$BG204)&lt;52,IF('Capacity summary'!AP204&lt;&gt;"",IF(LOWER('Capacity summary'!AP204)="x",$BI85*AP85,VALUE('Capacity summary'!AP204)),0),AP85*$BI85),AP85*$BI85),0)</f>
        <v>0</v>
      </c>
      <c r="CT85" s="314">
        <f>IF($BI85&lt;&gt;"",IF('Capacity summary'!$D$14="Yes",IF(COUNTBLANK('Capacity summary'!$H204:$BG204)&lt;52,IF('Capacity summary'!AQ204&lt;&gt;"",IF(LOWER('Capacity summary'!AQ204)="x",$BI85*AQ85,VALUE('Capacity summary'!AQ204)),0),AQ85*$BI85),AQ85*$BI85),0)</f>
        <v>0</v>
      </c>
      <c r="CU85" s="314">
        <f>IF($BI85&lt;&gt;"",IF('Capacity summary'!$D$14="Yes",IF(COUNTBLANK('Capacity summary'!$H204:$BG204)&lt;52,IF('Capacity summary'!AR204&lt;&gt;"",IF(LOWER('Capacity summary'!AR204)="x",$BI85*AR85,VALUE('Capacity summary'!AR204)),0),AR85*$BI85),AR85*$BI85),0)</f>
        <v>0</v>
      </c>
      <c r="CV85" s="314">
        <f>IF($BI85&lt;&gt;"",IF('Capacity summary'!$D$14="Yes",IF(COUNTBLANK('Capacity summary'!$H204:$BG204)&lt;52,IF('Capacity summary'!AS204&lt;&gt;"",IF(LOWER('Capacity summary'!AS204)="x",$BI85*AS85,VALUE('Capacity summary'!AS204)),0),AS85*$BI85),AS85*$BI85),0)</f>
        <v>0</v>
      </c>
      <c r="CW85" s="314">
        <f>IF($BI85&lt;&gt;"",IF('Capacity summary'!$D$14="Yes",IF(COUNTBLANK('Capacity summary'!$H204:$BG204)&lt;52,IF('Capacity summary'!AT204&lt;&gt;"",IF(LOWER('Capacity summary'!AT204)="x",$BI85*AT85,VALUE('Capacity summary'!AT204)),0),AT85*$BI85),AT85*$BI85),0)</f>
        <v>0</v>
      </c>
      <c r="CX85" s="314">
        <f>IF($BI85&lt;&gt;"",IF('Capacity summary'!$D$14="Yes",IF(COUNTBLANK('Capacity summary'!$H204:$BG204)&lt;52,IF('Capacity summary'!AU204&lt;&gt;"",IF(LOWER('Capacity summary'!AU204)="x",$BI85*AU85,VALUE('Capacity summary'!AU204)),0),AU85*$BI85),AU85*$BI85),0)</f>
        <v>0</v>
      </c>
      <c r="CY85" s="314">
        <f>IF($BI85&lt;&gt;"",IF('Capacity summary'!$D$14="Yes",IF(COUNTBLANK('Capacity summary'!$H204:$BG204)&lt;52,IF('Capacity summary'!AV204&lt;&gt;"",IF(LOWER('Capacity summary'!AV204)="x",$BI85*AV85,VALUE('Capacity summary'!AV204)),0),AV85*$BI85),AV85*$BI85),0)</f>
        <v>0</v>
      </c>
      <c r="CZ85" s="314">
        <f>IF($BI85&lt;&gt;"",IF('Capacity summary'!$D$14="Yes",IF(COUNTBLANK('Capacity summary'!$H204:$BG204)&lt;52,IF('Capacity summary'!AW204&lt;&gt;"",IF(LOWER('Capacity summary'!AW204)="x",$BI85*AW85,VALUE('Capacity summary'!AW204)),0),AW85*$BI85),AW85*$BI85),0)</f>
        <v>0</v>
      </c>
      <c r="DA85" s="314">
        <f>IF($BI85&lt;&gt;"",IF('Capacity summary'!$D$14="Yes",IF(COUNTBLANK('Capacity summary'!$H204:$BG204)&lt;52,IF('Capacity summary'!AX204&lt;&gt;"",IF(LOWER('Capacity summary'!AX204)="x",$BI85*AX85,VALUE('Capacity summary'!AX204)),0),AX85*$BI85),AX85*$BI85),0)</f>
        <v>0</v>
      </c>
      <c r="DB85" s="314">
        <f>IF($BI85&lt;&gt;"",IF('Capacity summary'!$D$14="Yes",IF(COUNTBLANK('Capacity summary'!$H204:$BG204)&lt;52,IF('Capacity summary'!AY204&lt;&gt;"",IF(LOWER('Capacity summary'!AY204)="x",$BI85*AY85,VALUE('Capacity summary'!AY204)),0),AY85*$BI85),AY85*$BI85),0)</f>
        <v>0</v>
      </c>
      <c r="DC85" s="314">
        <f>IF($BI85&lt;&gt;"",IF('Capacity summary'!$D$14="Yes",IF(COUNTBLANK('Capacity summary'!$H204:$BG204)&lt;52,IF('Capacity summary'!AZ204&lt;&gt;"",IF(LOWER('Capacity summary'!AZ204)="x",$BI85*AZ85,VALUE('Capacity summary'!AZ204)),0),AZ85*$BI85),AZ85*$BI85),0)</f>
        <v>0</v>
      </c>
      <c r="DD85" s="314">
        <f>IF($BI85&lt;&gt;"",IF('Capacity summary'!$D$14="Yes",IF(COUNTBLANK('Capacity summary'!$H204:$BG204)&lt;52,IF('Capacity summary'!BA204&lt;&gt;"",IF(LOWER('Capacity summary'!BA204)="x",$BI85*BA85,VALUE('Capacity summary'!BA204)),0),BA85*$BI85),BA85*$BI85),0)</f>
        <v>0</v>
      </c>
      <c r="DE85" s="314">
        <f>IF($BI85&lt;&gt;"",IF('Capacity summary'!$D$14="Yes",IF(COUNTBLANK('Capacity summary'!$H204:$BG204)&lt;52,IF('Capacity summary'!BB204&lt;&gt;"",IF(LOWER('Capacity summary'!BB204)="x",$BI85*BB85,VALUE('Capacity summary'!BB204)),0),BB85*$BI85),BB85*$BI85),0)</f>
        <v>0</v>
      </c>
      <c r="DF85" s="314">
        <f>IF($BI85&lt;&gt;"",IF('Capacity summary'!$D$14="Yes",IF(COUNTBLANK('Capacity summary'!$H204:$BG204)&lt;52,IF('Capacity summary'!BC204&lt;&gt;"",IF(LOWER('Capacity summary'!BC204)="x",$BI85*BC85,VALUE('Capacity summary'!BC204)),0),BC85*$BI85),BC85*$BI85),0)</f>
        <v>0</v>
      </c>
      <c r="DG85" s="314">
        <f>IF($BI85&lt;&gt;"",IF('Capacity summary'!$D$14="Yes",IF(COUNTBLANK('Capacity summary'!$H204:$BG204)&lt;52,IF('Capacity summary'!BD204&lt;&gt;"",IF(LOWER('Capacity summary'!BD204)="x",$BI85*BD85,VALUE('Capacity summary'!BD204)),0),BD85*$BI85),BD85*$BI85),0)</f>
        <v>0</v>
      </c>
      <c r="DH85" s="314">
        <f>IF($BI85&lt;&gt;"",IF('Capacity summary'!$D$14="Yes",IF(COUNTBLANK('Capacity summary'!$H204:$BG204)&lt;52,IF('Capacity summary'!BE204&lt;&gt;"",IF(LOWER('Capacity summary'!BE204)="x",$BI85*BE85,VALUE('Capacity summary'!BE204)),0),BE85*$BI85),BE85*$BI85),0)</f>
        <v>0</v>
      </c>
      <c r="DI85" s="314">
        <f>IF($BI85&lt;&gt;"",IF('Capacity summary'!$D$14="Yes",IF(COUNTBLANK('Capacity summary'!$H204:$BG204)&lt;52,IF('Capacity summary'!BF204&lt;&gt;"",IF(LOWER('Capacity summary'!BF204)="x",$BI85*BF85,VALUE('Capacity summary'!BF204)),0),BF85*$BI85),BF85*$BI85),0)</f>
        <v>0</v>
      </c>
      <c r="DJ85" s="314">
        <f>IF($BI85&lt;&gt;"",IF('Capacity summary'!$D$14="Yes",IF(COUNTBLANK('Capacity summary'!$H204:$BG204)&lt;52,IF('Capacity summary'!BG204&lt;&gt;"",IF(LOWER('Capacity summary'!BG204)="x",$BI85*BG85,VALUE('Capacity summary'!BG204)),0),BG85*$BI85),BG85*$BI85),0)</f>
        <v>0</v>
      </c>
      <c r="DK85" s="137">
        <f t="shared" si="3"/>
        <v>0</v>
      </c>
      <c r="DL85" s="314"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4">
        <f>IF($BI86&lt;&gt;"",IF('Capacity summary'!$D$14="Yes",IF(COUNTBLANK('Capacity summary'!$H205:$BG205)&lt;52,IF('Capacity summary'!H205&lt;&gt;"",IF(LOWER('Capacity summary'!H205)="x",$BI86*H86,VALUE('Capacity summary'!H205)),0),H86*$BI86),H86*$BI86),0)</f>
        <v>0</v>
      </c>
      <c r="BL86" s="314">
        <f>IF($BI86&lt;&gt;"",IF('Capacity summary'!$D$14="Yes",IF(COUNTBLANK('Capacity summary'!$H205:$BG205)&lt;52,IF('Capacity summary'!I205&lt;&gt;"",IF(LOWER('Capacity summary'!I205)="x",$BI86*I86,VALUE('Capacity summary'!I205)),0),I86*$BI86),I86*$BI86),0)</f>
        <v>0</v>
      </c>
      <c r="BM86" s="314">
        <f>IF($BI86&lt;&gt;"",IF('Capacity summary'!$D$14="Yes",IF(COUNTBLANK('Capacity summary'!$H205:$BG205)&lt;52,IF('Capacity summary'!J205&lt;&gt;"",IF(LOWER('Capacity summary'!J205)="x",$BI86*J86,VALUE('Capacity summary'!J205)),0),J86*$BI86),J86*$BI86),0)</f>
        <v>0</v>
      </c>
      <c r="BN86" s="314">
        <f>IF($BI86&lt;&gt;"",IF('Capacity summary'!$D$14="Yes",IF(COUNTBLANK('Capacity summary'!$H205:$BG205)&lt;52,IF('Capacity summary'!K205&lt;&gt;"",IF(LOWER('Capacity summary'!K205)="x",$BI86*K86,VALUE('Capacity summary'!K205)),0),K86*$BI86),K86*$BI86),0)</f>
        <v>0</v>
      </c>
      <c r="BO86" s="314">
        <f>IF($BI86&lt;&gt;"",IF('Capacity summary'!$D$14="Yes",IF(COUNTBLANK('Capacity summary'!$H205:$BG205)&lt;52,IF('Capacity summary'!L205&lt;&gt;"",IF(LOWER('Capacity summary'!L205)="x",$BI86*L86,VALUE('Capacity summary'!L205)),0),L86*$BI86),L86*$BI86),0)</f>
        <v>0</v>
      </c>
      <c r="BP86" s="314">
        <f>IF($BI86&lt;&gt;"",IF('Capacity summary'!$D$14="Yes",IF(COUNTBLANK('Capacity summary'!$H205:$BG205)&lt;52,IF('Capacity summary'!M205&lt;&gt;"",IF(LOWER('Capacity summary'!M205)="x",$BI86*M86,VALUE('Capacity summary'!M205)),0),M86*$BI86),M86*$BI86),0)</f>
        <v>0</v>
      </c>
      <c r="BQ86" s="314">
        <f>IF($BI86&lt;&gt;"",IF('Capacity summary'!$D$14="Yes",IF(COUNTBLANK('Capacity summary'!$H205:$BG205)&lt;52,IF('Capacity summary'!N205&lt;&gt;"",IF(LOWER('Capacity summary'!N205)="x",$BI86*N86,VALUE('Capacity summary'!N205)),0),N86*$BI86),N86*$BI86),0)</f>
        <v>0</v>
      </c>
      <c r="BR86" s="314">
        <f>IF($BI86&lt;&gt;"",IF('Capacity summary'!$D$14="Yes",IF(COUNTBLANK('Capacity summary'!$H205:$BG205)&lt;52,IF('Capacity summary'!O205&lt;&gt;"",IF(LOWER('Capacity summary'!O205)="x",$BI86*O86,VALUE('Capacity summary'!O205)),0),O86*$BI86),O86*$BI86),0)</f>
        <v>0</v>
      </c>
      <c r="BS86" s="314">
        <f>IF($BI86&lt;&gt;"",IF('Capacity summary'!$D$14="Yes",IF(COUNTBLANK('Capacity summary'!$H205:$BG205)&lt;52,IF('Capacity summary'!P205&lt;&gt;"",IF(LOWER('Capacity summary'!P205)="x",$BI86*P86,VALUE('Capacity summary'!P205)),0),P86*$BI86),P86*$BI86),0)</f>
        <v>0</v>
      </c>
      <c r="BT86" s="314">
        <f>IF($BI86&lt;&gt;"",IF('Capacity summary'!$D$14="Yes",IF(COUNTBLANK('Capacity summary'!$H205:$BG205)&lt;52,IF('Capacity summary'!Q205&lt;&gt;"",IF(LOWER('Capacity summary'!Q205)="x",$BI86*Q86,VALUE('Capacity summary'!Q205)),0),Q86*$BI86),Q86*$BI86),0)</f>
        <v>0</v>
      </c>
      <c r="BU86" s="314">
        <f>IF($BI86&lt;&gt;"",IF('Capacity summary'!$D$14="Yes",IF(COUNTBLANK('Capacity summary'!$H205:$BG205)&lt;52,IF('Capacity summary'!R205&lt;&gt;"",IF(LOWER('Capacity summary'!R205)="x",$BI86*R86,VALUE('Capacity summary'!R205)),0),R86*$BI86),R86*$BI86),0)</f>
        <v>0</v>
      </c>
      <c r="BV86" s="314">
        <f>IF($BI86&lt;&gt;"",IF('Capacity summary'!$D$14="Yes",IF(COUNTBLANK('Capacity summary'!$H205:$BG205)&lt;52,IF('Capacity summary'!S205&lt;&gt;"",IF(LOWER('Capacity summary'!S205)="x",$BI86*S86,VALUE('Capacity summary'!S205)),0),S86*$BI86),S86*$BI86),0)</f>
        <v>0</v>
      </c>
      <c r="BW86" s="314">
        <f>IF($BI86&lt;&gt;"",IF('Capacity summary'!$D$14="Yes",IF(COUNTBLANK('Capacity summary'!$H205:$BG205)&lt;52,IF('Capacity summary'!T205&lt;&gt;"",IF(LOWER('Capacity summary'!T205)="x",$BI86*T86,VALUE('Capacity summary'!T205)),0),T86*$BI86),T86*$BI86),0)</f>
        <v>0</v>
      </c>
      <c r="BX86" s="314">
        <f>IF($BI86&lt;&gt;"",IF('Capacity summary'!$D$14="Yes",IF(COUNTBLANK('Capacity summary'!$H205:$BG205)&lt;52,IF('Capacity summary'!U205&lt;&gt;"",IF(LOWER('Capacity summary'!U205)="x",$BI86*U86,VALUE('Capacity summary'!U205)),0),U86*$BI86),U86*$BI86),0)</f>
        <v>0</v>
      </c>
      <c r="BY86" s="314">
        <f>IF($BI86&lt;&gt;"",IF('Capacity summary'!$D$14="Yes",IF(COUNTBLANK('Capacity summary'!$H205:$BG205)&lt;52,IF('Capacity summary'!V205&lt;&gt;"",IF(LOWER('Capacity summary'!V205)="x",$BI86*V86,VALUE('Capacity summary'!V205)),0),V86*$BI86),V86*$BI86),0)</f>
        <v>0</v>
      </c>
      <c r="BZ86" s="314">
        <f>IF($BI86&lt;&gt;"",IF('Capacity summary'!$D$14="Yes",IF(COUNTBLANK('Capacity summary'!$H205:$BG205)&lt;52,IF('Capacity summary'!W205&lt;&gt;"",IF(LOWER('Capacity summary'!W205)="x",$BI86*W86,VALUE('Capacity summary'!W205)),0),W86*$BI86),W86*$BI86),0)</f>
        <v>0</v>
      </c>
      <c r="CA86" s="314">
        <f>IF($BI86&lt;&gt;"",IF('Capacity summary'!$D$14="Yes",IF(COUNTBLANK('Capacity summary'!$H205:$BG205)&lt;52,IF('Capacity summary'!X205&lt;&gt;"",IF(LOWER('Capacity summary'!X205)="x",$BI86*X86,VALUE('Capacity summary'!X205)),0),X86*$BI86),X86*$BI86),0)</f>
        <v>0</v>
      </c>
      <c r="CB86" s="314">
        <f>IF($BI86&lt;&gt;"",IF('Capacity summary'!$D$14="Yes",IF(COUNTBLANK('Capacity summary'!$H205:$BG205)&lt;52,IF('Capacity summary'!Y205&lt;&gt;"",IF(LOWER('Capacity summary'!Y205)="x",$BI86*Y86,VALUE('Capacity summary'!Y205)),0),Y86*$BI86),Y86*$BI86),0)</f>
        <v>0</v>
      </c>
      <c r="CC86" s="314">
        <f>IF($BI86&lt;&gt;"",IF('Capacity summary'!$D$14="Yes",IF(COUNTBLANK('Capacity summary'!$H205:$BG205)&lt;52,IF('Capacity summary'!Z205&lt;&gt;"",IF(LOWER('Capacity summary'!Z205)="x",$BI86*Z86,VALUE('Capacity summary'!Z205)),0),Z86*$BI86),Z86*$BI86),0)</f>
        <v>0</v>
      </c>
      <c r="CD86" s="314">
        <f>IF($BI86&lt;&gt;"",IF('Capacity summary'!$D$14="Yes",IF(COUNTBLANK('Capacity summary'!$H205:$BG205)&lt;52,IF('Capacity summary'!AA205&lt;&gt;"",IF(LOWER('Capacity summary'!AA205)="x",$BI86*AA86,VALUE('Capacity summary'!AA205)),0),AA86*$BI86),AA86*$BI86),0)</f>
        <v>0</v>
      </c>
      <c r="CE86" s="314">
        <f>IF($BI86&lt;&gt;"",IF('Capacity summary'!$D$14="Yes",IF(COUNTBLANK('Capacity summary'!$H205:$BG205)&lt;52,IF('Capacity summary'!AB205&lt;&gt;"",IF(LOWER('Capacity summary'!AB205)="x",$BI86*AB86,VALUE('Capacity summary'!AB205)),0),AB86*$BI86),AB86*$BI86),0)</f>
        <v>0</v>
      </c>
      <c r="CF86" s="314">
        <f>IF($BI86&lt;&gt;"",IF('Capacity summary'!$D$14="Yes",IF(COUNTBLANK('Capacity summary'!$H205:$BG205)&lt;52,IF('Capacity summary'!AC205&lt;&gt;"",IF(LOWER('Capacity summary'!AC205)="x",$BI86*AC86,VALUE('Capacity summary'!AC205)),0),AC86*$BI86),AC86*$BI86),0)</f>
        <v>0</v>
      </c>
      <c r="CG86" s="314">
        <f>IF($BI86&lt;&gt;"",IF('Capacity summary'!$D$14="Yes",IF(COUNTBLANK('Capacity summary'!$H205:$BG205)&lt;52,IF('Capacity summary'!AD205&lt;&gt;"",IF(LOWER('Capacity summary'!AD205)="x",$BI86*AD86,VALUE('Capacity summary'!AD205)),0),AD86*$BI86),AD86*$BI86),0)</f>
        <v>0</v>
      </c>
      <c r="CH86" s="314">
        <f>IF($BI86&lt;&gt;"",IF('Capacity summary'!$D$14="Yes",IF(COUNTBLANK('Capacity summary'!$H205:$BG205)&lt;52,IF('Capacity summary'!AE205&lt;&gt;"",IF(LOWER('Capacity summary'!AE205)="x",$BI86*AE86,VALUE('Capacity summary'!AE205)),0),AE86*$BI86),AE86*$BI86),0)</f>
        <v>0</v>
      </c>
      <c r="CI86" s="314">
        <f>IF($BI86&lt;&gt;"",IF('Capacity summary'!$D$14="Yes",IF(COUNTBLANK('Capacity summary'!$H205:$BG205)&lt;52,IF('Capacity summary'!AF205&lt;&gt;"",IF(LOWER('Capacity summary'!AF205)="x",$BI86*AF86,VALUE('Capacity summary'!AF205)),0),AF86*$BI86),AF86*$BI86),0)</f>
        <v>0</v>
      </c>
      <c r="CJ86" s="314">
        <f>IF($BI86&lt;&gt;"",IF('Capacity summary'!$D$14="Yes",IF(COUNTBLANK('Capacity summary'!$H205:$BG205)&lt;52,IF('Capacity summary'!AG205&lt;&gt;"",IF(LOWER('Capacity summary'!AG205)="x",$BI86*AG86,VALUE('Capacity summary'!AG205)),0),AG86*$BI86),AG86*$BI86),0)</f>
        <v>0</v>
      </c>
      <c r="CK86" s="314">
        <f>IF($BI86&lt;&gt;"",IF('Capacity summary'!$D$14="Yes",IF(COUNTBLANK('Capacity summary'!$H205:$BG205)&lt;52,IF('Capacity summary'!AH205&lt;&gt;"",IF(LOWER('Capacity summary'!AH205)="x",$BI86*AH86,VALUE('Capacity summary'!AH205)),0),AH86*$BI86),AH86*$BI86),0)</f>
        <v>0</v>
      </c>
      <c r="CL86" s="314">
        <f>IF($BI86&lt;&gt;"",IF('Capacity summary'!$D$14="Yes",IF(COUNTBLANK('Capacity summary'!$H205:$BG205)&lt;52,IF('Capacity summary'!AI205&lt;&gt;"",IF(LOWER('Capacity summary'!AI205)="x",$BI86*AI86,VALUE('Capacity summary'!AI205)),0),AI86*$BI86),AI86*$BI86),0)</f>
        <v>0</v>
      </c>
      <c r="CM86" s="314">
        <f>IF($BI86&lt;&gt;"",IF('Capacity summary'!$D$14="Yes",IF(COUNTBLANK('Capacity summary'!$H205:$BG205)&lt;52,IF('Capacity summary'!AJ205&lt;&gt;"",IF(LOWER('Capacity summary'!AJ205)="x",$BI86*AJ86,VALUE('Capacity summary'!AJ205)),0),AJ86*$BI86),AJ86*$BI86),0)</f>
        <v>0</v>
      </c>
      <c r="CN86" s="314">
        <f>IF($BI86&lt;&gt;"",IF('Capacity summary'!$D$14="Yes",IF(COUNTBLANK('Capacity summary'!$H205:$BG205)&lt;52,IF('Capacity summary'!AK205&lt;&gt;"",IF(LOWER('Capacity summary'!AK205)="x",$BI86*AK86,VALUE('Capacity summary'!AK205)),0),AK86*$BI86),AK86*$BI86),0)</f>
        <v>0</v>
      </c>
      <c r="CO86" s="314">
        <f>IF($BI86&lt;&gt;"",IF('Capacity summary'!$D$14="Yes",IF(COUNTBLANK('Capacity summary'!$H205:$BG205)&lt;52,IF('Capacity summary'!AL205&lt;&gt;"",IF(LOWER('Capacity summary'!AL205)="x",$BI86*AL86,VALUE('Capacity summary'!AL205)),0),AL86*$BI86),AL86*$BI86),0)</f>
        <v>0</v>
      </c>
      <c r="CP86" s="314">
        <f>IF($BI86&lt;&gt;"",IF('Capacity summary'!$D$14="Yes",IF(COUNTBLANK('Capacity summary'!$H205:$BG205)&lt;52,IF('Capacity summary'!AM205&lt;&gt;"",IF(LOWER('Capacity summary'!AM205)="x",$BI86*AM86,VALUE('Capacity summary'!AM205)),0),AM86*$BI86),AM86*$BI86),0)</f>
        <v>0</v>
      </c>
      <c r="CQ86" s="314">
        <f>IF($BI86&lt;&gt;"",IF('Capacity summary'!$D$14="Yes",IF(COUNTBLANK('Capacity summary'!$H205:$BG205)&lt;52,IF('Capacity summary'!AN205&lt;&gt;"",IF(LOWER('Capacity summary'!AN205)="x",$BI86*AN86,VALUE('Capacity summary'!AN205)),0),AN86*$BI86),AN86*$BI86),0)</f>
        <v>0</v>
      </c>
      <c r="CR86" s="314">
        <f>IF($BI86&lt;&gt;"",IF('Capacity summary'!$D$14="Yes",IF(COUNTBLANK('Capacity summary'!$H205:$BG205)&lt;52,IF('Capacity summary'!AO205&lt;&gt;"",IF(LOWER('Capacity summary'!AO205)="x",$BI86*AO86,VALUE('Capacity summary'!AO205)),0),AO86*$BI86),AO86*$BI86),0)</f>
        <v>0</v>
      </c>
      <c r="CS86" s="314">
        <f>IF($BI86&lt;&gt;"",IF('Capacity summary'!$D$14="Yes",IF(COUNTBLANK('Capacity summary'!$H205:$BG205)&lt;52,IF('Capacity summary'!AP205&lt;&gt;"",IF(LOWER('Capacity summary'!AP205)="x",$BI86*AP86,VALUE('Capacity summary'!AP205)),0),AP86*$BI86),AP86*$BI86),0)</f>
        <v>0</v>
      </c>
      <c r="CT86" s="314">
        <f>IF($BI86&lt;&gt;"",IF('Capacity summary'!$D$14="Yes",IF(COUNTBLANK('Capacity summary'!$H205:$BG205)&lt;52,IF('Capacity summary'!AQ205&lt;&gt;"",IF(LOWER('Capacity summary'!AQ205)="x",$BI86*AQ86,VALUE('Capacity summary'!AQ205)),0),AQ86*$BI86),AQ86*$BI86),0)</f>
        <v>0</v>
      </c>
      <c r="CU86" s="314">
        <f>IF($BI86&lt;&gt;"",IF('Capacity summary'!$D$14="Yes",IF(COUNTBLANK('Capacity summary'!$H205:$BG205)&lt;52,IF('Capacity summary'!AR205&lt;&gt;"",IF(LOWER('Capacity summary'!AR205)="x",$BI86*AR86,VALUE('Capacity summary'!AR205)),0),AR86*$BI86),AR86*$BI86),0)</f>
        <v>0</v>
      </c>
      <c r="CV86" s="314">
        <f>IF($BI86&lt;&gt;"",IF('Capacity summary'!$D$14="Yes",IF(COUNTBLANK('Capacity summary'!$H205:$BG205)&lt;52,IF('Capacity summary'!AS205&lt;&gt;"",IF(LOWER('Capacity summary'!AS205)="x",$BI86*AS86,VALUE('Capacity summary'!AS205)),0),AS86*$BI86),AS86*$BI86),0)</f>
        <v>0</v>
      </c>
      <c r="CW86" s="314">
        <f>IF($BI86&lt;&gt;"",IF('Capacity summary'!$D$14="Yes",IF(COUNTBLANK('Capacity summary'!$H205:$BG205)&lt;52,IF('Capacity summary'!AT205&lt;&gt;"",IF(LOWER('Capacity summary'!AT205)="x",$BI86*AT86,VALUE('Capacity summary'!AT205)),0),AT86*$BI86),AT86*$BI86),0)</f>
        <v>0</v>
      </c>
      <c r="CX86" s="314">
        <f>IF($BI86&lt;&gt;"",IF('Capacity summary'!$D$14="Yes",IF(COUNTBLANK('Capacity summary'!$H205:$BG205)&lt;52,IF('Capacity summary'!AU205&lt;&gt;"",IF(LOWER('Capacity summary'!AU205)="x",$BI86*AU86,VALUE('Capacity summary'!AU205)),0),AU86*$BI86),AU86*$BI86),0)</f>
        <v>0</v>
      </c>
      <c r="CY86" s="314">
        <f>IF($BI86&lt;&gt;"",IF('Capacity summary'!$D$14="Yes",IF(COUNTBLANK('Capacity summary'!$H205:$BG205)&lt;52,IF('Capacity summary'!AV205&lt;&gt;"",IF(LOWER('Capacity summary'!AV205)="x",$BI86*AV86,VALUE('Capacity summary'!AV205)),0),AV86*$BI86),AV86*$BI86),0)</f>
        <v>0</v>
      </c>
      <c r="CZ86" s="314">
        <f>IF($BI86&lt;&gt;"",IF('Capacity summary'!$D$14="Yes",IF(COUNTBLANK('Capacity summary'!$H205:$BG205)&lt;52,IF('Capacity summary'!AW205&lt;&gt;"",IF(LOWER('Capacity summary'!AW205)="x",$BI86*AW86,VALUE('Capacity summary'!AW205)),0),AW86*$BI86),AW86*$BI86),0)</f>
        <v>0</v>
      </c>
      <c r="DA86" s="314">
        <f>IF($BI86&lt;&gt;"",IF('Capacity summary'!$D$14="Yes",IF(COUNTBLANK('Capacity summary'!$H205:$BG205)&lt;52,IF('Capacity summary'!AX205&lt;&gt;"",IF(LOWER('Capacity summary'!AX205)="x",$BI86*AX86,VALUE('Capacity summary'!AX205)),0),AX86*$BI86),AX86*$BI86),0)</f>
        <v>0</v>
      </c>
      <c r="DB86" s="314">
        <f>IF($BI86&lt;&gt;"",IF('Capacity summary'!$D$14="Yes",IF(COUNTBLANK('Capacity summary'!$H205:$BG205)&lt;52,IF('Capacity summary'!AY205&lt;&gt;"",IF(LOWER('Capacity summary'!AY205)="x",$BI86*AY86,VALUE('Capacity summary'!AY205)),0),AY86*$BI86),AY86*$BI86),0)</f>
        <v>0</v>
      </c>
      <c r="DC86" s="314">
        <f>IF($BI86&lt;&gt;"",IF('Capacity summary'!$D$14="Yes",IF(COUNTBLANK('Capacity summary'!$H205:$BG205)&lt;52,IF('Capacity summary'!AZ205&lt;&gt;"",IF(LOWER('Capacity summary'!AZ205)="x",$BI86*AZ86,VALUE('Capacity summary'!AZ205)),0),AZ86*$BI86),AZ86*$BI86),0)</f>
        <v>0</v>
      </c>
      <c r="DD86" s="314">
        <f>IF($BI86&lt;&gt;"",IF('Capacity summary'!$D$14="Yes",IF(COUNTBLANK('Capacity summary'!$H205:$BG205)&lt;52,IF('Capacity summary'!BA205&lt;&gt;"",IF(LOWER('Capacity summary'!BA205)="x",$BI86*BA86,VALUE('Capacity summary'!BA205)),0),BA86*$BI86),BA86*$BI86),0)</f>
        <v>0</v>
      </c>
      <c r="DE86" s="314">
        <f>IF($BI86&lt;&gt;"",IF('Capacity summary'!$D$14="Yes",IF(COUNTBLANK('Capacity summary'!$H205:$BG205)&lt;52,IF('Capacity summary'!BB205&lt;&gt;"",IF(LOWER('Capacity summary'!BB205)="x",$BI86*BB86,VALUE('Capacity summary'!BB205)),0),BB86*$BI86),BB86*$BI86),0)</f>
        <v>0</v>
      </c>
      <c r="DF86" s="314">
        <f>IF($BI86&lt;&gt;"",IF('Capacity summary'!$D$14="Yes",IF(COUNTBLANK('Capacity summary'!$H205:$BG205)&lt;52,IF('Capacity summary'!BC205&lt;&gt;"",IF(LOWER('Capacity summary'!BC205)="x",$BI86*BC86,VALUE('Capacity summary'!BC205)),0),BC86*$BI86),BC86*$BI86),0)</f>
        <v>0</v>
      </c>
      <c r="DG86" s="314">
        <f>IF($BI86&lt;&gt;"",IF('Capacity summary'!$D$14="Yes",IF(COUNTBLANK('Capacity summary'!$H205:$BG205)&lt;52,IF('Capacity summary'!BD205&lt;&gt;"",IF(LOWER('Capacity summary'!BD205)="x",$BI86*BD86,VALUE('Capacity summary'!BD205)),0),BD86*$BI86),BD86*$BI86),0)</f>
        <v>0</v>
      </c>
      <c r="DH86" s="314">
        <f>IF($BI86&lt;&gt;"",IF('Capacity summary'!$D$14="Yes",IF(COUNTBLANK('Capacity summary'!$H205:$BG205)&lt;52,IF('Capacity summary'!BE205&lt;&gt;"",IF(LOWER('Capacity summary'!BE205)="x",$BI86*BE86,VALUE('Capacity summary'!BE205)),0),BE86*$BI86),BE86*$BI86),0)</f>
        <v>0</v>
      </c>
      <c r="DI86" s="314">
        <f>IF($BI86&lt;&gt;"",IF('Capacity summary'!$D$14="Yes",IF(COUNTBLANK('Capacity summary'!$H205:$BG205)&lt;52,IF('Capacity summary'!BF205&lt;&gt;"",IF(LOWER('Capacity summary'!BF205)="x",$BI86*BF86,VALUE('Capacity summary'!BF205)),0),BF86*$BI86),BF86*$BI86),0)</f>
        <v>0</v>
      </c>
      <c r="DJ86" s="314">
        <f>IF($BI86&lt;&gt;"",IF('Capacity summary'!$D$14="Yes",IF(COUNTBLANK('Capacity summary'!$H205:$BG205)&lt;52,IF('Capacity summary'!BG205&lt;&gt;"",IF(LOWER('Capacity summary'!BG205)="x",$BI86*BG86,VALUE('Capacity summary'!BG205)),0),BG86*$BI86),BG86*$BI86),0)</f>
        <v>0</v>
      </c>
      <c r="DK86" s="137">
        <f t="shared" si="3"/>
        <v>0</v>
      </c>
      <c r="DL86" s="314"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4">
        <f>IF($BI87&lt;&gt;"",IF('Capacity summary'!$D$14="Yes",IF(COUNTBLANK('Capacity summary'!$H206:$BG206)&lt;52,IF('Capacity summary'!H206&lt;&gt;"",IF(LOWER('Capacity summary'!H206)="x",$BI87*H87,VALUE('Capacity summary'!H206)),0),H87*$BI87),H87*$BI87),0)</f>
        <v>0</v>
      </c>
      <c r="BL87" s="314">
        <f>IF($BI87&lt;&gt;"",IF('Capacity summary'!$D$14="Yes",IF(COUNTBLANK('Capacity summary'!$H206:$BG206)&lt;52,IF('Capacity summary'!I206&lt;&gt;"",IF(LOWER('Capacity summary'!I206)="x",$BI87*I87,VALUE('Capacity summary'!I206)),0),I87*$BI87),I87*$BI87),0)</f>
        <v>0</v>
      </c>
      <c r="BM87" s="314">
        <f>IF($BI87&lt;&gt;"",IF('Capacity summary'!$D$14="Yes",IF(COUNTBLANK('Capacity summary'!$H206:$BG206)&lt;52,IF('Capacity summary'!J206&lt;&gt;"",IF(LOWER('Capacity summary'!J206)="x",$BI87*J87,VALUE('Capacity summary'!J206)),0),J87*$BI87),J87*$BI87),0)</f>
        <v>0</v>
      </c>
      <c r="BN87" s="314">
        <f>IF($BI87&lt;&gt;"",IF('Capacity summary'!$D$14="Yes",IF(COUNTBLANK('Capacity summary'!$H206:$BG206)&lt;52,IF('Capacity summary'!K206&lt;&gt;"",IF(LOWER('Capacity summary'!K206)="x",$BI87*K87,VALUE('Capacity summary'!K206)),0),K87*$BI87),K87*$BI87),0)</f>
        <v>0</v>
      </c>
      <c r="BO87" s="314">
        <f>IF($BI87&lt;&gt;"",IF('Capacity summary'!$D$14="Yes",IF(COUNTBLANK('Capacity summary'!$H206:$BG206)&lt;52,IF('Capacity summary'!L206&lt;&gt;"",IF(LOWER('Capacity summary'!L206)="x",$BI87*L87,VALUE('Capacity summary'!L206)),0),L87*$BI87),L87*$BI87),0)</f>
        <v>0</v>
      </c>
      <c r="BP87" s="314">
        <f>IF($BI87&lt;&gt;"",IF('Capacity summary'!$D$14="Yes",IF(COUNTBLANK('Capacity summary'!$H206:$BG206)&lt;52,IF('Capacity summary'!M206&lt;&gt;"",IF(LOWER('Capacity summary'!M206)="x",$BI87*M87,VALUE('Capacity summary'!M206)),0),M87*$BI87),M87*$BI87),0)</f>
        <v>0</v>
      </c>
      <c r="BQ87" s="314">
        <f>IF($BI87&lt;&gt;"",IF('Capacity summary'!$D$14="Yes",IF(COUNTBLANK('Capacity summary'!$H206:$BG206)&lt;52,IF('Capacity summary'!N206&lt;&gt;"",IF(LOWER('Capacity summary'!N206)="x",$BI87*N87,VALUE('Capacity summary'!N206)),0),N87*$BI87),N87*$BI87),0)</f>
        <v>0</v>
      </c>
      <c r="BR87" s="314">
        <f>IF($BI87&lt;&gt;"",IF('Capacity summary'!$D$14="Yes",IF(COUNTBLANK('Capacity summary'!$H206:$BG206)&lt;52,IF('Capacity summary'!O206&lt;&gt;"",IF(LOWER('Capacity summary'!O206)="x",$BI87*O87,VALUE('Capacity summary'!O206)),0),O87*$BI87),O87*$BI87),0)</f>
        <v>0</v>
      </c>
      <c r="BS87" s="314">
        <f>IF($BI87&lt;&gt;"",IF('Capacity summary'!$D$14="Yes",IF(COUNTBLANK('Capacity summary'!$H206:$BG206)&lt;52,IF('Capacity summary'!P206&lt;&gt;"",IF(LOWER('Capacity summary'!P206)="x",$BI87*P87,VALUE('Capacity summary'!P206)),0),P87*$BI87),P87*$BI87),0)</f>
        <v>0</v>
      </c>
      <c r="BT87" s="314">
        <f>IF($BI87&lt;&gt;"",IF('Capacity summary'!$D$14="Yes",IF(COUNTBLANK('Capacity summary'!$H206:$BG206)&lt;52,IF('Capacity summary'!Q206&lt;&gt;"",IF(LOWER('Capacity summary'!Q206)="x",$BI87*Q87,VALUE('Capacity summary'!Q206)),0),Q87*$BI87),Q87*$BI87),0)</f>
        <v>0</v>
      </c>
      <c r="BU87" s="314">
        <f>IF($BI87&lt;&gt;"",IF('Capacity summary'!$D$14="Yes",IF(COUNTBLANK('Capacity summary'!$H206:$BG206)&lt;52,IF('Capacity summary'!R206&lt;&gt;"",IF(LOWER('Capacity summary'!R206)="x",$BI87*R87,VALUE('Capacity summary'!R206)),0),R87*$BI87),R87*$BI87),0)</f>
        <v>0</v>
      </c>
      <c r="BV87" s="314">
        <f>IF($BI87&lt;&gt;"",IF('Capacity summary'!$D$14="Yes",IF(COUNTBLANK('Capacity summary'!$H206:$BG206)&lt;52,IF('Capacity summary'!S206&lt;&gt;"",IF(LOWER('Capacity summary'!S206)="x",$BI87*S87,VALUE('Capacity summary'!S206)),0),S87*$BI87),S87*$BI87),0)</f>
        <v>0</v>
      </c>
      <c r="BW87" s="314">
        <f>IF($BI87&lt;&gt;"",IF('Capacity summary'!$D$14="Yes",IF(COUNTBLANK('Capacity summary'!$H206:$BG206)&lt;52,IF('Capacity summary'!T206&lt;&gt;"",IF(LOWER('Capacity summary'!T206)="x",$BI87*T87,VALUE('Capacity summary'!T206)),0),T87*$BI87),T87*$BI87),0)</f>
        <v>0</v>
      </c>
      <c r="BX87" s="314">
        <f>IF($BI87&lt;&gt;"",IF('Capacity summary'!$D$14="Yes",IF(COUNTBLANK('Capacity summary'!$H206:$BG206)&lt;52,IF('Capacity summary'!U206&lt;&gt;"",IF(LOWER('Capacity summary'!U206)="x",$BI87*U87,VALUE('Capacity summary'!U206)),0),U87*$BI87),U87*$BI87),0)</f>
        <v>0</v>
      </c>
      <c r="BY87" s="314">
        <f>IF($BI87&lt;&gt;"",IF('Capacity summary'!$D$14="Yes",IF(COUNTBLANK('Capacity summary'!$H206:$BG206)&lt;52,IF('Capacity summary'!V206&lt;&gt;"",IF(LOWER('Capacity summary'!V206)="x",$BI87*V87,VALUE('Capacity summary'!V206)),0),V87*$BI87),V87*$BI87),0)</f>
        <v>0</v>
      </c>
      <c r="BZ87" s="314">
        <f>IF($BI87&lt;&gt;"",IF('Capacity summary'!$D$14="Yes",IF(COUNTBLANK('Capacity summary'!$H206:$BG206)&lt;52,IF('Capacity summary'!W206&lt;&gt;"",IF(LOWER('Capacity summary'!W206)="x",$BI87*W87,VALUE('Capacity summary'!W206)),0),W87*$BI87),W87*$BI87),0)</f>
        <v>0</v>
      </c>
      <c r="CA87" s="314">
        <f>IF($BI87&lt;&gt;"",IF('Capacity summary'!$D$14="Yes",IF(COUNTBLANK('Capacity summary'!$H206:$BG206)&lt;52,IF('Capacity summary'!X206&lt;&gt;"",IF(LOWER('Capacity summary'!X206)="x",$BI87*X87,VALUE('Capacity summary'!X206)),0),X87*$BI87),X87*$BI87),0)</f>
        <v>0</v>
      </c>
      <c r="CB87" s="314">
        <f>IF($BI87&lt;&gt;"",IF('Capacity summary'!$D$14="Yes",IF(COUNTBLANK('Capacity summary'!$H206:$BG206)&lt;52,IF('Capacity summary'!Y206&lt;&gt;"",IF(LOWER('Capacity summary'!Y206)="x",$BI87*Y87,VALUE('Capacity summary'!Y206)),0),Y87*$BI87),Y87*$BI87),0)</f>
        <v>0</v>
      </c>
      <c r="CC87" s="314">
        <f>IF($BI87&lt;&gt;"",IF('Capacity summary'!$D$14="Yes",IF(COUNTBLANK('Capacity summary'!$H206:$BG206)&lt;52,IF('Capacity summary'!Z206&lt;&gt;"",IF(LOWER('Capacity summary'!Z206)="x",$BI87*Z87,VALUE('Capacity summary'!Z206)),0),Z87*$BI87),Z87*$BI87),0)</f>
        <v>0</v>
      </c>
      <c r="CD87" s="314">
        <f>IF($BI87&lt;&gt;"",IF('Capacity summary'!$D$14="Yes",IF(COUNTBLANK('Capacity summary'!$H206:$BG206)&lt;52,IF('Capacity summary'!AA206&lt;&gt;"",IF(LOWER('Capacity summary'!AA206)="x",$BI87*AA87,VALUE('Capacity summary'!AA206)),0),AA87*$BI87),AA87*$BI87),0)</f>
        <v>0</v>
      </c>
      <c r="CE87" s="314">
        <f>IF($BI87&lt;&gt;"",IF('Capacity summary'!$D$14="Yes",IF(COUNTBLANK('Capacity summary'!$H206:$BG206)&lt;52,IF('Capacity summary'!AB206&lt;&gt;"",IF(LOWER('Capacity summary'!AB206)="x",$BI87*AB87,VALUE('Capacity summary'!AB206)),0),AB87*$BI87),AB87*$BI87),0)</f>
        <v>0</v>
      </c>
      <c r="CF87" s="314">
        <f>IF($BI87&lt;&gt;"",IF('Capacity summary'!$D$14="Yes",IF(COUNTBLANK('Capacity summary'!$H206:$BG206)&lt;52,IF('Capacity summary'!AC206&lt;&gt;"",IF(LOWER('Capacity summary'!AC206)="x",$BI87*AC87,VALUE('Capacity summary'!AC206)),0),AC87*$BI87),AC87*$BI87),0)</f>
        <v>0</v>
      </c>
      <c r="CG87" s="314">
        <f>IF($BI87&lt;&gt;"",IF('Capacity summary'!$D$14="Yes",IF(COUNTBLANK('Capacity summary'!$H206:$BG206)&lt;52,IF('Capacity summary'!AD206&lt;&gt;"",IF(LOWER('Capacity summary'!AD206)="x",$BI87*AD87,VALUE('Capacity summary'!AD206)),0),AD87*$BI87),AD87*$BI87),0)</f>
        <v>0</v>
      </c>
      <c r="CH87" s="314">
        <f>IF($BI87&lt;&gt;"",IF('Capacity summary'!$D$14="Yes",IF(COUNTBLANK('Capacity summary'!$H206:$BG206)&lt;52,IF('Capacity summary'!AE206&lt;&gt;"",IF(LOWER('Capacity summary'!AE206)="x",$BI87*AE87,VALUE('Capacity summary'!AE206)),0),AE87*$BI87),AE87*$BI87),0)</f>
        <v>0</v>
      </c>
      <c r="CI87" s="314">
        <f>IF($BI87&lt;&gt;"",IF('Capacity summary'!$D$14="Yes",IF(COUNTBLANK('Capacity summary'!$H206:$BG206)&lt;52,IF('Capacity summary'!AF206&lt;&gt;"",IF(LOWER('Capacity summary'!AF206)="x",$BI87*AF87,VALUE('Capacity summary'!AF206)),0),AF87*$BI87),AF87*$BI87),0)</f>
        <v>0</v>
      </c>
      <c r="CJ87" s="314">
        <f>IF($BI87&lt;&gt;"",IF('Capacity summary'!$D$14="Yes",IF(COUNTBLANK('Capacity summary'!$H206:$BG206)&lt;52,IF('Capacity summary'!AG206&lt;&gt;"",IF(LOWER('Capacity summary'!AG206)="x",$BI87*AG87,VALUE('Capacity summary'!AG206)),0),AG87*$BI87),AG87*$BI87),0)</f>
        <v>0</v>
      </c>
      <c r="CK87" s="314">
        <f>IF($BI87&lt;&gt;"",IF('Capacity summary'!$D$14="Yes",IF(COUNTBLANK('Capacity summary'!$H206:$BG206)&lt;52,IF('Capacity summary'!AH206&lt;&gt;"",IF(LOWER('Capacity summary'!AH206)="x",$BI87*AH87,VALUE('Capacity summary'!AH206)),0),AH87*$BI87),AH87*$BI87),0)</f>
        <v>0</v>
      </c>
      <c r="CL87" s="314">
        <f>IF($BI87&lt;&gt;"",IF('Capacity summary'!$D$14="Yes",IF(COUNTBLANK('Capacity summary'!$H206:$BG206)&lt;52,IF('Capacity summary'!AI206&lt;&gt;"",IF(LOWER('Capacity summary'!AI206)="x",$BI87*AI87,VALUE('Capacity summary'!AI206)),0),AI87*$BI87),AI87*$BI87),0)</f>
        <v>0</v>
      </c>
      <c r="CM87" s="314">
        <f>IF($BI87&lt;&gt;"",IF('Capacity summary'!$D$14="Yes",IF(COUNTBLANK('Capacity summary'!$H206:$BG206)&lt;52,IF('Capacity summary'!AJ206&lt;&gt;"",IF(LOWER('Capacity summary'!AJ206)="x",$BI87*AJ87,VALUE('Capacity summary'!AJ206)),0),AJ87*$BI87),AJ87*$BI87),0)</f>
        <v>0</v>
      </c>
      <c r="CN87" s="314">
        <f>IF($BI87&lt;&gt;"",IF('Capacity summary'!$D$14="Yes",IF(COUNTBLANK('Capacity summary'!$H206:$BG206)&lt;52,IF('Capacity summary'!AK206&lt;&gt;"",IF(LOWER('Capacity summary'!AK206)="x",$BI87*AK87,VALUE('Capacity summary'!AK206)),0),AK87*$BI87),AK87*$BI87),0)</f>
        <v>0</v>
      </c>
      <c r="CO87" s="314">
        <f>IF($BI87&lt;&gt;"",IF('Capacity summary'!$D$14="Yes",IF(COUNTBLANK('Capacity summary'!$H206:$BG206)&lt;52,IF('Capacity summary'!AL206&lt;&gt;"",IF(LOWER('Capacity summary'!AL206)="x",$BI87*AL87,VALUE('Capacity summary'!AL206)),0),AL87*$BI87),AL87*$BI87),0)</f>
        <v>0</v>
      </c>
      <c r="CP87" s="314">
        <f>IF($BI87&lt;&gt;"",IF('Capacity summary'!$D$14="Yes",IF(COUNTBLANK('Capacity summary'!$H206:$BG206)&lt;52,IF('Capacity summary'!AM206&lt;&gt;"",IF(LOWER('Capacity summary'!AM206)="x",$BI87*AM87,VALUE('Capacity summary'!AM206)),0),AM87*$BI87),AM87*$BI87),0)</f>
        <v>0</v>
      </c>
      <c r="CQ87" s="314">
        <f>IF($BI87&lt;&gt;"",IF('Capacity summary'!$D$14="Yes",IF(COUNTBLANK('Capacity summary'!$H206:$BG206)&lt;52,IF('Capacity summary'!AN206&lt;&gt;"",IF(LOWER('Capacity summary'!AN206)="x",$BI87*AN87,VALUE('Capacity summary'!AN206)),0),AN87*$BI87),AN87*$BI87),0)</f>
        <v>0</v>
      </c>
      <c r="CR87" s="314">
        <f>IF($BI87&lt;&gt;"",IF('Capacity summary'!$D$14="Yes",IF(COUNTBLANK('Capacity summary'!$H206:$BG206)&lt;52,IF('Capacity summary'!AO206&lt;&gt;"",IF(LOWER('Capacity summary'!AO206)="x",$BI87*AO87,VALUE('Capacity summary'!AO206)),0),AO87*$BI87),AO87*$BI87),0)</f>
        <v>0</v>
      </c>
      <c r="CS87" s="314">
        <f>IF($BI87&lt;&gt;"",IF('Capacity summary'!$D$14="Yes",IF(COUNTBLANK('Capacity summary'!$H206:$BG206)&lt;52,IF('Capacity summary'!AP206&lt;&gt;"",IF(LOWER('Capacity summary'!AP206)="x",$BI87*AP87,VALUE('Capacity summary'!AP206)),0),AP87*$BI87),AP87*$BI87),0)</f>
        <v>0</v>
      </c>
      <c r="CT87" s="314">
        <f>IF($BI87&lt;&gt;"",IF('Capacity summary'!$D$14="Yes",IF(COUNTBLANK('Capacity summary'!$H206:$BG206)&lt;52,IF('Capacity summary'!AQ206&lt;&gt;"",IF(LOWER('Capacity summary'!AQ206)="x",$BI87*AQ87,VALUE('Capacity summary'!AQ206)),0),AQ87*$BI87),AQ87*$BI87),0)</f>
        <v>0</v>
      </c>
      <c r="CU87" s="314">
        <f>IF($BI87&lt;&gt;"",IF('Capacity summary'!$D$14="Yes",IF(COUNTBLANK('Capacity summary'!$H206:$BG206)&lt;52,IF('Capacity summary'!AR206&lt;&gt;"",IF(LOWER('Capacity summary'!AR206)="x",$BI87*AR87,VALUE('Capacity summary'!AR206)),0),AR87*$BI87),AR87*$BI87),0)</f>
        <v>0</v>
      </c>
      <c r="CV87" s="314">
        <f>IF($BI87&lt;&gt;"",IF('Capacity summary'!$D$14="Yes",IF(COUNTBLANK('Capacity summary'!$H206:$BG206)&lt;52,IF('Capacity summary'!AS206&lt;&gt;"",IF(LOWER('Capacity summary'!AS206)="x",$BI87*AS87,VALUE('Capacity summary'!AS206)),0),AS87*$BI87),AS87*$BI87),0)</f>
        <v>0</v>
      </c>
      <c r="CW87" s="314">
        <f>IF($BI87&lt;&gt;"",IF('Capacity summary'!$D$14="Yes",IF(COUNTBLANK('Capacity summary'!$H206:$BG206)&lt;52,IF('Capacity summary'!AT206&lt;&gt;"",IF(LOWER('Capacity summary'!AT206)="x",$BI87*AT87,VALUE('Capacity summary'!AT206)),0),AT87*$BI87),AT87*$BI87),0)</f>
        <v>0</v>
      </c>
      <c r="CX87" s="314">
        <f>IF($BI87&lt;&gt;"",IF('Capacity summary'!$D$14="Yes",IF(COUNTBLANK('Capacity summary'!$H206:$BG206)&lt;52,IF('Capacity summary'!AU206&lt;&gt;"",IF(LOWER('Capacity summary'!AU206)="x",$BI87*AU87,VALUE('Capacity summary'!AU206)),0),AU87*$BI87),AU87*$BI87),0)</f>
        <v>0</v>
      </c>
      <c r="CY87" s="314">
        <f>IF($BI87&lt;&gt;"",IF('Capacity summary'!$D$14="Yes",IF(COUNTBLANK('Capacity summary'!$H206:$BG206)&lt;52,IF('Capacity summary'!AV206&lt;&gt;"",IF(LOWER('Capacity summary'!AV206)="x",$BI87*AV87,VALUE('Capacity summary'!AV206)),0),AV87*$BI87),AV87*$BI87),0)</f>
        <v>0</v>
      </c>
      <c r="CZ87" s="314">
        <f>IF($BI87&lt;&gt;"",IF('Capacity summary'!$D$14="Yes",IF(COUNTBLANK('Capacity summary'!$H206:$BG206)&lt;52,IF('Capacity summary'!AW206&lt;&gt;"",IF(LOWER('Capacity summary'!AW206)="x",$BI87*AW87,VALUE('Capacity summary'!AW206)),0),AW87*$BI87),AW87*$BI87),0)</f>
        <v>0</v>
      </c>
      <c r="DA87" s="314">
        <f>IF($BI87&lt;&gt;"",IF('Capacity summary'!$D$14="Yes",IF(COUNTBLANK('Capacity summary'!$H206:$BG206)&lt;52,IF('Capacity summary'!AX206&lt;&gt;"",IF(LOWER('Capacity summary'!AX206)="x",$BI87*AX87,VALUE('Capacity summary'!AX206)),0),AX87*$BI87),AX87*$BI87),0)</f>
        <v>0</v>
      </c>
      <c r="DB87" s="314">
        <f>IF($BI87&lt;&gt;"",IF('Capacity summary'!$D$14="Yes",IF(COUNTBLANK('Capacity summary'!$H206:$BG206)&lt;52,IF('Capacity summary'!AY206&lt;&gt;"",IF(LOWER('Capacity summary'!AY206)="x",$BI87*AY87,VALUE('Capacity summary'!AY206)),0),AY87*$BI87),AY87*$BI87),0)</f>
        <v>0</v>
      </c>
      <c r="DC87" s="314">
        <f>IF($BI87&lt;&gt;"",IF('Capacity summary'!$D$14="Yes",IF(COUNTBLANK('Capacity summary'!$H206:$BG206)&lt;52,IF('Capacity summary'!AZ206&lt;&gt;"",IF(LOWER('Capacity summary'!AZ206)="x",$BI87*AZ87,VALUE('Capacity summary'!AZ206)),0),AZ87*$BI87),AZ87*$BI87),0)</f>
        <v>0</v>
      </c>
      <c r="DD87" s="314">
        <f>IF($BI87&lt;&gt;"",IF('Capacity summary'!$D$14="Yes",IF(COUNTBLANK('Capacity summary'!$H206:$BG206)&lt;52,IF('Capacity summary'!BA206&lt;&gt;"",IF(LOWER('Capacity summary'!BA206)="x",$BI87*BA87,VALUE('Capacity summary'!BA206)),0),BA87*$BI87),BA87*$BI87),0)</f>
        <v>0</v>
      </c>
      <c r="DE87" s="314">
        <f>IF($BI87&lt;&gt;"",IF('Capacity summary'!$D$14="Yes",IF(COUNTBLANK('Capacity summary'!$H206:$BG206)&lt;52,IF('Capacity summary'!BB206&lt;&gt;"",IF(LOWER('Capacity summary'!BB206)="x",$BI87*BB87,VALUE('Capacity summary'!BB206)),0),BB87*$BI87),BB87*$BI87),0)</f>
        <v>0</v>
      </c>
      <c r="DF87" s="314">
        <f>IF($BI87&lt;&gt;"",IF('Capacity summary'!$D$14="Yes",IF(COUNTBLANK('Capacity summary'!$H206:$BG206)&lt;52,IF('Capacity summary'!BC206&lt;&gt;"",IF(LOWER('Capacity summary'!BC206)="x",$BI87*BC87,VALUE('Capacity summary'!BC206)),0),BC87*$BI87),BC87*$BI87),0)</f>
        <v>0</v>
      </c>
      <c r="DG87" s="314">
        <f>IF($BI87&lt;&gt;"",IF('Capacity summary'!$D$14="Yes",IF(COUNTBLANK('Capacity summary'!$H206:$BG206)&lt;52,IF('Capacity summary'!BD206&lt;&gt;"",IF(LOWER('Capacity summary'!BD206)="x",$BI87*BD87,VALUE('Capacity summary'!BD206)),0),BD87*$BI87),BD87*$BI87),0)</f>
        <v>0</v>
      </c>
      <c r="DH87" s="314">
        <f>IF($BI87&lt;&gt;"",IF('Capacity summary'!$D$14="Yes",IF(COUNTBLANK('Capacity summary'!$H206:$BG206)&lt;52,IF('Capacity summary'!BE206&lt;&gt;"",IF(LOWER('Capacity summary'!BE206)="x",$BI87*BE87,VALUE('Capacity summary'!BE206)),0),BE87*$BI87),BE87*$BI87),0)</f>
        <v>0</v>
      </c>
      <c r="DI87" s="314">
        <f>IF($BI87&lt;&gt;"",IF('Capacity summary'!$D$14="Yes",IF(COUNTBLANK('Capacity summary'!$H206:$BG206)&lt;52,IF('Capacity summary'!BF206&lt;&gt;"",IF(LOWER('Capacity summary'!BF206)="x",$BI87*BF87,VALUE('Capacity summary'!BF206)),0),BF87*$BI87),BF87*$BI87),0)</f>
        <v>0</v>
      </c>
      <c r="DJ87" s="314">
        <f>IF($BI87&lt;&gt;"",IF('Capacity summary'!$D$14="Yes",IF(COUNTBLANK('Capacity summary'!$H206:$BG206)&lt;52,IF('Capacity summary'!BG206&lt;&gt;"",IF(LOWER('Capacity summary'!BG206)="x",$BI87*BG87,VALUE('Capacity summary'!BG206)),0),BG87*$BI87),BG87*$BI87),0)</f>
        <v>0</v>
      </c>
      <c r="DK87" s="137">
        <f t="shared" si="3"/>
        <v>0</v>
      </c>
      <c r="DL87" s="314"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4">
        <f>IF($BI88&lt;&gt;"",IF('Capacity summary'!$D$14="Yes",IF(COUNTBLANK('Capacity summary'!$H207:$BG207)&lt;52,IF('Capacity summary'!H207&lt;&gt;"",IF(LOWER('Capacity summary'!H207)="x",$BI88*H88,VALUE('Capacity summary'!H207)),0),H88*$BI88),H88*$BI88),0)</f>
        <v>0</v>
      </c>
      <c r="BL88" s="314">
        <f>IF($BI88&lt;&gt;"",IF('Capacity summary'!$D$14="Yes",IF(COUNTBLANK('Capacity summary'!$H207:$BG207)&lt;52,IF('Capacity summary'!I207&lt;&gt;"",IF(LOWER('Capacity summary'!I207)="x",$BI88*I88,VALUE('Capacity summary'!I207)),0),I88*$BI88),I88*$BI88),0)</f>
        <v>0</v>
      </c>
      <c r="BM88" s="314">
        <f>IF($BI88&lt;&gt;"",IF('Capacity summary'!$D$14="Yes",IF(COUNTBLANK('Capacity summary'!$H207:$BG207)&lt;52,IF('Capacity summary'!J207&lt;&gt;"",IF(LOWER('Capacity summary'!J207)="x",$BI88*J88,VALUE('Capacity summary'!J207)),0),J88*$BI88),J88*$BI88),0)</f>
        <v>0</v>
      </c>
      <c r="BN88" s="314">
        <f>IF($BI88&lt;&gt;"",IF('Capacity summary'!$D$14="Yes",IF(COUNTBLANK('Capacity summary'!$H207:$BG207)&lt;52,IF('Capacity summary'!K207&lt;&gt;"",IF(LOWER('Capacity summary'!K207)="x",$BI88*K88,VALUE('Capacity summary'!K207)),0),K88*$BI88),K88*$BI88),0)</f>
        <v>0</v>
      </c>
      <c r="BO88" s="314">
        <f>IF($BI88&lt;&gt;"",IF('Capacity summary'!$D$14="Yes",IF(COUNTBLANK('Capacity summary'!$H207:$BG207)&lt;52,IF('Capacity summary'!L207&lt;&gt;"",IF(LOWER('Capacity summary'!L207)="x",$BI88*L88,VALUE('Capacity summary'!L207)),0),L88*$BI88),L88*$BI88),0)</f>
        <v>0</v>
      </c>
      <c r="BP88" s="314">
        <f>IF($BI88&lt;&gt;"",IF('Capacity summary'!$D$14="Yes",IF(COUNTBLANK('Capacity summary'!$H207:$BG207)&lt;52,IF('Capacity summary'!M207&lt;&gt;"",IF(LOWER('Capacity summary'!M207)="x",$BI88*M88,VALUE('Capacity summary'!M207)),0),M88*$BI88),M88*$BI88),0)</f>
        <v>0</v>
      </c>
      <c r="BQ88" s="314">
        <f>IF($BI88&lt;&gt;"",IF('Capacity summary'!$D$14="Yes",IF(COUNTBLANK('Capacity summary'!$H207:$BG207)&lt;52,IF('Capacity summary'!N207&lt;&gt;"",IF(LOWER('Capacity summary'!N207)="x",$BI88*N88,VALUE('Capacity summary'!N207)),0),N88*$BI88),N88*$BI88),0)</f>
        <v>0</v>
      </c>
      <c r="BR88" s="314">
        <f>IF($BI88&lt;&gt;"",IF('Capacity summary'!$D$14="Yes",IF(COUNTBLANK('Capacity summary'!$H207:$BG207)&lt;52,IF('Capacity summary'!O207&lt;&gt;"",IF(LOWER('Capacity summary'!O207)="x",$BI88*O88,VALUE('Capacity summary'!O207)),0),O88*$BI88),O88*$BI88),0)</f>
        <v>0</v>
      </c>
      <c r="BS88" s="314">
        <f>IF($BI88&lt;&gt;"",IF('Capacity summary'!$D$14="Yes",IF(COUNTBLANK('Capacity summary'!$H207:$BG207)&lt;52,IF('Capacity summary'!P207&lt;&gt;"",IF(LOWER('Capacity summary'!P207)="x",$BI88*P88,VALUE('Capacity summary'!P207)),0),P88*$BI88),P88*$BI88),0)</f>
        <v>0</v>
      </c>
      <c r="BT88" s="314">
        <f>IF($BI88&lt;&gt;"",IF('Capacity summary'!$D$14="Yes",IF(COUNTBLANK('Capacity summary'!$H207:$BG207)&lt;52,IF('Capacity summary'!Q207&lt;&gt;"",IF(LOWER('Capacity summary'!Q207)="x",$BI88*Q88,VALUE('Capacity summary'!Q207)),0),Q88*$BI88),Q88*$BI88),0)</f>
        <v>0</v>
      </c>
      <c r="BU88" s="314">
        <f>IF($BI88&lt;&gt;"",IF('Capacity summary'!$D$14="Yes",IF(COUNTBLANK('Capacity summary'!$H207:$BG207)&lt;52,IF('Capacity summary'!R207&lt;&gt;"",IF(LOWER('Capacity summary'!R207)="x",$BI88*R88,VALUE('Capacity summary'!R207)),0),R88*$BI88),R88*$BI88),0)</f>
        <v>0</v>
      </c>
      <c r="BV88" s="314">
        <f>IF($BI88&lt;&gt;"",IF('Capacity summary'!$D$14="Yes",IF(COUNTBLANK('Capacity summary'!$H207:$BG207)&lt;52,IF('Capacity summary'!S207&lt;&gt;"",IF(LOWER('Capacity summary'!S207)="x",$BI88*S88,VALUE('Capacity summary'!S207)),0),S88*$BI88),S88*$BI88),0)</f>
        <v>0</v>
      </c>
      <c r="BW88" s="314">
        <f>IF($BI88&lt;&gt;"",IF('Capacity summary'!$D$14="Yes",IF(COUNTBLANK('Capacity summary'!$H207:$BG207)&lt;52,IF('Capacity summary'!T207&lt;&gt;"",IF(LOWER('Capacity summary'!T207)="x",$BI88*T88,VALUE('Capacity summary'!T207)),0),T88*$BI88),T88*$BI88),0)</f>
        <v>0</v>
      </c>
      <c r="BX88" s="314">
        <f>IF($BI88&lt;&gt;"",IF('Capacity summary'!$D$14="Yes",IF(COUNTBLANK('Capacity summary'!$H207:$BG207)&lt;52,IF('Capacity summary'!U207&lt;&gt;"",IF(LOWER('Capacity summary'!U207)="x",$BI88*U88,VALUE('Capacity summary'!U207)),0),U88*$BI88),U88*$BI88),0)</f>
        <v>0</v>
      </c>
      <c r="BY88" s="314">
        <f>IF($BI88&lt;&gt;"",IF('Capacity summary'!$D$14="Yes",IF(COUNTBLANK('Capacity summary'!$H207:$BG207)&lt;52,IF('Capacity summary'!V207&lt;&gt;"",IF(LOWER('Capacity summary'!V207)="x",$BI88*V88,VALUE('Capacity summary'!V207)),0),V88*$BI88),V88*$BI88),0)</f>
        <v>0</v>
      </c>
      <c r="BZ88" s="314">
        <f>IF($BI88&lt;&gt;"",IF('Capacity summary'!$D$14="Yes",IF(COUNTBLANK('Capacity summary'!$H207:$BG207)&lt;52,IF('Capacity summary'!W207&lt;&gt;"",IF(LOWER('Capacity summary'!W207)="x",$BI88*W88,VALUE('Capacity summary'!W207)),0),W88*$BI88),W88*$BI88),0)</f>
        <v>0</v>
      </c>
      <c r="CA88" s="314">
        <f>IF($BI88&lt;&gt;"",IF('Capacity summary'!$D$14="Yes",IF(COUNTBLANK('Capacity summary'!$H207:$BG207)&lt;52,IF('Capacity summary'!X207&lt;&gt;"",IF(LOWER('Capacity summary'!X207)="x",$BI88*X88,VALUE('Capacity summary'!X207)),0),X88*$BI88),X88*$BI88),0)</f>
        <v>0</v>
      </c>
      <c r="CB88" s="314">
        <f>IF($BI88&lt;&gt;"",IF('Capacity summary'!$D$14="Yes",IF(COUNTBLANK('Capacity summary'!$H207:$BG207)&lt;52,IF('Capacity summary'!Y207&lt;&gt;"",IF(LOWER('Capacity summary'!Y207)="x",$BI88*Y88,VALUE('Capacity summary'!Y207)),0),Y88*$BI88),Y88*$BI88),0)</f>
        <v>0</v>
      </c>
      <c r="CC88" s="314">
        <f>IF($BI88&lt;&gt;"",IF('Capacity summary'!$D$14="Yes",IF(COUNTBLANK('Capacity summary'!$H207:$BG207)&lt;52,IF('Capacity summary'!Z207&lt;&gt;"",IF(LOWER('Capacity summary'!Z207)="x",$BI88*Z88,VALUE('Capacity summary'!Z207)),0),Z88*$BI88),Z88*$BI88),0)</f>
        <v>0</v>
      </c>
      <c r="CD88" s="314">
        <f>IF($BI88&lt;&gt;"",IF('Capacity summary'!$D$14="Yes",IF(COUNTBLANK('Capacity summary'!$H207:$BG207)&lt;52,IF('Capacity summary'!AA207&lt;&gt;"",IF(LOWER('Capacity summary'!AA207)="x",$BI88*AA88,VALUE('Capacity summary'!AA207)),0),AA88*$BI88),AA88*$BI88),0)</f>
        <v>0</v>
      </c>
      <c r="CE88" s="314">
        <f>IF($BI88&lt;&gt;"",IF('Capacity summary'!$D$14="Yes",IF(COUNTBLANK('Capacity summary'!$H207:$BG207)&lt;52,IF('Capacity summary'!AB207&lt;&gt;"",IF(LOWER('Capacity summary'!AB207)="x",$BI88*AB88,VALUE('Capacity summary'!AB207)),0),AB88*$BI88),AB88*$BI88),0)</f>
        <v>0</v>
      </c>
      <c r="CF88" s="314">
        <f>IF($BI88&lt;&gt;"",IF('Capacity summary'!$D$14="Yes",IF(COUNTBLANK('Capacity summary'!$H207:$BG207)&lt;52,IF('Capacity summary'!AC207&lt;&gt;"",IF(LOWER('Capacity summary'!AC207)="x",$BI88*AC88,VALUE('Capacity summary'!AC207)),0),AC88*$BI88),AC88*$BI88),0)</f>
        <v>0</v>
      </c>
      <c r="CG88" s="314">
        <f>IF($BI88&lt;&gt;"",IF('Capacity summary'!$D$14="Yes",IF(COUNTBLANK('Capacity summary'!$H207:$BG207)&lt;52,IF('Capacity summary'!AD207&lt;&gt;"",IF(LOWER('Capacity summary'!AD207)="x",$BI88*AD88,VALUE('Capacity summary'!AD207)),0),AD88*$BI88),AD88*$BI88),0)</f>
        <v>0</v>
      </c>
      <c r="CH88" s="314">
        <f>IF($BI88&lt;&gt;"",IF('Capacity summary'!$D$14="Yes",IF(COUNTBLANK('Capacity summary'!$H207:$BG207)&lt;52,IF('Capacity summary'!AE207&lt;&gt;"",IF(LOWER('Capacity summary'!AE207)="x",$BI88*AE88,VALUE('Capacity summary'!AE207)),0),AE88*$BI88),AE88*$BI88),0)</f>
        <v>0</v>
      </c>
      <c r="CI88" s="314">
        <f>IF($BI88&lt;&gt;"",IF('Capacity summary'!$D$14="Yes",IF(COUNTBLANK('Capacity summary'!$H207:$BG207)&lt;52,IF('Capacity summary'!AF207&lt;&gt;"",IF(LOWER('Capacity summary'!AF207)="x",$BI88*AF88,VALUE('Capacity summary'!AF207)),0),AF88*$BI88),AF88*$BI88),0)</f>
        <v>0</v>
      </c>
      <c r="CJ88" s="314">
        <f>IF($BI88&lt;&gt;"",IF('Capacity summary'!$D$14="Yes",IF(COUNTBLANK('Capacity summary'!$H207:$BG207)&lt;52,IF('Capacity summary'!AG207&lt;&gt;"",IF(LOWER('Capacity summary'!AG207)="x",$BI88*AG88,VALUE('Capacity summary'!AG207)),0),AG88*$BI88),AG88*$BI88),0)</f>
        <v>0</v>
      </c>
      <c r="CK88" s="314">
        <f>IF($BI88&lt;&gt;"",IF('Capacity summary'!$D$14="Yes",IF(COUNTBLANK('Capacity summary'!$H207:$BG207)&lt;52,IF('Capacity summary'!AH207&lt;&gt;"",IF(LOWER('Capacity summary'!AH207)="x",$BI88*AH88,VALUE('Capacity summary'!AH207)),0),AH88*$BI88),AH88*$BI88),0)</f>
        <v>0</v>
      </c>
      <c r="CL88" s="314">
        <f>IF($BI88&lt;&gt;"",IF('Capacity summary'!$D$14="Yes",IF(COUNTBLANK('Capacity summary'!$H207:$BG207)&lt;52,IF('Capacity summary'!AI207&lt;&gt;"",IF(LOWER('Capacity summary'!AI207)="x",$BI88*AI88,VALUE('Capacity summary'!AI207)),0),AI88*$BI88),AI88*$BI88),0)</f>
        <v>0</v>
      </c>
      <c r="CM88" s="314">
        <f>IF($BI88&lt;&gt;"",IF('Capacity summary'!$D$14="Yes",IF(COUNTBLANK('Capacity summary'!$H207:$BG207)&lt;52,IF('Capacity summary'!AJ207&lt;&gt;"",IF(LOWER('Capacity summary'!AJ207)="x",$BI88*AJ88,VALUE('Capacity summary'!AJ207)),0),AJ88*$BI88),AJ88*$BI88),0)</f>
        <v>0</v>
      </c>
      <c r="CN88" s="314">
        <f>IF($BI88&lt;&gt;"",IF('Capacity summary'!$D$14="Yes",IF(COUNTBLANK('Capacity summary'!$H207:$BG207)&lt;52,IF('Capacity summary'!AK207&lt;&gt;"",IF(LOWER('Capacity summary'!AK207)="x",$BI88*AK88,VALUE('Capacity summary'!AK207)),0),AK88*$BI88),AK88*$BI88),0)</f>
        <v>0</v>
      </c>
      <c r="CO88" s="314">
        <f>IF($BI88&lt;&gt;"",IF('Capacity summary'!$D$14="Yes",IF(COUNTBLANK('Capacity summary'!$H207:$BG207)&lt;52,IF('Capacity summary'!AL207&lt;&gt;"",IF(LOWER('Capacity summary'!AL207)="x",$BI88*AL88,VALUE('Capacity summary'!AL207)),0),AL88*$BI88),AL88*$BI88),0)</f>
        <v>0</v>
      </c>
      <c r="CP88" s="314">
        <f>IF($BI88&lt;&gt;"",IF('Capacity summary'!$D$14="Yes",IF(COUNTBLANK('Capacity summary'!$H207:$BG207)&lt;52,IF('Capacity summary'!AM207&lt;&gt;"",IF(LOWER('Capacity summary'!AM207)="x",$BI88*AM88,VALUE('Capacity summary'!AM207)),0),AM88*$BI88),AM88*$BI88),0)</f>
        <v>0</v>
      </c>
      <c r="CQ88" s="314">
        <f>IF($BI88&lt;&gt;"",IF('Capacity summary'!$D$14="Yes",IF(COUNTBLANK('Capacity summary'!$H207:$BG207)&lt;52,IF('Capacity summary'!AN207&lt;&gt;"",IF(LOWER('Capacity summary'!AN207)="x",$BI88*AN88,VALUE('Capacity summary'!AN207)),0),AN88*$BI88),AN88*$BI88),0)</f>
        <v>0</v>
      </c>
      <c r="CR88" s="314">
        <f>IF($BI88&lt;&gt;"",IF('Capacity summary'!$D$14="Yes",IF(COUNTBLANK('Capacity summary'!$H207:$BG207)&lt;52,IF('Capacity summary'!AO207&lt;&gt;"",IF(LOWER('Capacity summary'!AO207)="x",$BI88*AO88,VALUE('Capacity summary'!AO207)),0),AO88*$BI88),AO88*$BI88),0)</f>
        <v>0</v>
      </c>
      <c r="CS88" s="314">
        <f>IF($BI88&lt;&gt;"",IF('Capacity summary'!$D$14="Yes",IF(COUNTBLANK('Capacity summary'!$H207:$BG207)&lt;52,IF('Capacity summary'!AP207&lt;&gt;"",IF(LOWER('Capacity summary'!AP207)="x",$BI88*AP88,VALUE('Capacity summary'!AP207)),0),AP88*$BI88),AP88*$BI88),0)</f>
        <v>0</v>
      </c>
      <c r="CT88" s="314">
        <f>IF($BI88&lt;&gt;"",IF('Capacity summary'!$D$14="Yes",IF(COUNTBLANK('Capacity summary'!$H207:$BG207)&lt;52,IF('Capacity summary'!AQ207&lt;&gt;"",IF(LOWER('Capacity summary'!AQ207)="x",$BI88*AQ88,VALUE('Capacity summary'!AQ207)),0),AQ88*$BI88),AQ88*$BI88),0)</f>
        <v>0</v>
      </c>
      <c r="CU88" s="314">
        <f>IF($BI88&lt;&gt;"",IF('Capacity summary'!$D$14="Yes",IF(COUNTBLANK('Capacity summary'!$H207:$BG207)&lt;52,IF('Capacity summary'!AR207&lt;&gt;"",IF(LOWER('Capacity summary'!AR207)="x",$BI88*AR88,VALUE('Capacity summary'!AR207)),0),AR88*$BI88),AR88*$BI88),0)</f>
        <v>0</v>
      </c>
      <c r="CV88" s="314">
        <f>IF($BI88&lt;&gt;"",IF('Capacity summary'!$D$14="Yes",IF(COUNTBLANK('Capacity summary'!$H207:$BG207)&lt;52,IF('Capacity summary'!AS207&lt;&gt;"",IF(LOWER('Capacity summary'!AS207)="x",$BI88*AS88,VALUE('Capacity summary'!AS207)),0),AS88*$BI88),AS88*$BI88),0)</f>
        <v>0</v>
      </c>
      <c r="CW88" s="314">
        <f>IF($BI88&lt;&gt;"",IF('Capacity summary'!$D$14="Yes",IF(COUNTBLANK('Capacity summary'!$H207:$BG207)&lt;52,IF('Capacity summary'!AT207&lt;&gt;"",IF(LOWER('Capacity summary'!AT207)="x",$BI88*AT88,VALUE('Capacity summary'!AT207)),0),AT88*$BI88),AT88*$BI88),0)</f>
        <v>0</v>
      </c>
      <c r="CX88" s="314">
        <f>IF($BI88&lt;&gt;"",IF('Capacity summary'!$D$14="Yes",IF(COUNTBLANK('Capacity summary'!$H207:$BG207)&lt;52,IF('Capacity summary'!AU207&lt;&gt;"",IF(LOWER('Capacity summary'!AU207)="x",$BI88*AU88,VALUE('Capacity summary'!AU207)),0),AU88*$BI88),AU88*$BI88),0)</f>
        <v>0</v>
      </c>
      <c r="CY88" s="314">
        <f>IF($BI88&lt;&gt;"",IF('Capacity summary'!$D$14="Yes",IF(COUNTBLANK('Capacity summary'!$H207:$BG207)&lt;52,IF('Capacity summary'!AV207&lt;&gt;"",IF(LOWER('Capacity summary'!AV207)="x",$BI88*AV88,VALUE('Capacity summary'!AV207)),0),AV88*$BI88),AV88*$BI88),0)</f>
        <v>0</v>
      </c>
      <c r="CZ88" s="314">
        <f>IF($BI88&lt;&gt;"",IF('Capacity summary'!$D$14="Yes",IF(COUNTBLANK('Capacity summary'!$H207:$BG207)&lt;52,IF('Capacity summary'!AW207&lt;&gt;"",IF(LOWER('Capacity summary'!AW207)="x",$BI88*AW88,VALUE('Capacity summary'!AW207)),0),AW88*$BI88),AW88*$BI88),0)</f>
        <v>0</v>
      </c>
      <c r="DA88" s="314">
        <f>IF($BI88&lt;&gt;"",IF('Capacity summary'!$D$14="Yes",IF(COUNTBLANK('Capacity summary'!$H207:$BG207)&lt;52,IF('Capacity summary'!AX207&lt;&gt;"",IF(LOWER('Capacity summary'!AX207)="x",$BI88*AX88,VALUE('Capacity summary'!AX207)),0),AX88*$BI88),AX88*$BI88),0)</f>
        <v>0</v>
      </c>
      <c r="DB88" s="314">
        <f>IF($BI88&lt;&gt;"",IF('Capacity summary'!$D$14="Yes",IF(COUNTBLANK('Capacity summary'!$H207:$BG207)&lt;52,IF('Capacity summary'!AY207&lt;&gt;"",IF(LOWER('Capacity summary'!AY207)="x",$BI88*AY88,VALUE('Capacity summary'!AY207)),0),AY88*$BI88),AY88*$BI88),0)</f>
        <v>0</v>
      </c>
      <c r="DC88" s="314">
        <f>IF($BI88&lt;&gt;"",IF('Capacity summary'!$D$14="Yes",IF(COUNTBLANK('Capacity summary'!$H207:$BG207)&lt;52,IF('Capacity summary'!AZ207&lt;&gt;"",IF(LOWER('Capacity summary'!AZ207)="x",$BI88*AZ88,VALUE('Capacity summary'!AZ207)),0),AZ88*$BI88),AZ88*$BI88),0)</f>
        <v>0</v>
      </c>
      <c r="DD88" s="314">
        <f>IF($BI88&lt;&gt;"",IF('Capacity summary'!$D$14="Yes",IF(COUNTBLANK('Capacity summary'!$H207:$BG207)&lt;52,IF('Capacity summary'!BA207&lt;&gt;"",IF(LOWER('Capacity summary'!BA207)="x",$BI88*BA88,VALUE('Capacity summary'!BA207)),0),BA88*$BI88),BA88*$BI88),0)</f>
        <v>0</v>
      </c>
      <c r="DE88" s="314">
        <f>IF($BI88&lt;&gt;"",IF('Capacity summary'!$D$14="Yes",IF(COUNTBLANK('Capacity summary'!$H207:$BG207)&lt;52,IF('Capacity summary'!BB207&lt;&gt;"",IF(LOWER('Capacity summary'!BB207)="x",$BI88*BB88,VALUE('Capacity summary'!BB207)),0),BB88*$BI88),BB88*$BI88),0)</f>
        <v>0</v>
      </c>
      <c r="DF88" s="314">
        <f>IF($BI88&lt;&gt;"",IF('Capacity summary'!$D$14="Yes",IF(COUNTBLANK('Capacity summary'!$H207:$BG207)&lt;52,IF('Capacity summary'!BC207&lt;&gt;"",IF(LOWER('Capacity summary'!BC207)="x",$BI88*BC88,VALUE('Capacity summary'!BC207)),0),BC88*$BI88),BC88*$BI88),0)</f>
        <v>0</v>
      </c>
      <c r="DG88" s="314">
        <f>IF($BI88&lt;&gt;"",IF('Capacity summary'!$D$14="Yes",IF(COUNTBLANK('Capacity summary'!$H207:$BG207)&lt;52,IF('Capacity summary'!BD207&lt;&gt;"",IF(LOWER('Capacity summary'!BD207)="x",$BI88*BD88,VALUE('Capacity summary'!BD207)),0),BD88*$BI88),BD88*$BI88),0)</f>
        <v>0</v>
      </c>
      <c r="DH88" s="314">
        <f>IF($BI88&lt;&gt;"",IF('Capacity summary'!$D$14="Yes",IF(COUNTBLANK('Capacity summary'!$H207:$BG207)&lt;52,IF('Capacity summary'!BE207&lt;&gt;"",IF(LOWER('Capacity summary'!BE207)="x",$BI88*BE88,VALUE('Capacity summary'!BE207)),0),BE88*$BI88),BE88*$BI88),0)</f>
        <v>0</v>
      </c>
      <c r="DI88" s="314">
        <f>IF($BI88&lt;&gt;"",IF('Capacity summary'!$D$14="Yes",IF(COUNTBLANK('Capacity summary'!$H207:$BG207)&lt;52,IF('Capacity summary'!BF207&lt;&gt;"",IF(LOWER('Capacity summary'!BF207)="x",$BI88*BF88,VALUE('Capacity summary'!BF207)),0),BF88*$BI88),BF88*$BI88),0)</f>
        <v>0</v>
      </c>
      <c r="DJ88" s="314">
        <f>IF($BI88&lt;&gt;"",IF('Capacity summary'!$D$14="Yes",IF(COUNTBLANK('Capacity summary'!$H207:$BG207)&lt;52,IF('Capacity summary'!BG207&lt;&gt;"",IF(LOWER('Capacity summary'!BG207)="x",$BI88*BG88,VALUE('Capacity summary'!BG207)),0),BG88*$BI88),BG88*$BI88),0)</f>
        <v>0</v>
      </c>
      <c r="DK88" s="137">
        <f t="shared" si="3"/>
        <v>0</v>
      </c>
      <c r="DL88" s="314"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4">
        <f>IF($BI89&lt;&gt;"",IF('Capacity summary'!$D$14="Yes",IF(COUNTBLANK('Capacity summary'!$H208:$BG208)&lt;52,IF('Capacity summary'!H208&lt;&gt;"",IF(LOWER('Capacity summary'!H208)="x",$BI89*H89,VALUE('Capacity summary'!H208)),0),H89*$BI89),H89*$BI89),0)</f>
        <v>0</v>
      </c>
      <c r="BL89" s="314">
        <f>IF($BI89&lt;&gt;"",IF('Capacity summary'!$D$14="Yes",IF(COUNTBLANK('Capacity summary'!$H208:$BG208)&lt;52,IF('Capacity summary'!I208&lt;&gt;"",IF(LOWER('Capacity summary'!I208)="x",$BI89*I89,VALUE('Capacity summary'!I208)),0),I89*$BI89),I89*$BI89),0)</f>
        <v>0</v>
      </c>
      <c r="BM89" s="314">
        <f>IF($BI89&lt;&gt;"",IF('Capacity summary'!$D$14="Yes",IF(COUNTBLANK('Capacity summary'!$H208:$BG208)&lt;52,IF('Capacity summary'!J208&lt;&gt;"",IF(LOWER('Capacity summary'!J208)="x",$BI89*J89,VALUE('Capacity summary'!J208)),0),J89*$BI89),J89*$BI89),0)</f>
        <v>0</v>
      </c>
      <c r="BN89" s="314">
        <f>IF($BI89&lt;&gt;"",IF('Capacity summary'!$D$14="Yes",IF(COUNTBLANK('Capacity summary'!$H208:$BG208)&lt;52,IF('Capacity summary'!K208&lt;&gt;"",IF(LOWER('Capacity summary'!K208)="x",$BI89*K89,VALUE('Capacity summary'!K208)),0),K89*$BI89),K89*$BI89),0)</f>
        <v>0</v>
      </c>
      <c r="BO89" s="314">
        <f>IF($BI89&lt;&gt;"",IF('Capacity summary'!$D$14="Yes",IF(COUNTBLANK('Capacity summary'!$H208:$BG208)&lt;52,IF('Capacity summary'!L208&lt;&gt;"",IF(LOWER('Capacity summary'!L208)="x",$BI89*L89,VALUE('Capacity summary'!L208)),0),L89*$BI89),L89*$BI89),0)</f>
        <v>0</v>
      </c>
      <c r="BP89" s="314">
        <f>IF($BI89&lt;&gt;"",IF('Capacity summary'!$D$14="Yes",IF(COUNTBLANK('Capacity summary'!$H208:$BG208)&lt;52,IF('Capacity summary'!M208&lt;&gt;"",IF(LOWER('Capacity summary'!M208)="x",$BI89*M89,VALUE('Capacity summary'!M208)),0),M89*$BI89),M89*$BI89),0)</f>
        <v>0</v>
      </c>
      <c r="BQ89" s="314">
        <f>IF($BI89&lt;&gt;"",IF('Capacity summary'!$D$14="Yes",IF(COUNTBLANK('Capacity summary'!$H208:$BG208)&lt;52,IF('Capacity summary'!N208&lt;&gt;"",IF(LOWER('Capacity summary'!N208)="x",$BI89*N89,VALUE('Capacity summary'!N208)),0),N89*$BI89),N89*$BI89),0)</f>
        <v>0</v>
      </c>
      <c r="BR89" s="314">
        <f>IF($BI89&lt;&gt;"",IF('Capacity summary'!$D$14="Yes",IF(COUNTBLANK('Capacity summary'!$H208:$BG208)&lt;52,IF('Capacity summary'!O208&lt;&gt;"",IF(LOWER('Capacity summary'!O208)="x",$BI89*O89,VALUE('Capacity summary'!O208)),0),O89*$BI89),O89*$BI89),0)</f>
        <v>0</v>
      </c>
      <c r="BS89" s="314">
        <f>IF($BI89&lt;&gt;"",IF('Capacity summary'!$D$14="Yes",IF(COUNTBLANK('Capacity summary'!$H208:$BG208)&lt;52,IF('Capacity summary'!P208&lt;&gt;"",IF(LOWER('Capacity summary'!P208)="x",$BI89*P89,VALUE('Capacity summary'!P208)),0),P89*$BI89),P89*$BI89),0)</f>
        <v>0</v>
      </c>
      <c r="BT89" s="314">
        <f>IF($BI89&lt;&gt;"",IF('Capacity summary'!$D$14="Yes",IF(COUNTBLANK('Capacity summary'!$H208:$BG208)&lt;52,IF('Capacity summary'!Q208&lt;&gt;"",IF(LOWER('Capacity summary'!Q208)="x",$BI89*Q89,VALUE('Capacity summary'!Q208)),0),Q89*$BI89),Q89*$BI89),0)</f>
        <v>0</v>
      </c>
      <c r="BU89" s="314">
        <f>IF($BI89&lt;&gt;"",IF('Capacity summary'!$D$14="Yes",IF(COUNTBLANK('Capacity summary'!$H208:$BG208)&lt;52,IF('Capacity summary'!R208&lt;&gt;"",IF(LOWER('Capacity summary'!R208)="x",$BI89*R89,VALUE('Capacity summary'!R208)),0),R89*$BI89),R89*$BI89),0)</f>
        <v>0</v>
      </c>
      <c r="BV89" s="314">
        <f>IF($BI89&lt;&gt;"",IF('Capacity summary'!$D$14="Yes",IF(COUNTBLANK('Capacity summary'!$H208:$BG208)&lt;52,IF('Capacity summary'!S208&lt;&gt;"",IF(LOWER('Capacity summary'!S208)="x",$BI89*S89,VALUE('Capacity summary'!S208)),0),S89*$BI89),S89*$BI89),0)</f>
        <v>0</v>
      </c>
      <c r="BW89" s="314">
        <f>IF($BI89&lt;&gt;"",IF('Capacity summary'!$D$14="Yes",IF(COUNTBLANK('Capacity summary'!$H208:$BG208)&lt;52,IF('Capacity summary'!T208&lt;&gt;"",IF(LOWER('Capacity summary'!T208)="x",$BI89*T89,VALUE('Capacity summary'!T208)),0),T89*$BI89),T89*$BI89),0)</f>
        <v>0</v>
      </c>
      <c r="BX89" s="314">
        <f>IF($BI89&lt;&gt;"",IF('Capacity summary'!$D$14="Yes",IF(COUNTBLANK('Capacity summary'!$H208:$BG208)&lt;52,IF('Capacity summary'!U208&lt;&gt;"",IF(LOWER('Capacity summary'!U208)="x",$BI89*U89,VALUE('Capacity summary'!U208)),0),U89*$BI89),U89*$BI89),0)</f>
        <v>0</v>
      </c>
      <c r="BY89" s="314">
        <f>IF($BI89&lt;&gt;"",IF('Capacity summary'!$D$14="Yes",IF(COUNTBLANK('Capacity summary'!$H208:$BG208)&lt;52,IF('Capacity summary'!V208&lt;&gt;"",IF(LOWER('Capacity summary'!V208)="x",$BI89*V89,VALUE('Capacity summary'!V208)),0),V89*$BI89),V89*$BI89),0)</f>
        <v>0</v>
      </c>
      <c r="BZ89" s="314">
        <f>IF($BI89&lt;&gt;"",IF('Capacity summary'!$D$14="Yes",IF(COUNTBLANK('Capacity summary'!$H208:$BG208)&lt;52,IF('Capacity summary'!W208&lt;&gt;"",IF(LOWER('Capacity summary'!W208)="x",$BI89*W89,VALUE('Capacity summary'!W208)),0),W89*$BI89),W89*$BI89),0)</f>
        <v>0</v>
      </c>
      <c r="CA89" s="314">
        <f>IF($BI89&lt;&gt;"",IF('Capacity summary'!$D$14="Yes",IF(COUNTBLANK('Capacity summary'!$H208:$BG208)&lt;52,IF('Capacity summary'!X208&lt;&gt;"",IF(LOWER('Capacity summary'!X208)="x",$BI89*X89,VALUE('Capacity summary'!X208)),0),X89*$BI89),X89*$BI89),0)</f>
        <v>0</v>
      </c>
      <c r="CB89" s="314">
        <f>IF($BI89&lt;&gt;"",IF('Capacity summary'!$D$14="Yes",IF(COUNTBLANK('Capacity summary'!$H208:$BG208)&lt;52,IF('Capacity summary'!Y208&lt;&gt;"",IF(LOWER('Capacity summary'!Y208)="x",$BI89*Y89,VALUE('Capacity summary'!Y208)),0),Y89*$BI89),Y89*$BI89),0)</f>
        <v>0</v>
      </c>
      <c r="CC89" s="314">
        <f>IF($BI89&lt;&gt;"",IF('Capacity summary'!$D$14="Yes",IF(COUNTBLANK('Capacity summary'!$H208:$BG208)&lt;52,IF('Capacity summary'!Z208&lt;&gt;"",IF(LOWER('Capacity summary'!Z208)="x",$BI89*Z89,VALUE('Capacity summary'!Z208)),0),Z89*$BI89),Z89*$BI89),0)</f>
        <v>0</v>
      </c>
      <c r="CD89" s="314">
        <f>IF($BI89&lt;&gt;"",IF('Capacity summary'!$D$14="Yes",IF(COUNTBLANK('Capacity summary'!$H208:$BG208)&lt;52,IF('Capacity summary'!AA208&lt;&gt;"",IF(LOWER('Capacity summary'!AA208)="x",$BI89*AA89,VALUE('Capacity summary'!AA208)),0),AA89*$BI89),AA89*$BI89),0)</f>
        <v>0</v>
      </c>
      <c r="CE89" s="314">
        <f>IF($BI89&lt;&gt;"",IF('Capacity summary'!$D$14="Yes",IF(COUNTBLANK('Capacity summary'!$H208:$BG208)&lt;52,IF('Capacity summary'!AB208&lt;&gt;"",IF(LOWER('Capacity summary'!AB208)="x",$BI89*AB89,VALUE('Capacity summary'!AB208)),0),AB89*$BI89),AB89*$BI89),0)</f>
        <v>0</v>
      </c>
      <c r="CF89" s="314">
        <f>IF($BI89&lt;&gt;"",IF('Capacity summary'!$D$14="Yes",IF(COUNTBLANK('Capacity summary'!$H208:$BG208)&lt;52,IF('Capacity summary'!AC208&lt;&gt;"",IF(LOWER('Capacity summary'!AC208)="x",$BI89*AC89,VALUE('Capacity summary'!AC208)),0),AC89*$BI89),AC89*$BI89),0)</f>
        <v>0</v>
      </c>
      <c r="CG89" s="314">
        <f>IF($BI89&lt;&gt;"",IF('Capacity summary'!$D$14="Yes",IF(COUNTBLANK('Capacity summary'!$H208:$BG208)&lt;52,IF('Capacity summary'!AD208&lt;&gt;"",IF(LOWER('Capacity summary'!AD208)="x",$BI89*AD89,VALUE('Capacity summary'!AD208)),0),AD89*$BI89),AD89*$BI89),0)</f>
        <v>0</v>
      </c>
      <c r="CH89" s="314">
        <f>IF($BI89&lt;&gt;"",IF('Capacity summary'!$D$14="Yes",IF(COUNTBLANK('Capacity summary'!$H208:$BG208)&lt;52,IF('Capacity summary'!AE208&lt;&gt;"",IF(LOWER('Capacity summary'!AE208)="x",$BI89*AE89,VALUE('Capacity summary'!AE208)),0),AE89*$BI89),AE89*$BI89),0)</f>
        <v>0</v>
      </c>
      <c r="CI89" s="314">
        <f>IF($BI89&lt;&gt;"",IF('Capacity summary'!$D$14="Yes",IF(COUNTBLANK('Capacity summary'!$H208:$BG208)&lt;52,IF('Capacity summary'!AF208&lt;&gt;"",IF(LOWER('Capacity summary'!AF208)="x",$BI89*AF89,VALUE('Capacity summary'!AF208)),0),AF89*$BI89),AF89*$BI89),0)</f>
        <v>0</v>
      </c>
      <c r="CJ89" s="314">
        <f>IF($BI89&lt;&gt;"",IF('Capacity summary'!$D$14="Yes",IF(COUNTBLANK('Capacity summary'!$H208:$BG208)&lt;52,IF('Capacity summary'!AG208&lt;&gt;"",IF(LOWER('Capacity summary'!AG208)="x",$BI89*AG89,VALUE('Capacity summary'!AG208)),0),AG89*$BI89),AG89*$BI89),0)</f>
        <v>0</v>
      </c>
      <c r="CK89" s="314">
        <f>IF($BI89&lt;&gt;"",IF('Capacity summary'!$D$14="Yes",IF(COUNTBLANK('Capacity summary'!$H208:$BG208)&lt;52,IF('Capacity summary'!AH208&lt;&gt;"",IF(LOWER('Capacity summary'!AH208)="x",$BI89*AH89,VALUE('Capacity summary'!AH208)),0),AH89*$BI89),AH89*$BI89),0)</f>
        <v>0</v>
      </c>
      <c r="CL89" s="314">
        <f>IF($BI89&lt;&gt;"",IF('Capacity summary'!$D$14="Yes",IF(COUNTBLANK('Capacity summary'!$H208:$BG208)&lt;52,IF('Capacity summary'!AI208&lt;&gt;"",IF(LOWER('Capacity summary'!AI208)="x",$BI89*AI89,VALUE('Capacity summary'!AI208)),0),AI89*$BI89),AI89*$BI89),0)</f>
        <v>0</v>
      </c>
      <c r="CM89" s="314">
        <f>IF($BI89&lt;&gt;"",IF('Capacity summary'!$D$14="Yes",IF(COUNTBLANK('Capacity summary'!$H208:$BG208)&lt;52,IF('Capacity summary'!AJ208&lt;&gt;"",IF(LOWER('Capacity summary'!AJ208)="x",$BI89*AJ89,VALUE('Capacity summary'!AJ208)),0),AJ89*$BI89),AJ89*$BI89),0)</f>
        <v>0</v>
      </c>
      <c r="CN89" s="314">
        <f>IF($BI89&lt;&gt;"",IF('Capacity summary'!$D$14="Yes",IF(COUNTBLANK('Capacity summary'!$H208:$BG208)&lt;52,IF('Capacity summary'!AK208&lt;&gt;"",IF(LOWER('Capacity summary'!AK208)="x",$BI89*AK89,VALUE('Capacity summary'!AK208)),0),AK89*$BI89),AK89*$BI89),0)</f>
        <v>0</v>
      </c>
      <c r="CO89" s="314">
        <f>IF($BI89&lt;&gt;"",IF('Capacity summary'!$D$14="Yes",IF(COUNTBLANK('Capacity summary'!$H208:$BG208)&lt;52,IF('Capacity summary'!AL208&lt;&gt;"",IF(LOWER('Capacity summary'!AL208)="x",$BI89*AL89,VALUE('Capacity summary'!AL208)),0),AL89*$BI89),AL89*$BI89),0)</f>
        <v>0</v>
      </c>
      <c r="CP89" s="314">
        <f>IF($BI89&lt;&gt;"",IF('Capacity summary'!$D$14="Yes",IF(COUNTBLANK('Capacity summary'!$H208:$BG208)&lt;52,IF('Capacity summary'!AM208&lt;&gt;"",IF(LOWER('Capacity summary'!AM208)="x",$BI89*AM89,VALUE('Capacity summary'!AM208)),0),AM89*$BI89),AM89*$BI89),0)</f>
        <v>0</v>
      </c>
      <c r="CQ89" s="314">
        <f>IF($BI89&lt;&gt;"",IF('Capacity summary'!$D$14="Yes",IF(COUNTBLANK('Capacity summary'!$H208:$BG208)&lt;52,IF('Capacity summary'!AN208&lt;&gt;"",IF(LOWER('Capacity summary'!AN208)="x",$BI89*AN89,VALUE('Capacity summary'!AN208)),0),AN89*$BI89),AN89*$BI89),0)</f>
        <v>0</v>
      </c>
      <c r="CR89" s="314">
        <f>IF($BI89&lt;&gt;"",IF('Capacity summary'!$D$14="Yes",IF(COUNTBLANK('Capacity summary'!$H208:$BG208)&lt;52,IF('Capacity summary'!AO208&lt;&gt;"",IF(LOWER('Capacity summary'!AO208)="x",$BI89*AO89,VALUE('Capacity summary'!AO208)),0),AO89*$BI89),AO89*$BI89),0)</f>
        <v>0</v>
      </c>
      <c r="CS89" s="314">
        <f>IF($BI89&lt;&gt;"",IF('Capacity summary'!$D$14="Yes",IF(COUNTBLANK('Capacity summary'!$H208:$BG208)&lt;52,IF('Capacity summary'!AP208&lt;&gt;"",IF(LOWER('Capacity summary'!AP208)="x",$BI89*AP89,VALUE('Capacity summary'!AP208)),0),AP89*$BI89),AP89*$BI89),0)</f>
        <v>0</v>
      </c>
      <c r="CT89" s="314">
        <f>IF($BI89&lt;&gt;"",IF('Capacity summary'!$D$14="Yes",IF(COUNTBLANK('Capacity summary'!$H208:$BG208)&lt;52,IF('Capacity summary'!AQ208&lt;&gt;"",IF(LOWER('Capacity summary'!AQ208)="x",$BI89*AQ89,VALUE('Capacity summary'!AQ208)),0),AQ89*$BI89),AQ89*$BI89),0)</f>
        <v>0</v>
      </c>
      <c r="CU89" s="314">
        <f>IF($BI89&lt;&gt;"",IF('Capacity summary'!$D$14="Yes",IF(COUNTBLANK('Capacity summary'!$H208:$BG208)&lt;52,IF('Capacity summary'!AR208&lt;&gt;"",IF(LOWER('Capacity summary'!AR208)="x",$BI89*AR89,VALUE('Capacity summary'!AR208)),0),AR89*$BI89),AR89*$BI89),0)</f>
        <v>0</v>
      </c>
      <c r="CV89" s="314">
        <f>IF($BI89&lt;&gt;"",IF('Capacity summary'!$D$14="Yes",IF(COUNTBLANK('Capacity summary'!$H208:$BG208)&lt;52,IF('Capacity summary'!AS208&lt;&gt;"",IF(LOWER('Capacity summary'!AS208)="x",$BI89*AS89,VALUE('Capacity summary'!AS208)),0),AS89*$BI89),AS89*$BI89),0)</f>
        <v>0</v>
      </c>
      <c r="CW89" s="314">
        <f>IF($BI89&lt;&gt;"",IF('Capacity summary'!$D$14="Yes",IF(COUNTBLANK('Capacity summary'!$H208:$BG208)&lt;52,IF('Capacity summary'!AT208&lt;&gt;"",IF(LOWER('Capacity summary'!AT208)="x",$BI89*AT89,VALUE('Capacity summary'!AT208)),0),AT89*$BI89),AT89*$BI89),0)</f>
        <v>0</v>
      </c>
      <c r="CX89" s="314">
        <f>IF($BI89&lt;&gt;"",IF('Capacity summary'!$D$14="Yes",IF(COUNTBLANK('Capacity summary'!$H208:$BG208)&lt;52,IF('Capacity summary'!AU208&lt;&gt;"",IF(LOWER('Capacity summary'!AU208)="x",$BI89*AU89,VALUE('Capacity summary'!AU208)),0),AU89*$BI89),AU89*$BI89),0)</f>
        <v>0</v>
      </c>
      <c r="CY89" s="314">
        <f>IF($BI89&lt;&gt;"",IF('Capacity summary'!$D$14="Yes",IF(COUNTBLANK('Capacity summary'!$H208:$BG208)&lt;52,IF('Capacity summary'!AV208&lt;&gt;"",IF(LOWER('Capacity summary'!AV208)="x",$BI89*AV89,VALUE('Capacity summary'!AV208)),0),AV89*$BI89),AV89*$BI89),0)</f>
        <v>0</v>
      </c>
      <c r="CZ89" s="314">
        <f>IF($BI89&lt;&gt;"",IF('Capacity summary'!$D$14="Yes",IF(COUNTBLANK('Capacity summary'!$H208:$BG208)&lt;52,IF('Capacity summary'!AW208&lt;&gt;"",IF(LOWER('Capacity summary'!AW208)="x",$BI89*AW89,VALUE('Capacity summary'!AW208)),0),AW89*$BI89),AW89*$BI89),0)</f>
        <v>0</v>
      </c>
      <c r="DA89" s="314">
        <f>IF($BI89&lt;&gt;"",IF('Capacity summary'!$D$14="Yes",IF(COUNTBLANK('Capacity summary'!$H208:$BG208)&lt;52,IF('Capacity summary'!AX208&lt;&gt;"",IF(LOWER('Capacity summary'!AX208)="x",$BI89*AX89,VALUE('Capacity summary'!AX208)),0),AX89*$BI89),AX89*$BI89),0)</f>
        <v>0</v>
      </c>
      <c r="DB89" s="314">
        <f>IF($BI89&lt;&gt;"",IF('Capacity summary'!$D$14="Yes",IF(COUNTBLANK('Capacity summary'!$H208:$BG208)&lt;52,IF('Capacity summary'!AY208&lt;&gt;"",IF(LOWER('Capacity summary'!AY208)="x",$BI89*AY89,VALUE('Capacity summary'!AY208)),0),AY89*$BI89),AY89*$BI89),0)</f>
        <v>0</v>
      </c>
      <c r="DC89" s="314">
        <f>IF($BI89&lt;&gt;"",IF('Capacity summary'!$D$14="Yes",IF(COUNTBLANK('Capacity summary'!$H208:$BG208)&lt;52,IF('Capacity summary'!AZ208&lt;&gt;"",IF(LOWER('Capacity summary'!AZ208)="x",$BI89*AZ89,VALUE('Capacity summary'!AZ208)),0),AZ89*$BI89),AZ89*$BI89),0)</f>
        <v>0</v>
      </c>
      <c r="DD89" s="314">
        <f>IF($BI89&lt;&gt;"",IF('Capacity summary'!$D$14="Yes",IF(COUNTBLANK('Capacity summary'!$H208:$BG208)&lt;52,IF('Capacity summary'!BA208&lt;&gt;"",IF(LOWER('Capacity summary'!BA208)="x",$BI89*BA89,VALUE('Capacity summary'!BA208)),0),BA89*$BI89),BA89*$BI89),0)</f>
        <v>0</v>
      </c>
      <c r="DE89" s="314">
        <f>IF($BI89&lt;&gt;"",IF('Capacity summary'!$D$14="Yes",IF(COUNTBLANK('Capacity summary'!$H208:$BG208)&lt;52,IF('Capacity summary'!BB208&lt;&gt;"",IF(LOWER('Capacity summary'!BB208)="x",$BI89*BB89,VALUE('Capacity summary'!BB208)),0),BB89*$BI89),BB89*$BI89),0)</f>
        <v>0</v>
      </c>
      <c r="DF89" s="314">
        <f>IF($BI89&lt;&gt;"",IF('Capacity summary'!$D$14="Yes",IF(COUNTBLANK('Capacity summary'!$H208:$BG208)&lt;52,IF('Capacity summary'!BC208&lt;&gt;"",IF(LOWER('Capacity summary'!BC208)="x",$BI89*BC89,VALUE('Capacity summary'!BC208)),0),BC89*$BI89),BC89*$BI89),0)</f>
        <v>0</v>
      </c>
      <c r="DG89" s="314">
        <f>IF($BI89&lt;&gt;"",IF('Capacity summary'!$D$14="Yes",IF(COUNTBLANK('Capacity summary'!$H208:$BG208)&lt;52,IF('Capacity summary'!BD208&lt;&gt;"",IF(LOWER('Capacity summary'!BD208)="x",$BI89*BD89,VALUE('Capacity summary'!BD208)),0),BD89*$BI89),BD89*$BI89),0)</f>
        <v>0</v>
      </c>
      <c r="DH89" s="314">
        <f>IF($BI89&lt;&gt;"",IF('Capacity summary'!$D$14="Yes",IF(COUNTBLANK('Capacity summary'!$H208:$BG208)&lt;52,IF('Capacity summary'!BE208&lt;&gt;"",IF(LOWER('Capacity summary'!BE208)="x",$BI89*BE89,VALUE('Capacity summary'!BE208)),0),BE89*$BI89),BE89*$BI89),0)</f>
        <v>0</v>
      </c>
      <c r="DI89" s="314">
        <f>IF($BI89&lt;&gt;"",IF('Capacity summary'!$D$14="Yes",IF(COUNTBLANK('Capacity summary'!$H208:$BG208)&lt;52,IF('Capacity summary'!BF208&lt;&gt;"",IF(LOWER('Capacity summary'!BF208)="x",$BI89*BF89,VALUE('Capacity summary'!BF208)),0),BF89*$BI89),BF89*$BI89),0)</f>
        <v>0</v>
      </c>
      <c r="DJ89" s="314">
        <f>IF($BI89&lt;&gt;"",IF('Capacity summary'!$D$14="Yes",IF(COUNTBLANK('Capacity summary'!$H208:$BG208)&lt;52,IF('Capacity summary'!BG208&lt;&gt;"",IF(LOWER('Capacity summary'!BG208)="x",$BI89*BG89,VALUE('Capacity summary'!BG208)),0),BG89*$BI89),BG89*$BI89),0)</f>
        <v>0</v>
      </c>
      <c r="DK89" s="137">
        <f t="shared" si="3"/>
        <v>0</v>
      </c>
      <c r="DL89" s="314"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4">
        <f>IF($BI90&lt;&gt;"",IF('Capacity summary'!$D$14="Yes",IF(COUNTBLANK('Capacity summary'!$H209:$BG209)&lt;52,IF('Capacity summary'!H209&lt;&gt;"",IF(LOWER('Capacity summary'!H209)="x",$BI90*H90,VALUE('Capacity summary'!H209)),0),H90*$BI90),H90*$BI90),0)</f>
        <v>0</v>
      </c>
      <c r="BL90" s="314">
        <f>IF($BI90&lt;&gt;"",IF('Capacity summary'!$D$14="Yes",IF(COUNTBLANK('Capacity summary'!$H209:$BG209)&lt;52,IF('Capacity summary'!I209&lt;&gt;"",IF(LOWER('Capacity summary'!I209)="x",$BI90*I90,VALUE('Capacity summary'!I209)),0),I90*$BI90),I90*$BI90),0)</f>
        <v>0</v>
      </c>
      <c r="BM90" s="314">
        <f>IF($BI90&lt;&gt;"",IF('Capacity summary'!$D$14="Yes",IF(COUNTBLANK('Capacity summary'!$H209:$BG209)&lt;52,IF('Capacity summary'!J209&lt;&gt;"",IF(LOWER('Capacity summary'!J209)="x",$BI90*J90,VALUE('Capacity summary'!J209)),0),J90*$BI90),J90*$BI90),0)</f>
        <v>0</v>
      </c>
      <c r="BN90" s="314">
        <f>IF($BI90&lt;&gt;"",IF('Capacity summary'!$D$14="Yes",IF(COUNTBLANK('Capacity summary'!$H209:$BG209)&lt;52,IF('Capacity summary'!K209&lt;&gt;"",IF(LOWER('Capacity summary'!K209)="x",$BI90*K90,VALUE('Capacity summary'!K209)),0),K90*$BI90),K90*$BI90),0)</f>
        <v>0</v>
      </c>
      <c r="BO90" s="314">
        <f>IF($BI90&lt;&gt;"",IF('Capacity summary'!$D$14="Yes",IF(COUNTBLANK('Capacity summary'!$H209:$BG209)&lt;52,IF('Capacity summary'!L209&lt;&gt;"",IF(LOWER('Capacity summary'!L209)="x",$BI90*L90,VALUE('Capacity summary'!L209)),0),L90*$BI90),L90*$BI90),0)</f>
        <v>0</v>
      </c>
      <c r="BP90" s="314">
        <f>IF($BI90&lt;&gt;"",IF('Capacity summary'!$D$14="Yes",IF(COUNTBLANK('Capacity summary'!$H209:$BG209)&lt;52,IF('Capacity summary'!M209&lt;&gt;"",IF(LOWER('Capacity summary'!M209)="x",$BI90*M90,VALUE('Capacity summary'!M209)),0),M90*$BI90),M90*$BI90),0)</f>
        <v>0</v>
      </c>
      <c r="BQ90" s="314">
        <f>IF($BI90&lt;&gt;"",IF('Capacity summary'!$D$14="Yes",IF(COUNTBLANK('Capacity summary'!$H209:$BG209)&lt;52,IF('Capacity summary'!N209&lt;&gt;"",IF(LOWER('Capacity summary'!N209)="x",$BI90*N90,VALUE('Capacity summary'!N209)),0),N90*$BI90),N90*$BI90),0)</f>
        <v>0</v>
      </c>
      <c r="BR90" s="314">
        <f>IF($BI90&lt;&gt;"",IF('Capacity summary'!$D$14="Yes",IF(COUNTBLANK('Capacity summary'!$H209:$BG209)&lt;52,IF('Capacity summary'!O209&lt;&gt;"",IF(LOWER('Capacity summary'!O209)="x",$BI90*O90,VALUE('Capacity summary'!O209)),0),O90*$BI90),O90*$BI90),0)</f>
        <v>0</v>
      </c>
      <c r="BS90" s="314">
        <f>IF($BI90&lt;&gt;"",IF('Capacity summary'!$D$14="Yes",IF(COUNTBLANK('Capacity summary'!$H209:$BG209)&lt;52,IF('Capacity summary'!P209&lt;&gt;"",IF(LOWER('Capacity summary'!P209)="x",$BI90*P90,VALUE('Capacity summary'!P209)),0),P90*$BI90),P90*$BI90),0)</f>
        <v>0</v>
      </c>
      <c r="BT90" s="314">
        <f>IF($BI90&lt;&gt;"",IF('Capacity summary'!$D$14="Yes",IF(COUNTBLANK('Capacity summary'!$H209:$BG209)&lt;52,IF('Capacity summary'!Q209&lt;&gt;"",IF(LOWER('Capacity summary'!Q209)="x",$BI90*Q90,VALUE('Capacity summary'!Q209)),0),Q90*$BI90),Q90*$BI90),0)</f>
        <v>0</v>
      </c>
      <c r="BU90" s="314">
        <f>IF($BI90&lt;&gt;"",IF('Capacity summary'!$D$14="Yes",IF(COUNTBLANK('Capacity summary'!$H209:$BG209)&lt;52,IF('Capacity summary'!R209&lt;&gt;"",IF(LOWER('Capacity summary'!R209)="x",$BI90*R90,VALUE('Capacity summary'!R209)),0),R90*$BI90),R90*$BI90),0)</f>
        <v>0</v>
      </c>
      <c r="BV90" s="314">
        <f>IF($BI90&lt;&gt;"",IF('Capacity summary'!$D$14="Yes",IF(COUNTBLANK('Capacity summary'!$H209:$BG209)&lt;52,IF('Capacity summary'!S209&lt;&gt;"",IF(LOWER('Capacity summary'!S209)="x",$BI90*S90,VALUE('Capacity summary'!S209)),0),S90*$BI90),S90*$BI90),0)</f>
        <v>0</v>
      </c>
      <c r="BW90" s="314">
        <f>IF($BI90&lt;&gt;"",IF('Capacity summary'!$D$14="Yes",IF(COUNTBLANK('Capacity summary'!$H209:$BG209)&lt;52,IF('Capacity summary'!T209&lt;&gt;"",IF(LOWER('Capacity summary'!T209)="x",$BI90*T90,VALUE('Capacity summary'!T209)),0),T90*$BI90),T90*$BI90),0)</f>
        <v>0</v>
      </c>
      <c r="BX90" s="314">
        <f>IF($BI90&lt;&gt;"",IF('Capacity summary'!$D$14="Yes",IF(COUNTBLANK('Capacity summary'!$H209:$BG209)&lt;52,IF('Capacity summary'!U209&lt;&gt;"",IF(LOWER('Capacity summary'!U209)="x",$BI90*U90,VALUE('Capacity summary'!U209)),0),U90*$BI90),U90*$BI90),0)</f>
        <v>0</v>
      </c>
      <c r="BY90" s="314">
        <f>IF($BI90&lt;&gt;"",IF('Capacity summary'!$D$14="Yes",IF(COUNTBLANK('Capacity summary'!$H209:$BG209)&lt;52,IF('Capacity summary'!V209&lt;&gt;"",IF(LOWER('Capacity summary'!V209)="x",$BI90*V90,VALUE('Capacity summary'!V209)),0),V90*$BI90),V90*$BI90),0)</f>
        <v>0</v>
      </c>
      <c r="BZ90" s="314">
        <f>IF($BI90&lt;&gt;"",IF('Capacity summary'!$D$14="Yes",IF(COUNTBLANK('Capacity summary'!$H209:$BG209)&lt;52,IF('Capacity summary'!W209&lt;&gt;"",IF(LOWER('Capacity summary'!W209)="x",$BI90*W90,VALUE('Capacity summary'!W209)),0),W90*$BI90),W90*$BI90),0)</f>
        <v>0</v>
      </c>
      <c r="CA90" s="314">
        <f>IF($BI90&lt;&gt;"",IF('Capacity summary'!$D$14="Yes",IF(COUNTBLANK('Capacity summary'!$H209:$BG209)&lt;52,IF('Capacity summary'!X209&lt;&gt;"",IF(LOWER('Capacity summary'!X209)="x",$BI90*X90,VALUE('Capacity summary'!X209)),0),X90*$BI90),X90*$BI90),0)</f>
        <v>0</v>
      </c>
      <c r="CB90" s="314">
        <f>IF($BI90&lt;&gt;"",IF('Capacity summary'!$D$14="Yes",IF(COUNTBLANK('Capacity summary'!$H209:$BG209)&lt;52,IF('Capacity summary'!Y209&lt;&gt;"",IF(LOWER('Capacity summary'!Y209)="x",$BI90*Y90,VALUE('Capacity summary'!Y209)),0),Y90*$BI90),Y90*$BI90),0)</f>
        <v>0</v>
      </c>
      <c r="CC90" s="314">
        <f>IF($BI90&lt;&gt;"",IF('Capacity summary'!$D$14="Yes",IF(COUNTBLANK('Capacity summary'!$H209:$BG209)&lt;52,IF('Capacity summary'!Z209&lt;&gt;"",IF(LOWER('Capacity summary'!Z209)="x",$BI90*Z90,VALUE('Capacity summary'!Z209)),0),Z90*$BI90),Z90*$BI90),0)</f>
        <v>0</v>
      </c>
      <c r="CD90" s="314">
        <f>IF($BI90&lt;&gt;"",IF('Capacity summary'!$D$14="Yes",IF(COUNTBLANK('Capacity summary'!$H209:$BG209)&lt;52,IF('Capacity summary'!AA209&lt;&gt;"",IF(LOWER('Capacity summary'!AA209)="x",$BI90*AA90,VALUE('Capacity summary'!AA209)),0),AA90*$BI90),AA90*$BI90),0)</f>
        <v>0</v>
      </c>
      <c r="CE90" s="314">
        <f>IF($BI90&lt;&gt;"",IF('Capacity summary'!$D$14="Yes",IF(COUNTBLANK('Capacity summary'!$H209:$BG209)&lt;52,IF('Capacity summary'!AB209&lt;&gt;"",IF(LOWER('Capacity summary'!AB209)="x",$BI90*AB90,VALUE('Capacity summary'!AB209)),0),AB90*$BI90),AB90*$BI90),0)</f>
        <v>0</v>
      </c>
      <c r="CF90" s="314">
        <f>IF($BI90&lt;&gt;"",IF('Capacity summary'!$D$14="Yes",IF(COUNTBLANK('Capacity summary'!$H209:$BG209)&lt;52,IF('Capacity summary'!AC209&lt;&gt;"",IF(LOWER('Capacity summary'!AC209)="x",$BI90*AC90,VALUE('Capacity summary'!AC209)),0),AC90*$BI90),AC90*$BI90),0)</f>
        <v>0</v>
      </c>
      <c r="CG90" s="314">
        <f>IF($BI90&lt;&gt;"",IF('Capacity summary'!$D$14="Yes",IF(COUNTBLANK('Capacity summary'!$H209:$BG209)&lt;52,IF('Capacity summary'!AD209&lt;&gt;"",IF(LOWER('Capacity summary'!AD209)="x",$BI90*AD90,VALUE('Capacity summary'!AD209)),0),AD90*$BI90),AD90*$BI90),0)</f>
        <v>0</v>
      </c>
      <c r="CH90" s="314">
        <f>IF($BI90&lt;&gt;"",IF('Capacity summary'!$D$14="Yes",IF(COUNTBLANK('Capacity summary'!$H209:$BG209)&lt;52,IF('Capacity summary'!AE209&lt;&gt;"",IF(LOWER('Capacity summary'!AE209)="x",$BI90*AE90,VALUE('Capacity summary'!AE209)),0),AE90*$BI90),AE90*$BI90),0)</f>
        <v>0</v>
      </c>
      <c r="CI90" s="314">
        <f>IF($BI90&lt;&gt;"",IF('Capacity summary'!$D$14="Yes",IF(COUNTBLANK('Capacity summary'!$H209:$BG209)&lt;52,IF('Capacity summary'!AF209&lt;&gt;"",IF(LOWER('Capacity summary'!AF209)="x",$BI90*AF90,VALUE('Capacity summary'!AF209)),0),AF90*$BI90),AF90*$BI90),0)</f>
        <v>0</v>
      </c>
      <c r="CJ90" s="314">
        <f>IF($BI90&lt;&gt;"",IF('Capacity summary'!$D$14="Yes",IF(COUNTBLANK('Capacity summary'!$H209:$BG209)&lt;52,IF('Capacity summary'!AG209&lt;&gt;"",IF(LOWER('Capacity summary'!AG209)="x",$BI90*AG90,VALUE('Capacity summary'!AG209)),0),AG90*$BI90),AG90*$BI90),0)</f>
        <v>0</v>
      </c>
      <c r="CK90" s="314">
        <f>IF($BI90&lt;&gt;"",IF('Capacity summary'!$D$14="Yes",IF(COUNTBLANK('Capacity summary'!$H209:$BG209)&lt;52,IF('Capacity summary'!AH209&lt;&gt;"",IF(LOWER('Capacity summary'!AH209)="x",$BI90*AH90,VALUE('Capacity summary'!AH209)),0),AH90*$BI90),AH90*$BI90),0)</f>
        <v>0</v>
      </c>
      <c r="CL90" s="314">
        <f>IF($BI90&lt;&gt;"",IF('Capacity summary'!$D$14="Yes",IF(COUNTBLANK('Capacity summary'!$H209:$BG209)&lt;52,IF('Capacity summary'!AI209&lt;&gt;"",IF(LOWER('Capacity summary'!AI209)="x",$BI90*AI90,VALUE('Capacity summary'!AI209)),0),AI90*$BI90),AI90*$BI90),0)</f>
        <v>0</v>
      </c>
      <c r="CM90" s="314">
        <f>IF($BI90&lt;&gt;"",IF('Capacity summary'!$D$14="Yes",IF(COUNTBLANK('Capacity summary'!$H209:$BG209)&lt;52,IF('Capacity summary'!AJ209&lt;&gt;"",IF(LOWER('Capacity summary'!AJ209)="x",$BI90*AJ90,VALUE('Capacity summary'!AJ209)),0),AJ90*$BI90),AJ90*$BI90),0)</f>
        <v>0</v>
      </c>
      <c r="CN90" s="314">
        <f>IF($BI90&lt;&gt;"",IF('Capacity summary'!$D$14="Yes",IF(COUNTBLANK('Capacity summary'!$H209:$BG209)&lt;52,IF('Capacity summary'!AK209&lt;&gt;"",IF(LOWER('Capacity summary'!AK209)="x",$BI90*AK90,VALUE('Capacity summary'!AK209)),0),AK90*$BI90),AK90*$BI90),0)</f>
        <v>0</v>
      </c>
      <c r="CO90" s="314">
        <f>IF($BI90&lt;&gt;"",IF('Capacity summary'!$D$14="Yes",IF(COUNTBLANK('Capacity summary'!$H209:$BG209)&lt;52,IF('Capacity summary'!AL209&lt;&gt;"",IF(LOWER('Capacity summary'!AL209)="x",$BI90*AL90,VALUE('Capacity summary'!AL209)),0),AL90*$BI90),AL90*$BI90),0)</f>
        <v>0</v>
      </c>
      <c r="CP90" s="314">
        <f>IF($BI90&lt;&gt;"",IF('Capacity summary'!$D$14="Yes",IF(COUNTBLANK('Capacity summary'!$H209:$BG209)&lt;52,IF('Capacity summary'!AM209&lt;&gt;"",IF(LOWER('Capacity summary'!AM209)="x",$BI90*AM90,VALUE('Capacity summary'!AM209)),0),AM90*$BI90),AM90*$BI90),0)</f>
        <v>0</v>
      </c>
      <c r="CQ90" s="314">
        <f>IF($BI90&lt;&gt;"",IF('Capacity summary'!$D$14="Yes",IF(COUNTBLANK('Capacity summary'!$H209:$BG209)&lt;52,IF('Capacity summary'!AN209&lt;&gt;"",IF(LOWER('Capacity summary'!AN209)="x",$BI90*AN90,VALUE('Capacity summary'!AN209)),0),AN90*$BI90),AN90*$BI90),0)</f>
        <v>0</v>
      </c>
      <c r="CR90" s="314">
        <f>IF($BI90&lt;&gt;"",IF('Capacity summary'!$D$14="Yes",IF(COUNTBLANK('Capacity summary'!$H209:$BG209)&lt;52,IF('Capacity summary'!AO209&lt;&gt;"",IF(LOWER('Capacity summary'!AO209)="x",$BI90*AO90,VALUE('Capacity summary'!AO209)),0),AO90*$BI90),AO90*$BI90),0)</f>
        <v>0</v>
      </c>
      <c r="CS90" s="314">
        <f>IF($BI90&lt;&gt;"",IF('Capacity summary'!$D$14="Yes",IF(COUNTBLANK('Capacity summary'!$H209:$BG209)&lt;52,IF('Capacity summary'!AP209&lt;&gt;"",IF(LOWER('Capacity summary'!AP209)="x",$BI90*AP90,VALUE('Capacity summary'!AP209)),0),AP90*$BI90),AP90*$BI90),0)</f>
        <v>0</v>
      </c>
      <c r="CT90" s="314">
        <f>IF($BI90&lt;&gt;"",IF('Capacity summary'!$D$14="Yes",IF(COUNTBLANK('Capacity summary'!$H209:$BG209)&lt;52,IF('Capacity summary'!AQ209&lt;&gt;"",IF(LOWER('Capacity summary'!AQ209)="x",$BI90*AQ90,VALUE('Capacity summary'!AQ209)),0),AQ90*$BI90),AQ90*$BI90),0)</f>
        <v>0</v>
      </c>
      <c r="CU90" s="314">
        <f>IF($BI90&lt;&gt;"",IF('Capacity summary'!$D$14="Yes",IF(COUNTBLANK('Capacity summary'!$H209:$BG209)&lt;52,IF('Capacity summary'!AR209&lt;&gt;"",IF(LOWER('Capacity summary'!AR209)="x",$BI90*AR90,VALUE('Capacity summary'!AR209)),0),AR90*$BI90),AR90*$BI90),0)</f>
        <v>0</v>
      </c>
      <c r="CV90" s="314">
        <f>IF($BI90&lt;&gt;"",IF('Capacity summary'!$D$14="Yes",IF(COUNTBLANK('Capacity summary'!$H209:$BG209)&lt;52,IF('Capacity summary'!AS209&lt;&gt;"",IF(LOWER('Capacity summary'!AS209)="x",$BI90*AS90,VALUE('Capacity summary'!AS209)),0),AS90*$BI90),AS90*$BI90),0)</f>
        <v>0</v>
      </c>
      <c r="CW90" s="314">
        <f>IF($BI90&lt;&gt;"",IF('Capacity summary'!$D$14="Yes",IF(COUNTBLANK('Capacity summary'!$H209:$BG209)&lt;52,IF('Capacity summary'!AT209&lt;&gt;"",IF(LOWER('Capacity summary'!AT209)="x",$BI90*AT90,VALUE('Capacity summary'!AT209)),0),AT90*$BI90),AT90*$BI90),0)</f>
        <v>0</v>
      </c>
      <c r="CX90" s="314">
        <f>IF($BI90&lt;&gt;"",IF('Capacity summary'!$D$14="Yes",IF(COUNTBLANK('Capacity summary'!$H209:$BG209)&lt;52,IF('Capacity summary'!AU209&lt;&gt;"",IF(LOWER('Capacity summary'!AU209)="x",$BI90*AU90,VALUE('Capacity summary'!AU209)),0),AU90*$BI90),AU90*$BI90),0)</f>
        <v>0</v>
      </c>
      <c r="CY90" s="314">
        <f>IF($BI90&lt;&gt;"",IF('Capacity summary'!$D$14="Yes",IF(COUNTBLANK('Capacity summary'!$H209:$BG209)&lt;52,IF('Capacity summary'!AV209&lt;&gt;"",IF(LOWER('Capacity summary'!AV209)="x",$BI90*AV90,VALUE('Capacity summary'!AV209)),0),AV90*$BI90),AV90*$BI90),0)</f>
        <v>0</v>
      </c>
      <c r="CZ90" s="314">
        <f>IF($BI90&lt;&gt;"",IF('Capacity summary'!$D$14="Yes",IF(COUNTBLANK('Capacity summary'!$H209:$BG209)&lt;52,IF('Capacity summary'!AW209&lt;&gt;"",IF(LOWER('Capacity summary'!AW209)="x",$BI90*AW90,VALUE('Capacity summary'!AW209)),0),AW90*$BI90),AW90*$BI90),0)</f>
        <v>0</v>
      </c>
      <c r="DA90" s="314">
        <f>IF($BI90&lt;&gt;"",IF('Capacity summary'!$D$14="Yes",IF(COUNTBLANK('Capacity summary'!$H209:$BG209)&lt;52,IF('Capacity summary'!AX209&lt;&gt;"",IF(LOWER('Capacity summary'!AX209)="x",$BI90*AX90,VALUE('Capacity summary'!AX209)),0),AX90*$BI90),AX90*$BI90),0)</f>
        <v>0</v>
      </c>
      <c r="DB90" s="314">
        <f>IF($BI90&lt;&gt;"",IF('Capacity summary'!$D$14="Yes",IF(COUNTBLANK('Capacity summary'!$H209:$BG209)&lt;52,IF('Capacity summary'!AY209&lt;&gt;"",IF(LOWER('Capacity summary'!AY209)="x",$BI90*AY90,VALUE('Capacity summary'!AY209)),0),AY90*$BI90),AY90*$BI90),0)</f>
        <v>0</v>
      </c>
      <c r="DC90" s="314">
        <f>IF($BI90&lt;&gt;"",IF('Capacity summary'!$D$14="Yes",IF(COUNTBLANK('Capacity summary'!$H209:$BG209)&lt;52,IF('Capacity summary'!AZ209&lt;&gt;"",IF(LOWER('Capacity summary'!AZ209)="x",$BI90*AZ90,VALUE('Capacity summary'!AZ209)),0),AZ90*$BI90),AZ90*$BI90),0)</f>
        <v>0</v>
      </c>
      <c r="DD90" s="314">
        <f>IF($BI90&lt;&gt;"",IF('Capacity summary'!$D$14="Yes",IF(COUNTBLANK('Capacity summary'!$H209:$BG209)&lt;52,IF('Capacity summary'!BA209&lt;&gt;"",IF(LOWER('Capacity summary'!BA209)="x",$BI90*BA90,VALUE('Capacity summary'!BA209)),0),BA90*$BI90),BA90*$BI90),0)</f>
        <v>0</v>
      </c>
      <c r="DE90" s="314">
        <f>IF($BI90&lt;&gt;"",IF('Capacity summary'!$D$14="Yes",IF(COUNTBLANK('Capacity summary'!$H209:$BG209)&lt;52,IF('Capacity summary'!BB209&lt;&gt;"",IF(LOWER('Capacity summary'!BB209)="x",$BI90*BB90,VALUE('Capacity summary'!BB209)),0),BB90*$BI90),BB90*$BI90),0)</f>
        <v>0</v>
      </c>
      <c r="DF90" s="314">
        <f>IF($BI90&lt;&gt;"",IF('Capacity summary'!$D$14="Yes",IF(COUNTBLANK('Capacity summary'!$H209:$BG209)&lt;52,IF('Capacity summary'!BC209&lt;&gt;"",IF(LOWER('Capacity summary'!BC209)="x",$BI90*BC90,VALUE('Capacity summary'!BC209)),0),BC90*$BI90),BC90*$BI90),0)</f>
        <v>0</v>
      </c>
      <c r="DG90" s="314">
        <f>IF($BI90&lt;&gt;"",IF('Capacity summary'!$D$14="Yes",IF(COUNTBLANK('Capacity summary'!$H209:$BG209)&lt;52,IF('Capacity summary'!BD209&lt;&gt;"",IF(LOWER('Capacity summary'!BD209)="x",$BI90*BD90,VALUE('Capacity summary'!BD209)),0),BD90*$BI90),BD90*$BI90),0)</f>
        <v>0</v>
      </c>
      <c r="DH90" s="314">
        <f>IF($BI90&lt;&gt;"",IF('Capacity summary'!$D$14="Yes",IF(COUNTBLANK('Capacity summary'!$H209:$BG209)&lt;52,IF('Capacity summary'!BE209&lt;&gt;"",IF(LOWER('Capacity summary'!BE209)="x",$BI90*BE90,VALUE('Capacity summary'!BE209)),0),BE90*$BI90),BE90*$BI90),0)</f>
        <v>0</v>
      </c>
      <c r="DI90" s="314">
        <f>IF($BI90&lt;&gt;"",IF('Capacity summary'!$D$14="Yes",IF(COUNTBLANK('Capacity summary'!$H209:$BG209)&lt;52,IF('Capacity summary'!BF209&lt;&gt;"",IF(LOWER('Capacity summary'!BF209)="x",$BI90*BF90,VALUE('Capacity summary'!BF209)),0),BF90*$BI90),BF90*$BI90),0)</f>
        <v>0</v>
      </c>
      <c r="DJ90" s="314">
        <f>IF($BI90&lt;&gt;"",IF('Capacity summary'!$D$14="Yes",IF(COUNTBLANK('Capacity summary'!$H209:$BG209)&lt;52,IF('Capacity summary'!BG209&lt;&gt;"",IF(LOWER('Capacity summary'!BG209)="x",$BI90*BG90,VALUE('Capacity summary'!BG209)),0),BG90*$BI90),BG90*$BI90),0)</f>
        <v>0</v>
      </c>
      <c r="DK90" s="137">
        <f t="shared" si="3"/>
        <v>0</v>
      </c>
      <c r="DL90" s="314"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4">
        <f>IF($BI91&lt;&gt;"",IF('Capacity summary'!$D$14="Yes",IF(COUNTBLANK('Capacity summary'!$H210:$BG210)&lt;52,IF('Capacity summary'!H210&lt;&gt;"",IF(LOWER('Capacity summary'!H210)="x",$BI91*H91,VALUE('Capacity summary'!H210)),0),H91*$BI91),H91*$BI91),0)</f>
        <v>0</v>
      </c>
      <c r="BL91" s="314">
        <f>IF($BI91&lt;&gt;"",IF('Capacity summary'!$D$14="Yes",IF(COUNTBLANK('Capacity summary'!$H210:$BG210)&lt;52,IF('Capacity summary'!I210&lt;&gt;"",IF(LOWER('Capacity summary'!I210)="x",$BI91*I91,VALUE('Capacity summary'!I210)),0),I91*$BI91),I91*$BI91),0)</f>
        <v>0</v>
      </c>
      <c r="BM91" s="314">
        <f>IF($BI91&lt;&gt;"",IF('Capacity summary'!$D$14="Yes",IF(COUNTBLANK('Capacity summary'!$H210:$BG210)&lt;52,IF('Capacity summary'!J210&lt;&gt;"",IF(LOWER('Capacity summary'!J210)="x",$BI91*J91,VALUE('Capacity summary'!J210)),0),J91*$BI91),J91*$BI91),0)</f>
        <v>0</v>
      </c>
      <c r="BN91" s="314">
        <f>IF($BI91&lt;&gt;"",IF('Capacity summary'!$D$14="Yes",IF(COUNTBLANK('Capacity summary'!$H210:$BG210)&lt;52,IF('Capacity summary'!K210&lt;&gt;"",IF(LOWER('Capacity summary'!K210)="x",$BI91*K91,VALUE('Capacity summary'!K210)),0),K91*$BI91),K91*$BI91),0)</f>
        <v>0</v>
      </c>
      <c r="BO91" s="314">
        <f>IF($BI91&lt;&gt;"",IF('Capacity summary'!$D$14="Yes",IF(COUNTBLANK('Capacity summary'!$H210:$BG210)&lt;52,IF('Capacity summary'!L210&lt;&gt;"",IF(LOWER('Capacity summary'!L210)="x",$BI91*L91,VALUE('Capacity summary'!L210)),0),L91*$BI91),L91*$BI91),0)</f>
        <v>0</v>
      </c>
      <c r="BP91" s="314">
        <f>IF($BI91&lt;&gt;"",IF('Capacity summary'!$D$14="Yes",IF(COUNTBLANK('Capacity summary'!$H210:$BG210)&lt;52,IF('Capacity summary'!M210&lt;&gt;"",IF(LOWER('Capacity summary'!M210)="x",$BI91*M91,VALUE('Capacity summary'!M210)),0),M91*$BI91),M91*$BI91),0)</f>
        <v>0</v>
      </c>
      <c r="BQ91" s="314">
        <f>IF($BI91&lt;&gt;"",IF('Capacity summary'!$D$14="Yes",IF(COUNTBLANK('Capacity summary'!$H210:$BG210)&lt;52,IF('Capacity summary'!N210&lt;&gt;"",IF(LOWER('Capacity summary'!N210)="x",$BI91*N91,VALUE('Capacity summary'!N210)),0),N91*$BI91),N91*$BI91),0)</f>
        <v>0</v>
      </c>
      <c r="BR91" s="314">
        <f>IF($BI91&lt;&gt;"",IF('Capacity summary'!$D$14="Yes",IF(COUNTBLANK('Capacity summary'!$H210:$BG210)&lt;52,IF('Capacity summary'!O210&lt;&gt;"",IF(LOWER('Capacity summary'!O210)="x",$BI91*O91,VALUE('Capacity summary'!O210)),0),O91*$BI91),O91*$BI91),0)</f>
        <v>0</v>
      </c>
      <c r="BS91" s="314">
        <f>IF($BI91&lt;&gt;"",IF('Capacity summary'!$D$14="Yes",IF(COUNTBLANK('Capacity summary'!$H210:$BG210)&lt;52,IF('Capacity summary'!P210&lt;&gt;"",IF(LOWER('Capacity summary'!P210)="x",$BI91*P91,VALUE('Capacity summary'!P210)),0),P91*$BI91),P91*$BI91),0)</f>
        <v>0</v>
      </c>
      <c r="BT91" s="314">
        <f>IF($BI91&lt;&gt;"",IF('Capacity summary'!$D$14="Yes",IF(COUNTBLANK('Capacity summary'!$H210:$BG210)&lt;52,IF('Capacity summary'!Q210&lt;&gt;"",IF(LOWER('Capacity summary'!Q210)="x",$BI91*Q91,VALUE('Capacity summary'!Q210)),0),Q91*$BI91),Q91*$BI91),0)</f>
        <v>0</v>
      </c>
      <c r="BU91" s="314">
        <f>IF($BI91&lt;&gt;"",IF('Capacity summary'!$D$14="Yes",IF(COUNTBLANK('Capacity summary'!$H210:$BG210)&lt;52,IF('Capacity summary'!R210&lt;&gt;"",IF(LOWER('Capacity summary'!R210)="x",$BI91*R91,VALUE('Capacity summary'!R210)),0),R91*$BI91),R91*$BI91),0)</f>
        <v>0</v>
      </c>
      <c r="BV91" s="314">
        <f>IF($BI91&lt;&gt;"",IF('Capacity summary'!$D$14="Yes",IF(COUNTBLANK('Capacity summary'!$H210:$BG210)&lt;52,IF('Capacity summary'!S210&lt;&gt;"",IF(LOWER('Capacity summary'!S210)="x",$BI91*S91,VALUE('Capacity summary'!S210)),0),S91*$BI91),S91*$BI91),0)</f>
        <v>0</v>
      </c>
      <c r="BW91" s="314">
        <f>IF($BI91&lt;&gt;"",IF('Capacity summary'!$D$14="Yes",IF(COUNTBLANK('Capacity summary'!$H210:$BG210)&lt;52,IF('Capacity summary'!T210&lt;&gt;"",IF(LOWER('Capacity summary'!T210)="x",$BI91*T91,VALUE('Capacity summary'!T210)),0),T91*$BI91),T91*$BI91),0)</f>
        <v>0</v>
      </c>
      <c r="BX91" s="314">
        <f>IF($BI91&lt;&gt;"",IF('Capacity summary'!$D$14="Yes",IF(COUNTBLANK('Capacity summary'!$H210:$BG210)&lt;52,IF('Capacity summary'!U210&lt;&gt;"",IF(LOWER('Capacity summary'!U210)="x",$BI91*U91,VALUE('Capacity summary'!U210)),0),U91*$BI91),U91*$BI91),0)</f>
        <v>0</v>
      </c>
      <c r="BY91" s="314">
        <f>IF($BI91&lt;&gt;"",IF('Capacity summary'!$D$14="Yes",IF(COUNTBLANK('Capacity summary'!$H210:$BG210)&lt;52,IF('Capacity summary'!V210&lt;&gt;"",IF(LOWER('Capacity summary'!V210)="x",$BI91*V91,VALUE('Capacity summary'!V210)),0),V91*$BI91),V91*$BI91),0)</f>
        <v>0</v>
      </c>
      <c r="BZ91" s="314">
        <f>IF($BI91&lt;&gt;"",IF('Capacity summary'!$D$14="Yes",IF(COUNTBLANK('Capacity summary'!$H210:$BG210)&lt;52,IF('Capacity summary'!W210&lt;&gt;"",IF(LOWER('Capacity summary'!W210)="x",$BI91*W91,VALUE('Capacity summary'!W210)),0),W91*$BI91),W91*$BI91),0)</f>
        <v>0</v>
      </c>
      <c r="CA91" s="314">
        <f>IF($BI91&lt;&gt;"",IF('Capacity summary'!$D$14="Yes",IF(COUNTBLANK('Capacity summary'!$H210:$BG210)&lt;52,IF('Capacity summary'!X210&lt;&gt;"",IF(LOWER('Capacity summary'!X210)="x",$BI91*X91,VALUE('Capacity summary'!X210)),0),X91*$BI91),X91*$BI91),0)</f>
        <v>0</v>
      </c>
      <c r="CB91" s="314">
        <f>IF($BI91&lt;&gt;"",IF('Capacity summary'!$D$14="Yes",IF(COUNTBLANK('Capacity summary'!$H210:$BG210)&lt;52,IF('Capacity summary'!Y210&lt;&gt;"",IF(LOWER('Capacity summary'!Y210)="x",$BI91*Y91,VALUE('Capacity summary'!Y210)),0),Y91*$BI91),Y91*$BI91),0)</f>
        <v>0</v>
      </c>
      <c r="CC91" s="314">
        <f>IF($BI91&lt;&gt;"",IF('Capacity summary'!$D$14="Yes",IF(COUNTBLANK('Capacity summary'!$H210:$BG210)&lt;52,IF('Capacity summary'!Z210&lt;&gt;"",IF(LOWER('Capacity summary'!Z210)="x",$BI91*Z91,VALUE('Capacity summary'!Z210)),0),Z91*$BI91),Z91*$BI91),0)</f>
        <v>0</v>
      </c>
      <c r="CD91" s="314">
        <f>IF($BI91&lt;&gt;"",IF('Capacity summary'!$D$14="Yes",IF(COUNTBLANK('Capacity summary'!$H210:$BG210)&lt;52,IF('Capacity summary'!AA210&lt;&gt;"",IF(LOWER('Capacity summary'!AA210)="x",$BI91*AA91,VALUE('Capacity summary'!AA210)),0),AA91*$BI91),AA91*$BI91),0)</f>
        <v>0</v>
      </c>
      <c r="CE91" s="314">
        <f>IF($BI91&lt;&gt;"",IF('Capacity summary'!$D$14="Yes",IF(COUNTBLANK('Capacity summary'!$H210:$BG210)&lt;52,IF('Capacity summary'!AB210&lt;&gt;"",IF(LOWER('Capacity summary'!AB210)="x",$BI91*AB91,VALUE('Capacity summary'!AB210)),0),AB91*$BI91),AB91*$BI91),0)</f>
        <v>0</v>
      </c>
      <c r="CF91" s="314">
        <f>IF($BI91&lt;&gt;"",IF('Capacity summary'!$D$14="Yes",IF(COUNTBLANK('Capacity summary'!$H210:$BG210)&lt;52,IF('Capacity summary'!AC210&lt;&gt;"",IF(LOWER('Capacity summary'!AC210)="x",$BI91*AC91,VALUE('Capacity summary'!AC210)),0),AC91*$BI91),AC91*$BI91),0)</f>
        <v>0</v>
      </c>
      <c r="CG91" s="314">
        <f>IF($BI91&lt;&gt;"",IF('Capacity summary'!$D$14="Yes",IF(COUNTBLANK('Capacity summary'!$H210:$BG210)&lt;52,IF('Capacity summary'!AD210&lt;&gt;"",IF(LOWER('Capacity summary'!AD210)="x",$BI91*AD91,VALUE('Capacity summary'!AD210)),0),AD91*$BI91),AD91*$BI91),0)</f>
        <v>0</v>
      </c>
      <c r="CH91" s="314">
        <f>IF($BI91&lt;&gt;"",IF('Capacity summary'!$D$14="Yes",IF(COUNTBLANK('Capacity summary'!$H210:$BG210)&lt;52,IF('Capacity summary'!AE210&lt;&gt;"",IF(LOWER('Capacity summary'!AE210)="x",$BI91*AE91,VALUE('Capacity summary'!AE210)),0),AE91*$BI91),AE91*$BI91),0)</f>
        <v>0</v>
      </c>
      <c r="CI91" s="314">
        <f>IF($BI91&lt;&gt;"",IF('Capacity summary'!$D$14="Yes",IF(COUNTBLANK('Capacity summary'!$H210:$BG210)&lt;52,IF('Capacity summary'!AF210&lt;&gt;"",IF(LOWER('Capacity summary'!AF210)="x",$BI91*AF91,VALUE('Capacity summary'!AF210)),0),AF91*$BI91),AF91*$BI91),0)</f>
        <v>0</v>
      </c>
      <c r="CJ91" s="314">
        <f>IF($BI91&lt;&gt;"",IF('Capacity summary'!$D$14="Yes",IF(COUNTBLANK('Capacity summary'!$H210:$BG210)&lt;52,IF('Capacity summary'!AG210&lt;&gt;"",IF(LOWER('Capacity summary'!AG210)="x",$BI91*AG91,VALUE('Capacity summary'!AG210)),0),AG91*$BI91),AG91*$BI91),0)</f>
        <v>0</v>
      </c>
      <c r="CK91" s="314">
        <f>IF($BI91&lt;&gt;"",IF('Capacity summary'!$D$14="Yes",IF(COUNTBLANK('Capacity summary'!$H210:$BG210)&lt;52,IF('Capacity summary'!AH210&lt;&gt;"",IF(LOWER('Capacity summary'!AH210)="x",$BI91*AH91,VALUE('Capacity summary'!AH210)),0),AH91*$BI91),AH91*$BI91),0)</f>
        <v>0</v>
      </c>
      <c r="CL91" s="314">
        <f>IF($BI91&lt;&gt;"",IF('Capacity summary'!$D$14="Yes",IF(COUNTBLANK('Capacity summary'!$H210:$BG210)&lt;52,IF('Capacity summary'!AI210&lt;&gt;"",IF(LOWER('Capacity summary'!AI210)="x",$BI91*AI91,VALUE('Capacity summary'!AI210)),0),AI91*$BI91),AI91*$BI91),0)</f>
        <v>0</v>
      </c>
      <c r="CM91" s="314">
        <f>IF($BI91&lt;&gt;"",IF('Capacity summary'!$D$14="Yes",IF(COUNTBLANK('Capacity summary'!$H210:$BG210)&lt;52,IF('Capacity summary'!AJ210&lt;&gt;"",IF(LOWER('Capacity summary'!AJ210)="x",$BI91*AJ91,VALUE('Capacity summary'!AJ210)),0),AJ91*$BI91),AJ91*$BI91),0)</f>
        <v>0</v>
      </c>
      <c r="CN91" s="314">
        <f>IF($BI91&lt;&gt;"",IF('Capacity summary'!$D$14="Yes",IF(COUNTBLANK('Capacity summary'!$H210:$BG210)&lt;52,IF('Capacity summary'!AK210&lt;&gt;"",IF(LOWER('Capacity summary'!AK210)="x",$BI91*AK91,VALUE('Capacity summary'!AK210)),0),AK91*$BI91),AK91*$BI91),0)</f>
        <v>0</v>
      </c>
      <c r="CO91" s="314">
        <f>IF($BI91&lt;&gt;"",IF('Capacity summary'!$D$14="Yes",IF(COUNTBLANK('Capacity summary'!$H210:$BG210)&lt;52,IF('Capacity summary'!AL210&lt;&gt;"",IF(LOWER('Capacity summary'!AL210)="x",$BI91*AL91,VALUE('Capacity summary'!AL210)),0),AL91*$BI91),AL91*$BI91),0)</f>
        <v>0</v>
      </c>
      <c r="CP91" s="314">
        <f>IF($BI91&lt;&gt;"",IF('Capacity summary'!$D$14="Yes",IF(COUNTBLANK('Capacity summary'!$H210:$BG210)&lt;52,IF('Capacity summary'!AM210&lt;&gt;"",IF(LOWER('Capacity summary'!AM210)="x",$BI91*AM91,VALUE('Capacity summary'!AM210)),0),AM91*$BI91),AM91*$BI91),0)</f>
        <v>0</v>
      </c>
      <c r="CQ91" s="314">
        <f>IF($BI91&lt;&gt;"",IF('Capacity summary'!$D$14="Yes",IF(COUNTBLANK('Capacity summary'!$H210:$BG210)&lt;52,IF('Capacity summary'!AN210&lt;&gt;"",IF(LOWER('Capacity summary'!AN210)="x",$BI91*AN91,VALUE('Capacity summary'!AN210)),0),AN91*$BI91),AN91*$BI91),0)</f>
        <v>0</v>
      </c>
      <c r="CR91" s="314">
        <f>IF($BI91&lt;&gt;"",IF('Capacity summary'!$D$14="Yes",IF(COUNTBLANK('Capacity summary'!$H210:$BG210)&lt;52,IF('Capacity summary'!AO210&lt;&gt;"",IF(LOWER('Capacity summary'!AO210)="x",$BI91*AO91,VALUE('Capacity summary'!AO210)),0),AO91*$BI91),AO91*$BI91),0)</f>
        <v>0</v>
      </c>
      <c r="CS91" s="314">
        <f>IF($BI91&lt;&gt;"",IF('Capacity summary'!$D$14="Yes",IF(COUNTBLANK('Capacity summary'!$H210:$BG210)&lt;52,IF('Capacity summary'!AP210&lt;&gt;"",IF(LOWER('Capacity summary'!AP210)="x",$BI91*AP91,VALUE('Capacity summary'!AP210)),0),AP91*$BI91),AP91*$BI91),0)</f>
        <v>0</v>
      </c>
      <c r="CT91" s="314">
        <f>IF($BI91&lt;&gt;"",IF('Capacity summary'!$D$14="Yes",IF(COUNTBLANK('Capacity summary'!$H210:$BG210)&lt;52,IF('Capacity summary'!AQ210&lt;&gt;"",IF(LOWER('Capacity summary'!AQ210)="x",$BI91*AQ91,VALUE('Capacity summary'!AQ210)),0),AQ91*$BI91),AQ91*$BI91),0)</f>
        <v>0</v>
      </c>
      <c r="CU91" s="314">
        <f>IF($BI91&lt;&gt;"",IF('Capacity summary'!$D$14="Yes",IF(COUNTBLANK('Capacity summary'!$H210:$BG210)&lt;52,IF('Capacity summary'!AR210&lt;&gt;"",IF(LOWER('Capacity summary'!AR210)="x",$BI91*AR91,VALUE('Capacity summary'!AR210)),0),AR91*$BI91),AR91*$BI91),0)</f>
        <v>0</v>
      </c>
      <c r="CV91" s="314">
        <f>IF($BI91&lt;&gt;"",IF('Capacity summary'!$D$14="Yes",IF(COUNTBLANK('Capacity summary'!$H210:$BG210)&lt;52,IF('Capacity summary'!AS210&lt;&gt;"",IF(LOWER('Capacity summary'!AS210)="x",$BI91*AS91,VALUE('Capacity summary'!AS210)),0),AS91*$BI91),AS91*$BI91),0)</f>
        <v>0</v>
      </c>
      <c r="CW91" s="314">
        <f>IF($BI91&lt;&gt;"",IF('Capacity summary'!$D$14="Yes",IF(COUNTBLANK('Capacity summary'!$H210:$BG210)&lt;52,IF('Capacity summary'!AT210&lt;&gt;"",IF(LOWER('Capacity summary'!AT210)="x",$BI91*AT91,VALUE('Capacity summary'!AT210)),0),AT91*$BI91),AT91*$BI91),0)</f>
        <v>0</v>
      </c>
      <c r="CX91" s="314">
        <f>IF($BI91&lt;&gt;"",IF('Capacity summary'!$D$14="Yes",IF(COUNTBLANK('Capacity summary'!$H210:$BG210)&lt;52,IF('Capacity summary'!AU210&lt;&gt;"",IF(LOWER('Capacity summary'!AU210)="x",$BI91*AU91,VALUE('Capacity summary'!AU210)),0),AU91*$BI91),AU91*$BI91),0)</f>
        <v>0</v>
      </c>
      <c r="CY91" s="314">
        <f>IF($BI91&lt;&gt;"",IF('Capacity summary'!$D$14="Yes",IF(COUNTBLANK('Capacity summary'!$H210:$BG210)&lt;52,IF('Capacity summary'!AV210&lt;&gt;"",IF(LOWER('Capacity summary'!AV210)="x",$BI91*AV91,VALUE('Capacity summary'!AV210)),0),AV91*$BI91),AV91*$BI91),0)</f>
        <v>0</v>
      </c>
      <c r="CZ91" s="314">
        <f>IF($BI91&lt;&gt;"",IF('Capacity summary'!$D$14="Yes",IF(COUNTBLANK('Capacity summary'!$H210:$BG210)&lt;52,IF('Capacity summary'!AW210&lt;&gt;"",IF(LOWER('Capacity summary'!AW210)="x",$BI91*AW91,VALUE('Capacity summary'!AW210)),0),AW91*$BI91),AW91*$BI91),0)</f>
        <v>0</v>
      </c>
      <c r="DA91" s="314">
        <f>IF($BI91&lt;&gt;"",IF('Capacity summary'!$D$14="Yes",IF(COUNTBLANK('Capacity summary'!$H210:$BG210)&lt;52,IF('Capacity summary'!AX210&lt;&gt;"",IF(LOWER('Capacity summary'!AX210)="x",$BI91*AX91,VALUE('Capacity summary'!AX210)),0),AX91*$BI91),AX91*$BI91),0)</f>
        <v>0</v>
      </c>
      <c r="DB91" s="314">
        <f>IF($BI91&lt;&gt;"",IF('Capacity summary'!$D$14="Yes",IF(COUNTBLANK('Capacity summary'!$H210:$BG210)&lt;52,IF('Capacity summary'!AY210&lt;&gt;"",IF(LOWER('Capacity summary'!AY210)="x",$BI91*AY91,VALUE('Capacity summary'!AY210)),0),AY91*$BI91),AY91*$BI91),0)</f>
        <v>0</v>
      </c>
      <c r="DC91" s="314">
        <f>IF($BI91&lt;&gt;"",IF('Capacity summary'!$D$14="Yes",IF(COUNTBLANK('Capacity summary'!$H210:$BG210)&lt;52,IF('Capacity summary'!AZ210&lt;&gt;"",IF(LOWER('Capacity summary'!AZ210)="x",$BI91*AZ91,VALUE('Capacity summary'!AZ210)),0),AZ91*$BI91),AZ91*$BI91),0)</f>
        <v>0</v>
      </c>
      <c r="DD91" s="314">
        <f>IF($BI91&lt;&gt;"",IF('Capacity summary'!$D$14="Yes",IF(COUNTBLANK('Capacity summary'!$H210:$BG210)&lt;52,IF('Capacity summary'!BA210&lt;&gt;"",IF(LOWER('Capacity summary'!BA210)="x",$BI91*BA91,VALUE('Capacity summary'!BA210)),0),BA91*$BI91),BA91*$BI91),0)</f>
        <v>0</v>
      </c>
      <c r="DE91" s="314">
        <f>IF($BI91&lt;&gt;"",IF('Capacity summary'!$D$14="Yes",IF(COUNTBLANK('Capacity summary'!$H210:$BG210)&lt;52,IF('Capacity summary'!BB210&lt;&gt;"",IF(LOWER('Capacity summary'!BB210)="x",$BI91*BB91,VALUE('Capacity summary'!BB210)),0),BB91*$BI91),BB91*$BI91),0)</f>
        <v>0</v>
      </c>
      <c r="DF91" s="314">
        <f>IF($BI91&lt;&gt;"",IF('Capacity summary'!$D$14="Yes",IF(COUNTBLANK('Capacity summary'!$H210:$BG210)&lt;52,IF('Capacity summary'!BC210&lt;&gt;"",IF(LOWER('Capacity summary'!BC210)="x",$BI91*BC91,VALUE('Capacity summary'!BC210)),0),BC91*$BI91),BC91*$BI91),0)</f>
        <v>0</v>
      </c>
      <c r="DG91" s="314">
        <f>IF($BI91&lt;&gt;"",IF('Capacity summary'!$D$14="Yes",IF(COUNTBLANK('Capacity summary'!$H210:$BG210)&lt;52,IF('Capacity summary'!BD210&lt;&gt;"",IF(LOWER('Capacity summary'!BD210)="x",$BI91*BD91,VALUE('Capacity summary'!BD210)),0),BD91*$BI91),BD91*$BI91),0)</f>
        <v>0</v>
      </c>
      <c r="DH91" s="314">
        <f>IF($BI91&lt;&gt;"",IF('Capacity summary'!$D$14="Yes",IF(COUNTBLANK('Capacity summary'!$H210:$BG210)&lt;52,IF('Capacity summary'!BE210&lt;&gt;"",IF(LOWER('Capacity summary'!BE210)="x",$BI91*BE91,VALUE('Capacity summary'!BE210)),0),BE91*$BI91),BE91*$BI91),0)</f>
        <v>0</v>
      </c>
      <c r="DI91" s="314">
        <f>IF($BI91&lt;&gt;"",IF('Capacity summary'!$D$14="Yes",IF(COUNTBLANK('Capacity summary'!$H210:$BG210)&lt;52,IF('Capacity summary'!BF210&lt;&gt;"",IF(LOWER('Capacity summary'!BF210)="x",$BI91*BF91,VALUE('Capacity summary'!BF210)),0),BF91*$BI91),BF91*$BI91),0)</f>
        <v>0</v>
      </c>
      <c r="DJ91" s="314">
        <f>IF($BI91&lt;&gt;"",IF('Capacity summary'!$D$14="Yes",IF(COUNTBLANK('Capacity summary'!$H210:$BG210)&lt;52,IF('Capacity summary'!BG210&lt;&gt;"",IF(LOWER('Capacity summary'!BG210)="x",$BI91*BG91,VALUE('Capacity summary'!BG210)),0),BG91*$BI91),BG91*$BI91),0)</f>
        <v>0</v>
      </c>
      <c r="DK91" s="137">
        <f t="shared" si="3"/>
        <v>0</v>
      </c>
      <c r="DL91" s="314"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4">
        <f>IF($BI92&lt;&gt;"",IF('Capacity summary'!$D$14="Yes",IF(COUNTBLANK('Capacity summary'!$H211:$BG211)&lt;52,IF('Capacity summary'!H211&lt;&gt;"",IF(LOWER('Capacity summary'!H211)="x",$BI92*H92,VALUE('Capacity summary'!H211)),0),H92*$BI92),H92*$BI92),0)</f>
        <v>0</v>
      </c>
      <c r="BL92" s="314">
        <f>IF($BI92&lt;&gt;"",IF('Capacity summary'!$D$14="Yes",IF(COUNTBLANK('Capacity summary'!$H211:$BG211)&lt;52,IF('Capacity summary'!I211&lt;&gt;"",IF(LOWER('Capacity summary'!I211)="x",$BI92*I92,VALUE('Capacity summary'!I211)),0),I92*$BI92),I92*$BI92),0)</f>
        <v>0</v>
      </c>
      <c r="BM92" s="314">
        <f>IF($BI92&lt;&gt;"",IF('Capacity summary'!$D$14="Yes",IF(COUNTBLANK('Capacity summary'!$H211:$BG211)&lt;52,IF('Capacity summary'!J211&lt;&gt;"",IF(LOWER('Capacity summary'!J211)="x",$BI92*J92,VALUE('Capacity summary'!J211)),0),J92*$BI92),J92*$BI92),0)</f>
        <v>0</v>
      </c>
      <c r="BN92" s="314">
        <f>IF($BI92&lt;&gt;"",IF('Capacity summary'!$D$14="Yes",IF(COUNTBLANK('Capacity summary'!$H211:$BG211)&lt;52,IF('Capacity summary'!K211&lt;&gt;"",IF(LOWER('Capacity summary'!K211)="x",$BI92*K92,VALUE('Capacity summary'!K211)),0),K92*$BI92),K92*$BI92),0)</f>
        <v>0</v>
      </c>
      <c r="BO92" s="314">
        <f>IF($BI92&lt;&gt;"",IF('Capacity summary'!$D$14="Yes",IF(COUNTBLANK('Capacity summary'!$H211:$BG211)&lt;52,IF('Capacity summary'!L211&lt;&gt;"",IF(LOWER('Capacity summary'!L211)="x",$BI92*L92,VALUE('Capacity summary'!L211)),0),L92*$BI92),L92*$BI92),0)</f>
        <v>0</v>
      </c>
      <c r="BP92" s="314">
        <f>IF($BI92&lt;&gt;"",IF('Capacity summary'!$D$14="Yes",IF(COUNTBLANK('Capacity summary'!$H211:$BG211)&lt;52,IF('Capacity summary'!M211&lt;&gt;"",IF(LOWER('Capacity summary'!M211)="x",$BI92*M92,VALUE('Capacity summary'!M211)),0),M92*$BI92),M92*$BI92),0)</f>
        <v>0</v>
      </c>
      <c r="BQ92" s="314">
        <f>IF($BI92&lt;&gt;"",IF('Capacity summary'!$D$14="Yes",IF(COUNTBLANK('Capacity summary'!$H211:$BG211)&lt;52,IF('Capacity summary'!N211&lt;&gt;"",IF(LOWER('Capacity summary'!N211)="x",$BI92*N92,VALUE('Capacity summary'!N211)),0),N92*$BI92),N92*$BI92),0)</f>
        <v>0</v>
      </c>
      <c r="BR92" s="314">
        <f>IF($BI92&lt;&gt;"",IF('Capacity summary'!$D$14="Yes",IF(COUNTBLANK('Capacity summary'!$H211:$BG211)&lt;52,IF('Capacity summary'!O211&lt;&gt;"",IF(LOWER('Capacity summary'!O211)="x",$BI92*O92,VALUE('Capacity summary'!O211)),0),O92*$BI92),O92*$BI92),0)</f>
        <v>0</v>
      </c>
      <c r="BS92" s="314">
        <f>IF($BI92&lt;&gt;"",IF('Capacity summary'!$D$14="Yes",IF(COUNTBLANK('Capacity summary'!$H211:$BG211)&lt;52,IF('Capacity summary'!P211&lt;&gt;"",IF(LOWER('Capacity summary'!P211)="x",$BI92*P92,VALUE('Capacity summary'!P211)),0),P92*$BI92),P92*$BI92),0)</f>
        <v>0</v>
      </c>
      <c r="BT92" s="314">
        <f>IF($BI92&lt;&gt;"",IF('Capacity summary'!$D$14="Yes",IF(COUNTBLANK('Capacity summary'!$H211:$BG211)&lt;52,IF('Capacity summary'!Q211&lt;&gt;"",IF(LOWER('Capacity summary'!Q211)="x",$BI92*Q92,VALUE('Capacity summary'!Q211)),0),Q92*$BI92),Q92*$BI92),0)</f>
        <v>0</v>
      </c>
      <c r="BU92" s="314">
        <f>IF($BI92&lt;&gt;"",IF('Capacity summary'!$D$14="Yes",IF(COUNTBLANK('Capacity summary'!$H211:$BG211)&lt;52,IF('Capacity summary'!R211&lt;&gt;"",IF(LOWER('Capacity summary'!R211)="x",$BI92*R92,VALUE('Capacity summary'!R211)),0),R92*$BI92),R92*$BI92),0)</f>
        <v>0</v>
      </c>
      <c r="BV92" s="314">
        <f>IF($BI92&lt;&gt;"",IF('Capacity summary'!$D$14="Yes",IF(COUNTBLANK('Capacity summary'!$H211:$BG211)&lt;52,IF('Capacity summary'!S211&lt;&gt;"",IF(LOWER('Capacity summary'!S211)="x",$BI92*S92,VALUE('Capacity summary'!S211)),0),S92*$BI92),S92*$BI92),0)</f>
        <v>0</v>
      </c>
      <c r="BW92" s="314">
        <f>IF($BI92&lt;&gt;"",IF('Capacity summary'!$D$14="Yes",IF(COUNTBLANK('Capacity summary'!$H211:$BG211)&lt;52,IF('Capacity summary'!T211&lt;&gt;"",IF(LOWER('Capacity summary'!T211)="x",$BI92*T92,VALUE('Capacity summary'!T211)),0),T92*$BI92),T92*$BI92),0)</f>
        <v>0</v>
      </c>
      <c r="BX92" s="314">
        <f>IF($BI92&lt;&gt;"",IF('Capacity summary'!$D$14="Yes",IF(COUNTBLANK('Capacity summary'!$H211:$BG211)&lt;52,IF('Capacity summary'!U211&lt;&gt;"",IF(LOWER('Capacity summary'!U211)="x",$BI92*U92,VALUE('Capacity summary'!U211)),0),U92*$BI92),U92*$BI92),0)</f>
        <v>0</v>
      </c>
      <c r="BY92" s="314">
        <f>IF($BI92&lt;&gt;"",IF('Capacity summary'!$D$14="Yes",IF(COUNTBLANK('Capacity summary'!$H211:$BG211)&lt;52,IF('Capacity summary'!V211&lt;&gt;"",IF(LOWER('Capacity summary'!V211)="x",$BI92*V92,VALUE('Capacity summary'!V211)),0),V92*$BI92),V92*$BI92),0)</f>
        <v>0</v>
      </c>
      <c r="BZ92" s="314">
        <f>IF($BI92&lt;&gt;"",IF('Capacity summary'!$D$14="Yes",IF(COUNTBLANK('Capacity summary'!$H211:$BG211)&lt;52,IF('Capacity summary'!W211&lt;&gt;"",IF(LOWER('Capacity summary'!W211)="x",$BI92*W92,VALUE('Capacity summary'!W211)),0),W92*$BI92),W92*$BI92),0)</f>
        <v>0</v>
      </c>
      <c r="CA92" s="314">
        <f>IF($BI92&lt;&gt;"",IF('Capacity summary'!$D$14="Yes",IF(COUNTBLANK('Capacity summary'!$H211:$BG211)&lt;52,IF('Capacity summary'!X211&lt;&gt;"",IF(LOWER('Capacity summary'!X211)="x",$BI92*X92,VALUE('Capacity summary'!X211)),0),X92*$BI92),X92*$BI92),0)</f>
        <v>0</v>
      </c>
      <c r="CB92" s="314">
        <f>IF($BI92&lt;&gt;"",IF('Capacity summary'!$D$14="Yes",IF(COUNTBLANK('Capacity summary'!$H211:$BG211)&lt;52,IF('Capacity summary'!Y211&lt;&gt;"",IF(LOWER('Capacity summary'!Y211)="x",$BI92*Y92,VALUE('Capacity summary'!Y211)),0),Y92*$BI92),Y92*$BI92),0)</f>
        <v>0</v>
      </c>
      <c r="CC92" s="314">
        <f>IF($BI92&lt;&gt;"",IF('Capacity summary'!$D$14="Yes",IF(COUNTBLANK('Capacity summary'!$H211:$BG211)&lt;52,IF('Capacity summary'!Z211&lt;&gt;"",IF(LOWER('Capacity summary'!Z211)="x",$BI92*Z92,VALUE('Capacity summary'!Z211)),0),Z92*$BI92),Z92*$BI92),0)</f>
        <v>0</v>
      </c>
      <c r="CD92" s="314">
        <f>IF($BI92&lt;&gt;"",IF('Capacity summary'!$D$14="Yes",IF(COUNTBLANK('Capacity summary'!$H211:$BG211)&lt;52,IF('Capacity summary'!AA211&lt;&gt;"",IF(LOWER('Capacity summary'!AA211)="x",$BI92*AA92,VALUE('Capacity summary'!AA211)),0),AA92*$BI92),AA92*$BI92),0)</f>
        <v>0</v>
      </c>
      <c r="CE92" s="314">
        <f>IF($BI92&lt;&gt;"",IF('Capacity summary'!$D$14="Yes",IF(COUNTBLANK('Capacity summary'!$H211:$BG211)&lt;52,IF('Capacity summary'!AB211&lt;&gt;"",IF(LOWER('Capacity summary'!AB211)="x",$BI92*AB92,VALUE('Capacity summary'!AB211)),0),AB92*$BI92),AB92*$BI92),0)</f>
        <v>0</v>
      </c>
      <c r="CF92" s="314">
        <f>IF($BI92&lt;&gt;"",IF('Capacity summary'!$D$14="Yes",IF(COUNTBLANK('Capacity summary'!$H211:$BG211)&lt;52,IF('Capacity summary'!AC211&lt;&gt;"",IF(LOWER('Capacity summary'!AC211)="x",$BI92*AC92,VALUE('Capacity summary'!AC211)),0),AC92*$BI92),AC92*$BI92),0)</f>
        <v>0</v>
      </c>
      <c r="CG92" s="314">
        <f>IF($BI92&lt;&gt;"",IF('Capacity summary'!$D$14="Yes",IF(COUNTBLANK('Capacity summary'!$H211:$BG211)&lt;52,IF('Capacity summary'!AD211&lt;&gt;"",IF(LOWER('Capacity summary'!AD211)="x",$BI92*AD92,VALUE('Capacity summary'!AD211)),0),AD92*$BI92),AD92*$BI92),0)</f>
        <v>0</v>
      </c>
      <c r="CH92" s="314">
        <f>IF($BI92&lt;&gt;"",IF('Capacity summary'!$D$14="Yes",IF(COUNTBLANK('Capacity summary'!$H211:$BG211)&lt;52,IF('Capacity summary'!AE211&lt;&gt;"",IF(LOWER('Capacity summary'!AE211)="x",$BI92*AE92,VALUE('Capacity summary'!AE211)),0),AE92*$BI92),AE92*$BI92),0)</f>
        <v>0</v>
      </c>
      <c r="CI92" s="314">
        <f>IF($BI92&lt;&gt;"",IF('Capacity summary'!$D$14="Yes",IF(COUNTBLANK('Capacity summary'!$H211:$BG211)&lt;52,IF('Capacity summary'!AF211&lt;&gt;"",IF(LOWER('Capacity summary'!AF211)="x",$BI92*AF92,VALUE('Capacity summary'!AF211)),0),AF92*$BI92),AF92*$BI92),0)</f>
        <v>0</v>
      </c>
      <c r="CJ92" s="314">
        <f>IF($BI92&lt;&gt;"",IF('Capacity summary'!$D$14="Yes",IF(COUNTBLANK('Capacity summary'!$H211:$BG211)&lt;52,IF('Capacity summary'!AG211&lt;&gt;"",IF(LOWER('Capacity summary'!AG211)="x",$BI92*AG92,VALUE('Capacity summary'!AG211)),0),AG92*$BI92),AG92*$BI92),0)</f>
        <v>0</v>
      </c>
      <c r="CK92" s="314">
        <f>IF($BI92&lt;&gt;"",IF('Capacity summary'!$D$14="Yes",IF(COUNTBLANK('Capacity summary'!$H211:$BG211)&lt;52,IF('Capacity summary'!AH211&lt;&gt;"",IF(LOWER('Capacity summary'!AH211)="x",$BI92*AH92,VALUE('Capacity summary'!AH211)),0),AH92*$BI92),AH92*$BI92),0)</f>
        <v>0</v>
      </c>
      <c r="CL92" s="314">
        <f>IF($BI92&lt;&gt;"",IF('Capacity summary'!$D$14="Yes",IF(COUNTBLANK('Capacity summary'!$H211:$BG211)&lt;52,IF('Capacity summary'!AI211&lt;&gt;"",IF(LOWER('Capacity summary'!AI211)="x",$BI92*AI92,VALUE('Capacity summary'!AI211)),0),AI92*$BI92),AI92*$BI92),0)</f>
        <v>0</v>
      </c>
      <c r="CM92" s="314">
        <f>IF($BI92&lt;&gt;"",IF('Capacity summary'!$D$14="Yes",IF(COUNTBLANK('Capacity summary'!$H211:$BG211)&lt;52,IF('Capacity summary'!AJ211&lt;&gt;"",IF(LOWER('Capacity summary'!AJ211)="x",$BI92*AJ92,VALUE('Capacity summary'!AJ211)),0),AJ92*$BI92),AJ92*$BI92),0)</f>
        <v>0</v>
      </c>
      <c r="CN92" s="314">
        <f>IF($BI92&lt;&gt;"",IF('Capacity summary'!$D$14="Yes",IF(COUNTBLANK('Capacity summary'!$H211:$BG211)&lt;52,IF('Capacity summary'!AK211&lt;&gt;"",IF(LOWER('Capacity summary'!AK211)="x",$BI92*AK92,VALUE('Capacity summary'!AK211)),0),AK92*$BI92),AK92*$BI92),0)</f>
        <v>0</v>
      </c>
      <c r="CO92" s="314">
        <f>IF($BI92&lt;&gt;"",IF('Capacity summary'!$D$14="Yes",IF(COUNTBLANK('Capacity summary'!$H211:$BG211)&lt;52,IF('Capacity summary'!AL211&lt;&gt;"",IF(LOWER('Capacity summary'!AL211)="x",$BI92*AL92,VALUE('Capacity summary'!AL211)),0),AL92*$BI92),AL92*$BI92),0)</f>
        <v>0</v>
      </c>
      <c r="CP92" s="314">
        <f>IF($BI92&lt;&gt;"",IF('Capacity summary'!$D$14="Yes",IF(COUNTBLANK('Capacity summary'!$H211:$BG211)&lt;52,IF('Capacity summary'!AM211&lt;&gt;"",IF(LOWER('Capacity summary'!AM211)="x",$BI92*AM92,VALUE('Capacity summary'!AM211)),0),AM92*$BI92),AM92*$BI92),0)</f>
        <v>0</v>
      </c>
      <c r="CQ92" s="314">
        <f>IF($BI92&lt;&gt;"",IF('Capacity summary'!$D$14="Yes",IF(COUNTBLANK('Capacity summary'!$H211:$BG211)&lt;52,IF('Capacity summary'!AN211&lt;&gt;"",IF(LOWER('Capacity summary'!AN211)="x",$BI92*AN92,VALUE('Capacity summary'!AN211)),0),AN92*$BI92),AN92*$BI92),0)</f>
        <v>0</v>
      </c>
      <c r="CR92" s="314">
        <f>IF($BI92&lt;&gt;"",IF('Capacity summary'!$D$14="Yes",IF(COUNTBLANK('Capacity summary'!$H211:$BG211)&lt;52,IF('Capacity summary'!AO211&lt;&gt;"",IF(LOWER('Capacity summary'!AO211)="x",$BI92*AO92,VALUE('Capacity summary'!AO211)),0),AO92*$BI92),AO92*$BI92),0)</f>
        <v>0</v>
      </c>
      <c r="CS92" s="314">
        <f>IF($BI92&lt;&gt;"",IF('Capacity summary'!$D$14="Yes",IF(COUNTBLANK('Capacity summary'!$H211:$BG211)&lt;52,IF('Capacity summary'!AP211&lt;&gt;"",IF(LOWER('Capacity summary'!AP211)="x",$BI92*AP92,VALUE('Capacity summary'!AP211)),0),AP92*$BI92),AP92*$BI92),0)</f>
        <v>0</v>
      </c>
      <c r="CT92" s="314">
        <f>IF($BI92&lt;&gt;"",IF('Capacity summary'!$D$14="Yes",IF(COUNTBLANK('Capacity summary'!$H211:$BG211)&lt;52,IF('Capacity summary'!AQ211&lt;&gt;"",IF(LOWER('Capacity summary'!AQ211)="x",$BI92*AQ92,VALUE('Capacity summary'!AQ211)),0),AQ92*$BI92),AQ92*$BI92),0)</f>
        <v>0</v>
      </c>
      <c r="CU92" s="314">
        <f>IF($BI92&lt;&gt;"",IF('Capacity summary'!$D$14="Yes",IF(COUNTBLANK('Capacity summary'!$H211:$BG211)&lt;52,IF('Capacity summary'!AR211&lt;&gt;"",IF(LOWER('Capacity summary'!AR211)="x",$BI92*AR92,VALUE('Capacity summary'!AR211)),0),AR92*$BI92),AR92*$BI92),0)</f>
        <v>0</v>
      </c>
      <c r="CV92" s="314">
        <f>IF($BI92&lt;&gt;"",IF('Capacity summary'!$D$14="Yes",IF(COUNTBLANK('Capacity summary'!$H211:$BG211)&lt;52,IF('Capacity summary'!AS211&lt;&gt;"",IF(LOWER('Capacity summary'!AS211)="x",$BI92*AS92,VALUE('Capacity summary'!AS211)),0),AS92*$BI92),AS92*$BI92),0)</f>
        <v>0</v>
      </c>
      <c r="CW92" s="314">
        <f>IF($BI92&lt;&gt;"",IF('Capacity summary'!$D$14="Yes",IF(COUNTBLANK('Capacity summary'!$H211:$BG211)&lt;52,IF('Capacity summary'!AT211&lt;&gt;"",IF(LOWER('Capacity summary'!AT211)="x",$BI92*AT92,VALUE('Capacity summary'!AT211)),0),AT92*$BI92),AT92*$BI92),0)</f>
        <v>0</v>
      </c>
      <c r="CX92" s="314">
        <f>IF($BI92&lt;&gt;"",IF('Capacity summary'!$D$14="Yes",IF(COUNTBLANK('Capacity summary'!$H211:$BG211)&lt;52,IF('Capacity summary'!AU211&lt;&gt;"",IF(LOWER('Capacity summary'!AU211)="x",$BI92*AU92,VALUE('Capacity summary'!AU211)),0),AU92*$BI92),AU92*$BI92),0)</f>
        <v>0</v>
      </c>
      <c r="CY92" s="314">
        <f>IF($BI92&lt;&gt;"",IF('Capacity summary'!$D$14="Yes",IF(COUNTBLANK('Capacity summary'!$H211:$BG211)&lt;52,IF('Capacity summary'!AV211&lt;&gt;"",IF(LOWER('Capacity summary'!AV211)="x",$BI92*AV92,VALUE('Capacity summary'!AV211)),0),AV92*$BI92),AV92*$BI92),0)</f>
        <v>0</v>
      </c>
      <c r="CZ92" s="314">
        <f>IF($BI92&lt;&gt;"",IF('Capacity summary'!$D$14="Yes",IF(COUNTBLANK('Capacity summary'!$H211:$BG211)&lt;52,IF('Capacity summary'!AW211&lt;&gt;"",IF(LOWER('Capacity summary'!AW211)="x",$BI92*AW92,VALUE('Capacity summary'!AW211)),0),AW92*$BI92),AW92*$BI92),0)</f>
        <v>0</v>
      </c>
      <c r="DA92" s="314">
        <f>IF($BI92&lt;&gt;"",IF('Capacity summary'!$D$14="Yes",IF(COUNTBLANK('Capacity summary'!$H211:$BG211)&lt;52,IF('Capacity summary'!AX211&lt;&gt;"",IF(LOWER('Capacity summary'!AX211)="x",$BI92*AX92,VALUE('Capacity summary'!AX211)),0),AX92*$BI92),AX92*$BI92),0)</f>
        <v>0</v>
      </c>
      <c r="DB92" s="314">
        <f>IF($BI92&lt;&gt;"",IF('Capacity summary'!$D$14="Yes",IF(COUNTBLANK('Capacity summary'!$H211:$BG211)&lt;52,IF('Capacity summary'!AY211&lt;&gt;"",IF(LOWER('Capacity summary'!AY211)="x",$BI92*AY92,VALUE('Capacity summary'!AY211)),0),AY92*$BI92),AY92*$BI92),0)</f>
        <v>0</v>
      </c>
      <c r="DC92" s="314">
        <f>IF($BI92&lt;&gt;"",IF('Capacity summary'!$D$14="Yes",IF(COUNTBLANK('Capacity summary'!$H211:$BG211)&lt;52,IF('Capacity summary'!AZ211&lt;&gt;"",IF(LOWER('Capacity summary'!AZ211)="x",$BI92*AZ92,VALUE('Capacity summary'!AZ211)),0),AZ92*$BI92),AZ92*$BI92),0)</f>
        <v>0</v>
      </c>
      <c r="DD92" s="314">
        <f>IF($BI92&lt;&gt;"",IF('Capacity summary'!$D$14="Yes",IF(COUNTBLANK('Capacity summary'!$H211:$BG211)&lt;52,IF('Capacity summary'!BA211&lt;&gt;"",IF(LOWER('Capacity summary'!BA211)="x",$BI92*BA92,VALUE('Capacity summary'!BA211)),0),BA92*$BI92),BA92*$BI92),0)</f>
        <v>0</v>
      </c>
      <c r="DE92" s="314">
        <f>IF($BI92&lt;&gt;"",IF('Capacity summary'!$D$14="Yes",IF(COUNTBLANK('Capacity summary'!$H211:$BG211)&lt;52,IF('Capacity summary'!BB211&lt;&gt;"",IF(LOWER('Capacity summary'!BB211)="x",$BI92*BB92,VALUE('Capacity summary'!BB211)),0),BB92*$BI92),BB92*$BI92),0)</f>
        <v>0</v>
      </c>
      <c r="DF92" s="314">
        <f>IF($BI92&lt;&gt;"",IF('Capacity summary'!$D$14="Yes",IF(COUNTBLANK('Capacity summary'!$H211:$BG211)&lt;52,IF('Capacity summary'!BC211&lt;&gt;"",IF(LOWER('Capacity summary'!BC211)="x",$BI92*BC92,VALUE('Capacity summary'!BC211)),0),BC92*$BI92),BC92*$BI92),0)</f>
        <v>0</v>
      </c>
      <c r="DG92" s="314">
        <f>IF($BI92&lt;&gt;"",IF('Capacity summary'!$D$14="Yes",IF(COUNTBLANK('Capacity summary'!$H211:$BG211)&lt;52,IF('Capacity summary'!BD211&lt;&gt;"",IF(LOWER('Capacity summary'!BD211)="x",$BI92*BD92,VALUE('Capacity summary'!BD211)),0),BD92*$BI92),BD92*$BI92),0)</f>
        <v>0</v>
      </c>
      <c r="DH92" s="314">
        <f>IF($BI92&lt;&gt;"",IF('Capacity summary'!$D$14="Yes",IF(COUNTBLANK('Capacity summary'!$H211:$BG211)&lt;52,IF('Capacity summary'!BE211&lt;&gt;"",IF(LOWER('Capacity summary'!BE211)="x",$BI92*BE92,VALUE('Capacity summary'!BE211)),0),BE92*$BI92),BE92*$BI92),0)</f>
        <v>0</v>
      </c>
      <c r="DI92" s="314">
        <f>IF($BI92&lt;&gt;"",IF('Capacity summary'!$D$14="Yes",IF(COUNTBLANK('Capacity summary'!$H211:$BG211)&lt;52,IF('Capacity summary'!BF211&lt;&gt;"",IF(LOWER('Capacity summary'!BF211)="x",$BI92*BF92,VALUE('Capacity summary'!BF211)),0),BF92*$BI92),BF92*$BI92),0)</f>
        <v>0</v>
      </c>
      <c r="DJ92" s="314">
        <f>IF($BI92&lt;&gt;"",IF('Capacity summary'!$D$14="Yes",IF(COUNTBLANK('Capacity summary'!$H211:$BG211)&lt;52,IF('Capacity summary'!BG211&lt;&gt;"",IF(LOWER('Capacity summary'!BG211)="x",$BI92*BG92,VALUE('Capacity summary'!BG211)),0),BG92*$BI92),BG92*$BI92),0)</f>
        <v>0</v>
      </c>
      <c r="DK92" s="137">
        <f t="shared" si="3"/>
        <v>0</v>
      </c>
      <c r="DL92" s="314"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4">
        <f>IF($BI93&lt;&gt;"",IF('Capacity summary'!$D$14="Yes",IF(COUNTBLANK('Capacity summary'!$H212:$BG212)&lt;52,IF('Capacity summary'!H212&lt;&gt;"",IF(LOWER('Capacity summary'!H212)="x",$BI93*H93,VALUE('Capacity summary'!H212)),0),H93*$BI93),H93*$BI93),0)</f>
        <v>0</v>
      </c>
      <c r="BL93" s="314">
        <f>IF($BI93&lt;&gt;"",IF('Capacity summary'!$D$14="Yes",IF(COUNTBLANK('Capacity summary'!$H212:$BG212)&lt;52,IF('Capacity summary'!I212&lt;&gt;"",IF(LOWER('Capacity summary'!I212)="x",$BI93*I93,VALUE('Capacity summary'!I212)),0),I93*$BI93),I93*$BI93),0)</f>
        <v>0</v>
      </c>
      <c r="BM93" s="314">
        <f>IF($BI93&lt;&gt;"",IF('Capacity summary'!$D$14="Yes",IF(COUNTBLANK('Capacity summary'!$H212:$BG212)&lt;52,IF('Capacity summary'!J212&lt;&gt;"",IF(LOWER('Capacity summary'!J212)="x",$BI93*J93,VALUE('Capacity summary'!J212)),0),J93*$BI93),J93*$BI93),0)</f>
        <v>0</v>
      </c>
      <c r="BN93" s="314">
        <f>IF($BI93&lt;&gt;"",IF('Capacity summary'!$D$14="Yes",IF(COUNTBLANK('Capacity summary'!$H212:$BG212)&lt;52,IF('Capacity summary'!K212&lt;&gt;"",IF(LOWER('Capacity summary'!K212)="x",$BI93*K93,VALUE('Capacity summary'!K212)),0),K93*$BI93),K93*$BI93),0)</f>
        <v>0</v>
      </c>
      <c r="BO93" s="314">
        <f>IF($BI93&lt;&gt;"",IF('Capacity summary'!$D$14="Yes",IF(COUNTBLANK('Capacity summary'!$H212:$BG212)&lt;52,IF('Capacity summary'!L212&lt;&gt;"",IF(LOWER('Capacity summary'!L212)="x",$BI93*L93,VALUE('Capacity summary'!L212)),0),L93*$BI93),L93*$BI93),0)</f>
        <v>0</v>
      </c>
      <c r="BP93" s="314">
        <f>IF($BI93&lt;&gt;"",IF('Capacity summary'!$D$14="Yes",IF(COUNTBLANK('Capacity summary'!$H212:$BG212)&lt;52,IF('Capacity summary'!M212&lt;&gt;"",IF(LOWER('Capacity summary'!M212)="x",$BI93*M93,VALUE('Capacity summary'!M212)),0),M93*$BI93),M93*$BI93),0)</f>
        <v>0</v>
      </c>
      <c r="BQ93" s="314">
        <f>IF($BI93&lt;&gt;"",IF('Capacity summary'!$D$14="Yes",IF(COUNTBLANK('Capacity summary'!$H212:$BG212)&lt;52,IF('Capacity summary'!N212&lt;&gt;"",IF(LOWER('Capacity summary'!N212)="x",$BI93*N93,VALUE('Capacity summary'!N212)),0),N93*$BI93),N93*$BI93),0)</f>
        <v>0</v>
      </c>
      <c r="BR93" s="314">
        <f>IF($BI93&lt;&gt;"",IF('Capacity summary'!$D$14="Yes",IF(COUNTBLANK('Capacity summary'!$H212:$BG212)&lt;52,IF('Capacity summary'!O212&lt;&gt;"",IF(LOWER('Capacity summary'!O212)="x",$BI93*O93,VALUE('Capacity summary'!O212)),0),O93*$BI93),O93*$BI93),0)</f>
        <v>0</v>
      </c>
      <c r="BS93" s="314">
        <f>IF($BI93&lt;&gt;"",IF('Capacity summary'!$D$14="Yes",IF(COUNTBLANK('Capacity summary'!$H212:$BG212)&lt;52,IF('Capacity summary'!P212&lt;&gt;"",IF(LOWER('Capacity summary'!P212)="x",$BI93*P93,VALUE('Capacity summary'!P212)),0),P93*$BI93),P93*$BI93),0)</f>
        <v>0</v>
      </c>
      <c r="BT93" s="314">
        <f>IF($BI93&lt;&gt;"",IF('Capacity summary'!$D$14="Yes",IF(COUNTBLANK('Capacity summary'!$H212:$BG212)&lt;52,IF('Capacity summary'!Q212&lt;&gt;"",IF(LOWER('Capacity summary'!Q212)="x",$BI93*Q93,VALUE('Capacity summary'!Q212)),0),Q93*$BI93),Q93*$BI93),0)</f>
        <v>0</v>
      </c>
      <c r="BU93" s="314">
        <f>IF($BI93&lt;&gt;"",IF('Capacity summary'!$D$14="Yes",IF(COUNTBLANK('Capacity summary'!$H212:$BG212)&lt;52,IF('Capacity summary'!R212&lt;&gt;"",IF(LOWER('Capacity summary'!R212)="x",$BI93*R93,VALUE('Capacity summary'!R212)),0),R93*$BI93),R93*$BI93),0)</f>
        <v>0</v>
      </c>
      <c r="BV93" s="314">
        <f>IF($BI93&lt;&gt;"",IF('Capacity summary'!$D$14="Yes",IF(COUNTBLANK('Capacity summary'!$H212:$BG212)&lt;52,IF('Capacity summary'!S212&lt;&gt;"",IF(LOWER('Capacity summary'!S212)="x",$BI93*S93,VALUE('Capacity summary'!S212)),0),S93*$BI93),S93*$BI93),0)</f>
        <v>0</v>
      </c>
      <c r="BW93" s="314">
        <f>IF($BI93&lt;&gt;"",IF('Capacity summary'!$D$14="Yes",IF(COUNTBLANK('Capacity summary'!$H212:$BG212)&lt;52,IF('Capacity summary'!T212&lt;&gt;"",IF(LOWER('Capacity summary'!T212)="x",$BI93*T93,VALUE('Capacity summary'!T212)),0),T93*$BI93),T93*$BI93),0)</f>
        <v>0</v>
      </c>
      <c r="BX93" s="314">
        <f>IF($BI93&lt;&gt;"",IF('Capacity summary'!$D$14="Yes",IF(COUNTBLANK('Capacity summary'!$H212:$BG212)&lt;52,IF('Capacity summary'!U212&lt;&gt;"",IF(LOWER('Capacity summary'!U212)="x",$BI93*U93,VALUE('Capacity summary'!U212)),0),U93*$BI93),U93*$BI93),0)</f>
        <v>0</v>
      </c>
      <c r="BY93" s="314">
        <f>IF($BI93&lt;&gt;"",IF('Capacity summary'!$D$14="Yes",IF(COUNTBLANK('Capacity summary'!$H212:$BG212)&lt;52,IF('Capacity summary'!V212&lt;&gt;"",IF(LOWER('Capacity summary'!V212)="x",$BI93*V93,VALUE('Capacity summary'!V212)),0),V93*$BI93),V93*$BI93),0)</f>
        <v>0</v>
      </c>
      <c r="BZ93" s="314">
        <f>IF($BI93&lt;&gt;"",IF('Capacity summary'!$D$14="Yes",IF(COUNTBLANK('Capacity summary'!$H212:$BG212)&lt;52,IF('Capacity summary'!W212&lt;&gt;"",IF(LOWER('Capacity summary'!W212)="x",$BI93*W93,VALUE('Capacity summary'!W212)),0),W93*$BI93),W93*$BI93),0)</f>
        <v>0</v>
      </c>
      <c r="CA93" s="314">
        <f>IF($BI93&lt;&gt;"",IF('Capacity summary'!$D$14="Yes",IF(COUNTBLANK('Capacity summary'!$H212:$BG212)&lt;52,IF('Capacity summary'!X212&lt;&gt;"",IF(LOWER('Capacity summary'!X212)="x",$BI93*X93,VALUE('Capacity summary'!X212)),0),X93*$BI93),X93*$BI93),0)</f>
        <v>0</v>
      </c>
      <c r="CB93" s="314">
        <f>IF($BI93&lt;&gt;"",IF('Capacity summary'!$D$14="Yes",IF(COUNTBLANK('Capacity summary'!$H212:$BG212)&lt;52,IF('Capacity summary'!Y212&lt;&gt;"",IF(LOWER('Capacity summary'!Y212)="x",$BI93*Y93,VALUE('Capacity summary'!Y212)),0),Y93*$BI93),Y93*$BI93),0)</f>
        <v>0</v>
      </c>
      <c r="CC93" s="314">
        <f>IF($BI93&lt;&gt;"",IF('Capacity summary'!$D$14="Yes",IF(COUNTBLANK('Capacity summary'!$H212:$BG212)&lt;52,IF('Capacity summary'!Z212&lt;&gt;"",IF(LOWER('Capacity summary'!Z212)="x",$BI93*Z93,VALUE('Capacity summary'!Z212)),0),Z93*$BI93),Z93*$BI93),0)</f>
        <v>0</v>
      </c>
      <c r="CD93" s="314">
        <f>IF($BI93&lt;&gt;"",IF('Capacity summary'!$D$14="Yes",IF(COUNTBLANK('Capacity summary'!$H212:$BG212)&lt;52,IF('Capacity summary'!AA212&lt;&gt;"",IF(LOWER('Capacity summary'!AA212)="x",$BI93*AA93,VALUE('Capacity summary'!AA212)),0),AA93*$BI93),AA93*$BI93),0)</f>
        <v>0</v>
      </c>
      <c r="CE93" s="314">
        <f>IF($BI93&lt;&gt;"",IF('Capacity summary'!$D$14="Yes",IF(COUNTBLANK('Capacity summary'!$H212:$BG212)&lt;52,IF('Capacity summary'!AB212&lt;&gt;"",IF(LOWER('Capacity summary'!AB212)="x",$BI93*AB93,VALUE('Capacity summary'!AB212)),0),AB93*$BI93),AB93*$BI93),0)</f>
        <v>0</v>
      </c>
      <c r="CF93" s="314">
        <f>IF($BI93&lt;&gt;"",IF('Capacity summary'!$D$14="Yes",IF(COUNTBLANK('Capacity summary'!$H212:$BG212)&lt;52,IF('Capacity summary'!AC212&lt;&gt;"",IF(LOWER('Capacity summary'!AC212)="x",$BI93*AC93,VALUE('Capacity summary'!AC212)),0),AC93*$BI93),AC93*$BI93),0)</f>
        <v>0</v>
      </c>
      <c r="CG93" s="314">
        <f>IF($BI93&lt;&gt;"",IF('Capacity summary'!$D$14="Yes",IF(COUNTBLANK('Capacity summary'!$H212:$BG212)&lt;52,IF('Capacity summary'!AD212&lt;&gt;"",IF(LOWER('Capacity summary'!AD212)="x",$BI93*AD93,VALUE('Capacity summary'!AD212)),0),AD93*$BI93),AD93*$BI93),0)</f>
        <v>0</v>
      </c>
      <c r="CH93" s="314">
        <f>IF($BI93&lt;&gt;"",IF('Capacity summary'!$D$14="Yes",IF(COUNTBLANK('Capacity summary'!$H212:$BG212)&lt;52,IF('Capacity summary'!AE212&lt;&gt;"",IF(LOWER('Capacity summary'!AE212)="x",$BI93*AE93,VALUE('Capacity summary'!AE212)),0),AE93*$BI93),AE93*$BI93),0)</f>
        <v>0</v>
      </c>
      <c r="CI93" s="314">
        <f>IF($BI93&lt;&gt;"",IF('Capacity summary'!$D$14="Yes",IF(COUNTBLANK('Capacity summary'!$H212:$BG212)&lt;52,IF('Capacity summary'!AF212&lt;&gt;"",IF(LOWER('Capacity summary'!AF212)="x",$BI93*AF93,VALUE('Capacity summary'!AF212)),0),AF93*$BI93),AF93*$BI93),0)</f>
        <v>0</v>
      </c>
      <c r="CJ93" s="314">
        <f>IF($BI93&lt;&gt;"",IF('Capacity summary'!$D$14="Yes",IF(COUNTBLANK('Capacity summary'!$H212:$BG212)&lt;52,IF('Capacity summary'!AG212&lt;&gt;"",IF(LOWER('Capacity summary'!AG212)="x",$BI93*AG93,VALUE('Capacity summary'!AG212)),0),AG93*$BI93),AG93*$BI93),0)</f>
        <v>0</v>
      </c>
      <c r="CK93" s="314">
        <f>IF($BI93&lt;&gt;"",IF('Capacity summary'!$D$14="Yes",IF(COUNTBLANK('Capacity summary'!$H212:$BG212)&lt;52,IF('Capacity summary'!AH212&lt;&gt;"",IF(LOWER('Capacity summary'!AH212)="x",$BI93*AH93,VALUE('Capacity summary'!AH212)),0),AH93*$BI93),AH93*$BI93),0)</f>
        <v>0</v>
      </c>
      <c r="CL93" s="314">
        <f>IF($BI93&lt;&gt;"",IF('Capacity summary'!$D$14="Yes",IF(COUNTBLANK('Capacity summary'!$H212:$BG212)&lt;52,IF('Capacity summary'!AI212&lt;&gt;"",IF(LOWER('Capacity summary'!AI212)="x",$BI93*AI93,VALUE('Capacity summary'!AI212)),0),AI93*$BI93),AI93*$BI93),0)</f>
        <v>0</v>
      </c>
      <c r="CM93" s="314">
        <f>IF($BI93&lt;&gt;"",IF('Capacity summary'!$D$14="Yes",IF(COUNTBLANK('Capacity summary'!$H212:$BG212)&lt;52,IF('Capacity summary'!AJ212&lt;&gt;"",IF(LOWER('Capacity summary'!AJ212)="x",$BI93*AJ93,VALUE('Capacity summary'!AJ212)),0),AJ93*$BI93),AJ93*$BI93),0)</f>
        <v>0</v>
      </c>
      <c r="CN93" s="314">
        <f>IF($BI93&lt;&gt;"",IF('Capacity summary'!$D$14="Yes",IF(COUNTBLANK('Capacity summary'!$H212:$BG212)&lt;52,IF('Capacity summary'!AK212&lt;&gt;"",IF(LOWER('Capacity summary'!AK212)="x",$BI93*AK93,VALUE('Capacity summary'!AK212)),0),AK93*$BI93),AK93*$BI93),0)</f>
        <v>0</v>
      </c>
      <c r="CO93" s="314">
        <f>IF($BI93&lt;&gt;"",IF('Capacity summary'!$D$14="Yes",IF(COUNTBLANK('Capacity summary'!$H212:$BG212)&lt;52,IF('Capacity summary'!AL212&lt;&gt;"",IF(LOWER('Capacity summary'!AL212)="x",$BI93*AL93,VALUE('Capacity summary'!AL212)),0),AL93*$BI93),AL93*$BI93),0)</f>
        <v>0</v>
      </c>
      <c r="CP93" s="314">
        <f>IF($BI93&lt;&gt;"",IF('Capacity summary'!$D$14="Yes",IF(COUNTBLANK('Capacity summary'!$H212:$BG212)&lt;52,IF('Capacity summary'!AM212&lt;&gt;"",IF(LOWER('Capacity summary'!AM212)="x",$BI93*AM93,VALUE('Capacity summary'!AM212)),0),AM93*$BI93),AM93*$BI93),0)</f>
        <v>0</v>
      </c>
      <c r="CQ93" s="314">
        <f>IF($BI93&lt;&gt;"",IF('Capacity summary'!$D$14="Yes",IF(COUNTBLANK('Capacity summary'!$H212:$BG212)&lt;52,IF('Capacity summary'!AN212&lt;&gt;"",IF(LOWER('Capacity summary'!AN212)="x",$BI93*AN93,VALUE('Capacity summary'!AN212)),0),AN93*$BI93),AN93*$BI93),0)</f>
        <v>0</v>
      </c>
      <c r="CR93" s="314">
        <f>IF($BI93&lt;&gt;"",IF('Capacity summary'!$D$14="Yes",IF(COUNTBLANK('Capacity summary'!$H212:$BG212)&lt;52,IF('Capacity summary'!AO212&lt;&gt;"",IF(LOWER('Capacity summary'!AO212)="x",$BI93*AO93,VALUE('Capacity summary'!AO212)),0),AO93*$BI93),AO93*$BI93),0)</f>
        <v>0</v>
      </c>
      <c r="CS93" s="314">
        <f>IF($BI93&lt;&gt;"",IF('Capacity summary'!$D$14="Yes",IF(COUNTBLANK('Capacity summary'!$H212:$BG212)&lt;52,IF('Capacity summary'!AP212&lt;&gt;"",IF(LOWER('Capacity summary'!AP212)="x",$BI93*AP93,VALUE('Capacity summary'!AP212)),0),AP93*$BI93),AP93*$BI93),0)</f>
        <v>0</v>
      </c>
      <c r="CT93" s="314">
        <f>IF($BI93&lt;&gt;"",IF('Capacity summary'!$D$14="Yes",IF(COUNTBLANK('Capacity summary'!$H212:$BG212)&lt;52,IF('Capacity summary'!AQ212&lt;&gt;"",IF(LOWER('Capacity summary'!AQ212)="x",$BI93*AQ93,VALUE('Capacity summary'!AQ212)),0),AQ93*$BI93),AQ93*$BI93),0)</f>
        <v>0</v>
      </c>
      <c r="CU93" s="314">
        <f>IF($BI93&lt;&gt;"",IF('Capacity summary'!$D$14="Yes",IF(COUNTBLANK('Capacity summary'!$H212:$BG212)&lt;52,IF('Capacity summary'!AR212&lt;&gt;"",IF(LOWER('Capacity summary'!AR212)="x",$BI93*AR93,VALUE('Capacity summary'!AR212)),0),AR93*$BI93),AR93*$BI93),0)</f>
        <v>0</v>
      </c>
      <c r="CV93" s="314">
        <f>IF($BI93&lt;&gt;"",IF('Capacity summary'!$D$14="Yes",IF(COUNTBLANK('Capacity summary'!$H212:$BG212)&lt;52,IF('Capacity summary'!AS212&lt;&gt;"",IF(LOWER('Capacity summary'!AS212)="x",$BI93*AS93,VALUE('Capacity summary'!AS212)),0),AS93*$BI93),AS93*$BI93),0)</f>
        <v>0</v>
      </c>
      <c r="CW93" s="314">
        <f>IF($BI93&lt;&gt;"",IF('Capacity summary'!$D$14="Yes",IF(COUNTBLANK('Capacity summary'!$H212:$BG212)&lt;52,IF('Capacity summary'!AT212&lt;&gt;"",IF(LOWER('Capacity summary'!AT212)="x",$BI93*AT93,VALUE('Capacity summary'!AT212)),0),AT93*$BI93),AT93*$BI93),0)</f>
        <v>0</v>
      </c>
      <c r="CX93" s="314">
        <f>IF($BI93&lt;&gt;"",IF('Capacity summary'!$D$14="Yes",IF(COUNTBLANK('Capacity summary'!$H212:$BG212)&lt;52,IF('Capacity summary'!AU212&lt;&gt;"",IF(LOWER('Capacity summary'!AU212)="x",$BI93*AU93,VALUE('Capacity summary'!AU212)),0),AU93*$BI93),AU93*$BI93),0)</f>
        <v>0</v>
      </c>
      <c r="CY93" s="314">
        <f>IF($BI93&lt;&gt;"",IF('Capacity summary'!$D$14="Yes",IF(COUNTBLANK('Capacity summary'!$H212:$BG212)&lt;52,IF('Capacity summary'!AV212&lt;&gt;"",IF(LOWER('Capacity summary'!AV212)="x",$BI93*AV93,VALUE('Capacity summary'!AV212)),0),AV93*$BI93),AV93*$BI93),0)</f>
        <v>0</v>
      </c>
      <c r="CZ93" s="314">
        <f>IF($BI93&lt;&gt;"",IF('Capacity summary'!$D$14="Yes",IF(COUNTBLANK('Capacity summary'!$H212:$BG212)&lt;52,IF('Capacity summary'!AW212&lt;&gt;"",IF(LOWER('Capacity summary'!AW212)="x",$BI93*AW93,VALUE('Capacity summary'!AW212)),0),AW93*$BI93),AW93*$BI93),0)</f>
        <v>0</v>
      </c>
      <c r="DA93" s="314">
        <f>IF($BI93&lt;&gt;"",IF('Capacity summary'!$D$14="Yes",IF(COUNTBLANK('Capacity summary'!$H212:$BG212)&lt;52,IF('Capacity summary'!AX212&lt;&gt;"",IF(LOWER('Capacity summary'!AX212)="x",$BI93*AX93,VALUE('Capacity summary'!AX212)),0),AX93*$BI93),AX93*$BI93),0)</f>
        <v>0</v>
      </c>
      <c r="DB93" s="314">
        <f>IF($BI93&lt;&gt;"",IF('Capacity summary'!$D$14="Yes",IF(COUNTBLANK('Capacity summary'!$H212:$BG212)&lt;52,IF('Capacity summary'!AY212&lt;&gt;"",IF(LOWER('Capacity summary'!AY212)="x",$BI93*AY93,VALUE('Capacity summary'!AY212)),0),AY93*$BI93),AY93*$BI93),0)</f>
        <v>0</v>
      </c>
      <c r="DC93" s="314">
        <f>IF($BI93&lt;&gt;"",IF('Capacity summary'!$D$14="Yes",IF(COUNTBLANK('Capacity summary'!$H212:$BG212)&lt;52,IF('Capacity summary'!AZ212&lt;&gt;"",IF(LOWER('Capacity summary'!AZ212)="x",$BI93*AZ93,VALUE('Capacity summary'!AZ212)),0),AZ93*$BI93),AZ93*$BI93),0)</f>
        <v>0</v>
      </c>
      <c r="DD93" s="314">
        <f>IF($BI93&lt;&gt;"",IF('Capacity summary'!$D$14="Yes",IF(COUNTBLANK('Capacity summary'!$H212:$BG212)&lt;52,IF('Capacity summary'!BA212&lt;&gt;"",IF(LOWER('Capacity summary'!BA212)="x",$BI93*BA93,VALUE('Capacity summary'!BA212)),0),BA93*$BI93),BA93*$BI93),0)</f>
        <v>0</v>
      </c>
      <c r="DE93" s="314">
        <f>IF($BI93&lt;&gt;"",IF('Capacity summary'!$D$14="Yes",IF(COUNTBLANK('Capacity summary'!$H212:$BG212)&lt;52,IF('Capacity summary'!BB212&lt;&gt;"",IF(LOWER('Capacity summary'!BB212)="x",$BI93*BB93,VALUE('Capacity summary'!BB212)),0),BB93*$BI93),BB93*$BI93),0)</f>
        <v>0</v>
      </c>
      <c r="DF93" s="314">
        <f>IF($BI93&lt;&gt;"",IF('Capacity summary'!$D$14="Yes",IF(COUNTBLANK('Capacity summary'!$H212:$BG212)&lt;52,IF('Capacity summary'!BC212&lt;&gt;"",IF(LOWER('Capacity summary'!BC212)="x",$BI93*BC93,VALUE('Capacity summary'!BC212)),0),BC93*$BI93),BC93*$BI93),0)</f>
        <v>0</v>
      </c>
      <c r="DG93" s="314">
        <f>IF($BI93&lt;&gt;"",IF('Capacity summary'!$D$14="Yes",IF(COUNTBLANK('Capacity summary'!$H212:$BG212)&lt;52,IF('Capacity summary'!BD212&lt;&gt;"",IF(LOWER('Capacity summary'!BD212)="x",$BI93*BD93,VALUE('Capacity summary'!BD212)),0),BD93*$BI93),BD93*$BI93),0)</f>
        <v>0</v>
      </c>
      <c r="DH93" s="314">
        <f>IF($BI93&lt;&gt;"",IF('Capacity summary'!$D$14="Yes",IF(COUNTBLANK('Capacity summary'!$H212:$BG212)&lt;52,IF('Capacity summary'!BE212&lt;&gt;"",IF(LOWER('Capacity summary'!BE212)="x",$BI93*BE93,VALUE('Capacity summary'!BE212)),0),BE93*$BI93),BE93*$BI93),0)</f>
        <v>0</v>
      </c>
      <c r="DI93" s="314">
        <f>IF($BI93&lt;&gt;"",IF('Capacity summary'!$D$14="Yes",IF(COUNTBLANK('Capacity summary'!$H212:$BG212)&lt;52,IF('Capacity summary'!BF212&lt;&gt;"",IF(LOWER('Capacity summary'!BF212)="x",$BI93*BF93,VALUE('Capacity summary'!BF212)),0),BF93*$BI93),BF93*$BI93),0)</f>
        <v>0</v>
      </c>
      <c r="DJ93" s="314">
        <f>IF($BI93&lt;&gt;"",IF('Capacity summary'!$D$14="Yes",IF(COUNTBLANK('Capacity summary'!$H212:$BG212)&lt;52,IF('Capacity summary'!BG212&lt;&gt;"",IF(LOWER('Capacity summary'!BG212)="x",$BI93*BG93,VALUE('Capacity summary'!BG212)),0),BG93*$BI93),BG93*$BI93),0)</f>
        <v>0</v>
      </c>
      <c r="DK93" s="137">
        <f t="shared" si="3"/>
        <v>0</v>
      </c>
      <c r="DL93" s="314"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4">
        <f>IF($BI94&lt;&gt;"",IF('Capacity summary'!$D$14="Yes",IF(COUNTBLANK('Capacity summary'!$H213:$BG213)&lt;52,IF('Capacity summary'!H213&lt;&gt;"",IF(LOWER('Capacity summary'!H213)="x",$BI94*H94,VALUE('Capacity summary'!H213)),0),H94*$BI94),H94*$BI94),0)</f>
        <v>0</v>
      </c>
      <c r="BL94" s="314">
        <f>IF($BI94&lt;&gt;"",IF('Capacity summary'!$D$14="Yes",IF(COUNTBLANK('Capacity summary'!$H213:$BG213)&lt;52,IF('Capacity summary'!I213&lt;&gt;"",IF(LOWER('Capacity summary'!I213)="x",$BI94*I94,VALUE('Capacity summary'!I213)),0),I94*$BI94),I94*$BI94),0)</f>
        <v>0</v>
      </c>
      <c r="BM94" s="314">
        <f>IF($BI94&lt;&gt;"",IF('Capacity summary'!$D$14="Yes",IF(COUNTBLANK('Capacity summary'!$H213:$BG213)&lt;52,IF('Capacity summary'!J213&lt;&gt;"",IF(LOWER('Capacity summary'!J213)="x",$BI94*J94,VALUE('Capacity summary'!J213)),0),J94*$BI94),J94*$BI94),0)</f>
        <v>0</v>
      </c>
      <c r="BN94" s="314">
        <f>IF($BI94&lt;&gt;"",IF('Capacity summary'!$D$14="Yes",IF(COUNTBLANK('Capacity summary'!$H213:$BG213)&lt;52,IF('Capacity summary'!K213&lt;&gt;"",IF(LOWER('Capacity summary'!K213)="x",$BI94*K94,VALUE('Capacity summary'!K213)),0),K94*$BI94),K94*$BI94),0)</f>
        <v>0</v>
      </c>
      <c r="BO94" s="314">
        <f>IF($BI94&lt;&gt;"",IF('Capacity summary'!$D$14="Yes",IF(COUNTBLANK('Capacity summary'!$H213:$BG213)&lt;52,IF('Capacity summary'!L213&lt;&gt;"",IF(LOWER('Capacity summary'!L213)="x",$BI94*L94,VALUE('Capacity summary'!L213)),0),L94*$BI94),L94*$BI94),0)</f>
        <v>0</v>
      </c>
      <c r="BP94" s="314">
        <f>IF($BI94&lt;&gt;"",IF('Capacity summary'!$D$14="Yes",IF(COUNTBLANK('Capacity summary'!$H213:$BG213)&lt;52,IF('Capacity summary'!M213&lt;&gt;"",IF(LOWER('Capacity summary'!M213)="x",$BI94*M94,VALUE('Capacity summary'!M213)),0),M94*$BI94),M94*$BI94),0)</f>
        <v>0</v>
      </c>
      <c r="BQ94" s="314">
        <f>IF($BI94&lt;&gt;"",IF('Capacity summary'!$D$14="Yes",IF(COUNTBLANK('Capacity summary'!$H213:$BG213)&lt;52,IF('Capacity summary'!N213&lt;&gt;"",IF(LOWER('Capacity summary'!N213)="x",$BI94*N94,VALUE('Capacity summary'!N213)),0),N94*$BI94),N94*$BI94),0)</f>
        <v>0</v>
      </c>
      <c r="BR94" s="314">
        <f>IF($BI94&lt;&gt;"",IF('Capacity summary'!$D$14="Yes",IF(COUNTBLANK('Capacity summary'!$H213:$BG213)&lt;52,IF('Capacity summary'!O213&lt;&gt;"",IF(LOWER('Capacity summary'!O213)="x",$BI94*O94,VALUE('Capacity summary'!O213)),0),O94*$BI94),O94*$BI94),0)</f>
        <v>0</v>
      </c>
      <c r="BS94" s="314">
        <f>IF($BI94&lt;&gt;"",IF('Capacity summary'!$D$14="Yes",IF(COUNTBLANK('Capacity summary'!$H213:$BG213)&lt;52,IF('Capacity summary'!P213&lt;&gt;"",IF(LOWER('Capacity summary'!P213)="x",$BI94*P94,VALUE('Capacity summary'!P213)),0),P94*$BI94),P94*$BI94),0)</f>
        <v>0</v>
      </c>
      <c r="BT94" s="314">
        <f>IF($BI94&lt;&gt;"",IF('Capacity summary'!$D$14="Yes",IF(COUNTBLANK('Capacity summary'!$H213:$BG213)&lt;52,IF('Capacity summary'!Q213&lt;&gt;"",IF(LOWER('Capacity summary'!Q213)="x",$BI94*Q94,VALUE('Capacity summary'!Q213)),0),Q94*$BI94),Q94*$BI94),0)</f>
        <v>0</v>
      </c>
      <c r="BU94" s="314">
        <f>IF($BI94&lt;&gt;"",IF('Capacity summary'!$D$14="Yes",IF(COUNTBLANK('Capacity summary'!$H213:$BG213)&lt;52,IF('Capacity summary'!R213&lt;&gt;"",IF(LOWER('Capacity summary'!R213)="x",$BI94*R94,VALUE('Capacity summary'!R213)),0),R94*$BI94),R94*$BI94),0)</f>
        <v>0</v>
      </c>
      <c r="BV94" s="314">
        <f>IF($BI94&lt;&gt;"",IF('Capacity summary'!$D$14="Yes",IF(COUNTBLANK('Capacity summary'!$H213:$BG213)&lt;52,IF('Capacity summary'!S213&lt;&gt;"",IF(LOWER('Capacity summary'!S213)="x",$BI94*S94,VALUE('Capacity summary'!S213)),0),S94*$BI94),S94*$BI94),0)</f>
        <v>0</v>
      </c>
      <c r="BW94" s="314">
        <f>IF($BI94&lt;&gt;"",IF('Capacity summary'!$D$14="Yes",IF(COUNTBLANK('Capacity summary'!$H213:$BG213)&lt;52,IF('Capacity summary'!T213&lt;&gt;"",IF(LOWER('Capacity summary'!T213)="x",$BI94*T94,VALUE('Capacity summary'!T213)),0),T94*$BI94),T94*$BI94),0)</f>
        <v>0</v>
      </c>
      <c r="BX94" s="314">
        <f>IF($BI94&lt;&gt;"",IF('Capacity summary'!$D$14="Yes",IF(COUNTBLANK('Capacity summary'!$H213:$BG213)&lt;52,IF('Capacity summary'!U213&lt;&gt;"",IF(LOWER('Capacity summary'!U213)="x",$BI94*U94,VALUE('Capacity summary'!U213)),0),U94*$BI94),U94*$BI94),0)</f>
        <v>0</v>
      </c>
      <c r="BY94" s="314">
        <f>IF($BI94&lt;&gt;"",IF('Capacity summary'!$D$14="Yes",IF(COUNTBLANK('Capacity summary'!$H213:$BG213)&lt;52,IF('Capacity summary'!V213&lt;&gt;"",IF(LOWER('Capacity summary'!V213)="x",$BI94*V94,VALUE('Capacity summary'!V213)),0),V94*$BI94),V94*$BI94),0)</f>
        <v>0</v>
      </c>
      <c r="BZ94" s="314">
        <f>IF($BI94&lt;&gt;"",IF('Capacity summary'!$D$14="Yes",IF(COUNTBLANK('Capacity summary'!$H213:$BG213)&lt;52,IF('Capacity summary'!W213&lt;&gt;"",IF(LOWER('Capacity summary'!W213)="x",$BI94*W94,VALUE('Capacity summary'!W213)),0),W94*$BI94),W94*$BI94),0)</f>
        <v>0</v>
      </c>
      <c r="CA94" s="314">
        <f>IF($BI94&lt;&gt;"",IF('Capacity summary'!$D$14="Yes",IF(COUNTBLANK('Capacity summary'!$H213:$BG213)&lt;52,IF('Capacity summary'!X213&lt;&gt;"",IF(LOWER('Capacity summary'!X213)="x",$BI94*X94,VALUE('Capacity summary'!X213)),0),X94*$BI94),X94*$BI94),0)</f>
        <v>0</v>
      </c>
      <c r="CB94" s="314">
        <f>IF($BI94&lt;&gt;"",IF('Capacity summary'!$D$14="Yes",IF(COUNTBLANK('Capacity summary'!$H213:$BG213)&lt;52,IF('Capacity summary'!Y213&lt;&gt;"",IF(LOWER('Capacity summary'!Y213)="x",$BI94*Y94,VALUE('Capacity summary'!Y213)),0),Y94*$BI94),Y94*$BI94),0)</f>
        <v>0</v>
      </c>
      <c r="CC94" s="314">
        <f>IF($BI94&lt;&gt;"",IF('Capacity summary'!$D$14="Yes",IF(COUNTBLANK('Capacity summary'!$H213:$BG213)&lt;52,IF('Capacity summary'!Z213&lt;&gt;"",IF(LOWER('Capacity summary'!Z213)="x",$BI94*Z94,VALUE('Capacity summary'!Z213)),0),Z94*$BI94),Z94*$BI94),0)</f>
        <v>0</v>
      </c>
      <c r="CD94" s="314">
        <f>IF($BI94&lt;&gt;"",IF('Capacity summary'!$D$14="Yes",IF(COUNTBLANK('Capacity summary'!$H213:$BG213)&lt;52,IF('Capacity summary'!AA213&lt;&gt;"",IF(LOWER('Capacity summary'!AA213)="x",$BI94*AA94,VALUE('Capacity summary'!AA213)),0),AA94*$BI94),AA94*$BI94),0)</f>
        <v>0</v>
      </c>
      <c r="CE94" s="314">
        <f>IF($BI94&lt;&gt;"",IF('Capacity summary'!$D$14="Yes",IF(COUNTBLANK('Capacity summary'!$H213:$BG213)&lt;52,IF('Capacity summary'!AB213&lt;&gt;"",IF(LOWER('Capacity summary'!AB213)="x",$BI94*AB94,VALUE('Capacity summary'!AB213)),0),AB94*$BI94),AB94*$BI94),0)</f>
        <v>0</v>
      </c>
      <c r="CF94" s="314">
        <f>IF($BI94&lt;&gt;"",IF('Capacity summary'!$D$14="Yes",IF(COUNTBLANK('Capacity summary'!$H213:$BG213)&lt;52,IF('Capacity summary'!AC213&lt;&gt;"",IF(LOWER('Capacity summary'!AC213)="x",$BI94*AC94,VALUE('Capacity summary'!AC213)),0),AC94*$BI94),AC94*$BI94),0)</f>
        <v>0</v>
      </c>
      <c r="CG94" s="314">
        <f>IF($BI94&lt;&gt;"",IF('Capacity summary'!$D$14="Yes",IF(COUNTBLANK('Capacity summary'!$H213:$BG213)&lt;52,IF('Capacity summary'!AD213&lt;&gt;"",IF(LOWER('Capacity summary'!AD213)="x",$BI94*AD94,VALUE('Capacity summary'!AD213)),0),AD94*$BI94),AD94*$BI94),0)</f>
        <v>0</v>
      </c>
      <c r="CH94" s="314">
        <f>IF($BI94&lt;&gt;"",IF('Capacity summary'!$D$14="Yes",IF(COUNTBLANK('Capacity summary'!$H213:$BG213)&lt;52,IF('Capacity summary'!AE213&lt;&gt;"",IF(LOWER('Capacity summary'!AE213)="x",$BI94*AE94,VALUE('Capacity summary'!AE213)),0),AE94*$BI94),AE94*$BI94),0)</f>
        <v>0</v>
      </c>
      <c r="CI94" s="314">
        <f>IF($BI94&lt;&gt;"",IF('Capacity summary'!$D$14="Yes",IF(COUNTBLANK('Capacity summary'!$H213:$BG213)&lt;52,IF('Capacity summary'!AF213&lt;&gt;"",IF(LOWER('Capacity summary'!AF213)="x",$BI94*AF94,VALUE('Capacity summary'!AF213)),0),AF94*$BI94),AF94*$BI94),0)</f>
        <v>0</v>
      </c>
      <c r="CJ94" s="314">
        <f>IF($BI94&lt;&gt;"",IF('Capacity summary'!$D$14="Yes",IF(COUNTBLANK('Capacity summary'!$H213:$BG213)&lt;52,IF('Capacity summary'!AG213&lt;&gt;"",IF(LOWER('Capacity summary'!AG213)="x",$BI94*AG94,VALUE('Capacity summary'!AG213)),0),AG94*$BI94),AG94*$BI94),0)</f>
        <v>0</v>
      </c>
      <c r="CK94" s="314">
        <f>IF($BI94&lt;&gt;"",IF('Capacity summary'!$D$14="Yes",IF(COUNTBLANK('Capacity summary'!$H213:$BG213)&lt;52,IF('Capacity summary'!AH213&lt;&gt;"",IF(LOWER('Capacity summary'!AH213)="x",$BI94*AH94,VALUE('Capacity summary'!AH213)),0),AH94*$BI94),AH94*$BI94),0)</f>
        <v>0</v>
      </c>
      <c r="CL94" s="314">
        <f>IF($BI94&lt;&gt;"",IF('Capacity summary'!$D$14="Yes",IF(COUNTBLANK('Capacity summary'!$H213:$BG213)&lt;52,IF('Capacity summary'!AI213&lt;&gt;"",IF(LOWER('Capacity summary'!AI213)="x",$BI94*AI94,VALUE('Capacity summary'!AI213)),0),AI94*$BI94),AI94*$BI94),0)</f>
        <v>0</v>
      </c>
      <c r="CM94" s="314">
        <f>IF($BI94&lt;&gt;"",IF('Capacity summary'!$D$14="Yes",IF(COUNTBLANK('Capacity summary'!$H213:$BG213)&lt;52,IF('Capacity summary'!AJ213&lt;&gt;"",IF(LOWER('Capacity summary'!AJ213)="x",$BI94*AJ94,VALUE('Capacity summary'!AJ213)),0),AJ94*$BI94),AJ94*$BI94),0)</f>
        <v>0</v>
      </c>
      <c r="CN94" s="314">
        <f>IF($BI94&lt;&gt;"",IF('Capacity summary'!$D$14="Yes",IF(COUNTBLANK('Capacity summary'!$H213:$BG213)&lt;52,IF('Capacity summary'!AK213&lt;&gt;"",IF(LOWER('Capacity summary'!AK213)="x",$BI94*AK94,VALUE('Capacity summary'!AK213)),0),AK94*$BI94),AK94*$BI94),0)</f>
        <v>0</v>
      </c>
      <c r="CO94" s="314">
        <f>IF($BI94&lt;&gt;"",IF('Capacity summary'!$D$14="Yes",IF(COUNTBLANK('Capacity summary'!$H213:$BG213)&lt;52,IF('Capacity summary'!AL213&lt;&gt;"",IF(LOWER('Capacity summary'!AL213)="x",$BI94*AL94,VALUE('Capacity summary'!AL213)),0),AL94*$BI94),AL94*$BI94),0)</f>
        <v>0</v>
      </c>
      <c r="CP94" s="314">
        <f>IF($BI94&lt;&gt;"",IF('Capacity summary'!$D$14="Yes",IF(COUNTBLANK('Capacity summary'!$H213:$BG213)&lt;52,IF('Capacity summary'!AM213&lt;&gt;"",IF(LOWER('Capacity summary'!AM213)="x",$BI94*AM94,VALUE('Capacity summary'!AM213)),0),AM94*$BI94),AM94*$BI94),0)</f>
        <v>0</v>
      </c>
      <c r="CQ94" s="314">
        <f>IF($BI94&lt;&gt;"",IF('Capacity summary'!$D$14="Yes",IF(COUNTBLANK('Capacity summary'!$H213:$BG213)&lt;52,IF('Capacity summary'!AN213&lt;&gt;"",IF(LOWER('Capacity summary'!AN213)="x",$BI94*AN94,VALUE('Capacity summary'!AN213)),0),AN94*$BI94),AN94*$BI94),0)</f>
        <v>0</v>
      </c>
      <c r="CR94" s="314">
        <f>IF($BI94&lt;&gt;"",IF('Capacity summary'!$D$14="Yes",IF(COUNTBLANK('Capacity summary'!$H213:$BG213)&lt;52,IF('Capacity summary'!AO213&lt;&gt;"",IF(LOWER('Capacity summary'!AO213)="x",$BI94*AO94,VALUE('Capacity summary'!AO213)),0),AO94*$BI94),AO94*$BI94),0)</f>
        <v>0</v>
      </c>
      <c r="CS94" s="314">
        <f>IF($BI94&lt;&gt;"",IF('Capacity summary'!$D$14="Yes",IF(COUNTBLANK('Capacity summary'!$H213:$BG213)&lt;52,IF('Capacity summary'!AP213&lt;&gt;"",IF(LOWER('Capacity summary'!AP213)="x",$BI94*AP94,VALUE('Capacity summary'!AP213)),0),AP94*$BI94),AP94*$BI94),0)</f>
        <v>0</v>
      </c>
      <c r="CT94" s="314">
        <f>IF($BI94&lt;&gt;"",IF('Capacity summary'!$D$14="Yes",IF(COUNTBLANK('Capacity summary'!$H213:$BG213)&lt;52,IF('Capacity summary'!AQ213&lt;&gt;"",IF(LOWER('Capacity summary'!AQ213)="x",$BI94*AQ94,VALUE('Capacity summary'!AQ213)),0),AQ94*$BI94),AQ94*$BI94),0)</f>
        <v>0</v>
      </c>
      <c r="CU94" s="314">
        <f>IF($BI94&lt;&gt;"",IF('Capacity summary'!$D$14="Yes",IF(COUNTBLANK('Capacity summary'!$H213:$BG213)&lt;52,IF('Capacity summary'!AR213&lt;&gt;"",IF(LOWER('Capacity summary'!AR213)="x",$BI94*AR94,VALUE('Capacity summary'!AR213)),0),AR94*$BI94),AR94*$BI94),0)</f>
        <v>0</v>
      </c>
      <c r="CV94" s="314">
        <f>IF($BI94&lt;&gt;"",IF('Capacity summary'!$D$14="Yes",IF(COUNTBLANK('Capacity summary'!$H213:$BG213)&lt;52,IF('Capacity summary'!AS213&lt;&gt;"",IF(LOWER('Capacity summary'!AS213)="x",$BI94*AS94,VALUE('Capacity summary'!AS213)),0),AS94*$BI94),AS94*$BI94),0)</f>
        <v>0</v>
      </c>
      <c r="CW94" s="314">
        <f>IF($BI94&lt;&gt;"",IF('Capacity summary'!$D$14="Yes",IF(COUNTBLANK('Capacity summary'!$H213:$BG213)&lt;52,IF('Capacity summary'!AT213&lt;&gt;"",IF(LOWER('Capacity summary'!AT213)="x",$BI94*AT94,VALUE('Capacity summary'!AT213)),0),AT94*$BI94),AT94*$BI94),0)</f>
        <v>0</v>
      </c>
      <c r="CX94" s="314">
        <f>IF($BI94&lt;&gt;"",IF('Capacity summary'!$D$14="Yes",IF(COUNTBLANK('Capacity summary'!$H213:$BG213)&lt;52,IF('Capacity summary'!AU213&lt;&gt;"",IF(LOWER('Capacity summary'!AU213)="x",$BI94*AU94,VALUE('Capacity summary'!AU213)),0),AU94*$BI94),AU94*$BI94),0)</f>
        <v>0</v>
      </c>
      <c r="CY94" s="314">
        <f>IF($BI94&lt;&gt;"",IF('Capacity summary'!$D$14="Yes",IF(COUNTBLANK('Capacity summary'!$H213:$BG213)&lt;52,IF('Capacity summary'!AV213&lt;&gt;"",IF(LOWER('Capacity summary'!AV213)="x",$BI94*AV94,VALUE('Capacity summary'!AV213)),0),AV94*$BI94),AV94*$BI94),0)</f>
        <v>0</v>
      </c>
      <c r="CZ94" s="314">
        <f>IF($BI94&lt;&gt;"",IF('Capacity summary'!$D$14="Yes",IF(COUNTBLANK('Capacity summary'!$H213:$BG213)&lt;52,IF('Capacity summary'!AW213&lt;&gt;"",IF(LOWER('Capacity summary'!AW213)="x",$BI94*AW94,VALUE('Capacity summary'!AW213)),0),AW94*$BI94),AW94*$BI94),0)</f>
        <v>0</v>
      </c>
      <c r="DA94" s="314">
        <f>IF($BI94&lt;&gt;"",IF('Capacity summary'!$D$14="Yes",IF(COUNTBLANK('Capacity summary'!$H213:$BG213)&lt;52,IF('Capacity summary'!AX213&lt;&gt;"",IF(LOWER('Capacity summary'!AX213)="x",$BI94*AX94,VALUE('Capacity summary'!AX213)),0),AX94*$BI94),AX94*$BI94),0)</f>
        <v>0</v>
      </c>
      <c r="DB94" s="314">
        <f>IF($BI94&lt;&gt;"",IF('Capacity summary'!$D$14="Yes",IF(COUNTBLANK('Capacity summary'!$H213:$BG213)&lt;52,IF('Capacity summary'!AY213&lt;&gt;"",IF(LOWER('Capacity summary'!AY213)="x",$BI94*AY94,VALUE('Capacity summary'!AY213)),0),AY94*$BI94),AY94*$BI94),0)</f>
        <v>0</v>
      </c>
      <c r="DC94" s="314">
        <f>IF($BI94&lt;&gt;"",IF('Capacity summary'!$D$14="Yes",IF(COUNTBLANK('Capacity summary'!$H213:$BG213)&lt;52,IF('Capacity summary'!AZ213&lt;&gt;"",IF(LOWER('Capacity summary'!AZ213)="x",$BI94*AZ94,VALUE('Capacity summary'!AZ213)),0),AZ94*$BI94),AZ94*$BI94),0)</f>
        <v>0</v>
      </c>
      <c r="DD94" s="314">
        <f>IF($BI94&lt;&gt;"",IF('Capacity summary'!$D$14="Yes",IF(COUNTBLANK('Capacity summary'!$H213:$BG213)&lt;52,IF('Capacity summary'!BA213&lt;&gt;"",IF(LOWER('Capacity summary'!BA213)="x",$BI94*BA94,VALUE('Capacity summary'!BA213)),0),BA94*$BI94),BA94*$BI94),0)</f>
        <v>0</v>
      </c>
      <c r="DE94" s="314">
        <f>IF($BI94&lt;&gt;"",IF('Capacity summary'!$D$14="Yes",IF(COUNTBLANK('Capacity summary'!$H213:$BG213)&lt;52,IF('Capacity summary'!BB213&lt;&gt;"",IF(LOWER('Capacity summary'!BB213)="x",$BI94*BB94,VALUE('Capacity summary'!BB213)),0),BB94*$BI94),BB94*$BI94),0)</f>
        <v>0</v>
      </c>
      <c r="DF94" s="314">
        <f>IF($BI94&lt;&gt;"",IF('Capacity summary'!$D$14="Yes",IF(COUNTBLANK('Capacity summary'!$H213:$BG213)&lt;52,IF('Capacity summary'!BC213&lt;&gt;"",IF(LOWER('Capacity summary'!BC213)="x",$BI94*BC94,VALUE('Capacity summary'!BC213)),0),BC94*$BI94),BC94*$BI94),0)</f>
        <v>0</v>
      </c>
      <c r="DG94" s="314">
        <f>IF($BI94&lt;&gt;"",IF('Capacity summary'!$D$14="Yes",IF(COUNTBLANK('Capacity summary'!$H213:$BG213)&lt;52,IF('Capacity summary'!BD213&lt;&gt;"",IF(LOWER('Capacity summary'!BD213)="x",$BI94*BD94,VALUE('Capacity summary'!BD213)),0),BD94*$BI94),BD94*$BI94),0)</f>
        <v>0</v>
      </c>
      <c r="DH94" s="314">
        <f>IF($BI94&lt;&gt;"",IF('Capacity summary'!$D$14="Yes",IF(COUNTBLANK('Capacity summary'!$H213:$BG213)&lt;52,IF('Capacity summary'!BE213&lt;&gt;"",IF(LOWER('Capacity summary'!BE213)="x",$BI94*BE94,VALUE('Capacity summary'!BE213)),0),BE94*$BI94),BE94*$BI94),0)</f>
        <v>0</v>
      </c>
      <c r="DI94" s="314">
        <f>IF($BI94&lt;&gt;"",IF('Capacity summary'!$D$14="Yes",IF(COUNTBLANK('Capacity summary'!$H213:$BG213)&lt;52,IF('Capacity summary'!BF213&lt;&gt;"",IF(LOWER('Capacity summary'!BF213)="x",$BI94*BF94,VALUE('Capacity summary'!BF213)),0),BF94*$BI94),BF94*$BI94),0)</f>
        <v>0</v>
      </c>
      <c r="DJ94" s="314">
        <f>IF($BI94&lt;&gt;"",IF('Capacity summary'!$D$14="Yes",IF(COUNTBLANK('Capacity summary'!$H213:$BG213)&lt;52,IF('Capacity summary'!BG213&lt;&gt;"",IF(LOWER('Capacity summary'!BG213)="x",$BI94*BG94,VALUE('Capacity summary'!BG213)),0),BG94*$BI94),BG94*$BI94),0)</f>
        <v>0</v>
      </c>
      <c r="DK94" s="137">
        <f t="shared" si="3"/>
        <v>0</v>
      </c>
      <c r="DL94" s="314"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4">
        <f>IF($BI95&lt;&gt;"",IF('Capacity summary'!$D$14="Yes",IF(COUNTBLANK('Capacity summary'!$H214:$BG214)&lt;52,IF('Capacity summary'!H214&lt;&gt;"",IF(LOWER('Capacity summary'!H214)="x",$BI95*H95,VALUE('Capacity summary'!H214)),0),H95*$BI95),H95*$BI95),0)</f>
        <v>0</v>
      </c>
      <c r="BL95" s="314">
        <f>IF($BI95&lt;&gt;"",IF('Capacity summary'!$D$14="Yes",IF(COUNTBLANK('Capacity summary'!$H214:$BG214)&lt;52,IF('Capacity summary'!I214&lt;&gt;"",IF(LOWER('Capacity summary'!I214)="x",$BI95*I95,VALUE('Capacity summary'!I214)),0),I95*$BI95),I95*$BI95),0)</f>
        <v>0</v>
      </c>
      <c r="BM95" s="314">
        <f>IF($BI95&lt;&gt;"",IF('Capacity summary'!$D$14="Yes",IF(COUNTBLANK('Capacity summary'!$H214:$BG214)&lt;52,IF('Capacity summary'!J214&lt;&gt;"",IF(LOWER('Capacity summary'!J214)="x",$BI95*J95,VALUE('Capacity summary'!J214)),0),J95*$BI95),J95*$BI95),0)</f>
        <v>0</v>
      </c>
      <c r="BN95" s="314">
        <f>IF($BI95&lt;&gt;"",IF('Capacity summary'!$D$14="Yes",IF(COUNTBLANK('Capacity summary'!$H214:$BG214)&lt;52,IF('Capacity summary'!K214&lt;&gt;"",IF(LOWER('Capacity summary'!K214)="x",$BI95*K95,VALUE('Capacity summary'!K214)),0),K95*$BI95),K95*$BI95),0)</f>
        <v>0</v>
      </c>
      <c r="BO95" s="314">
        <f>IF($BI95&lt;&gt;"",IF('Capacity summary'!$D$14="Yes",IF(COUNTBLANK('Capacity summary'!$H214:$BG214)&lt;52,IF('Capacity summary'!L214&lt;&gt;"",IF(LOWER('Capacity summary'!L214)="x",$BI95*L95,VALUE('Capacity summary'!L214)),0),L95*$BI95),L95*$BI95),0)</f>
        <v>0</v>
      </c>
      <c r="BP95" s="314">
        <f>IF($BI95&lt;&gt;"",IF('Capacity summary'!$D$14="Yes",IF(COUNTBLANK('Capacity summary'!$H214:$BG214)&lt;52,IF('Capacity summary'!M214&lt;&gt;"",IF(LOWER('Capacity summary'!M214)="x",$BI95*M95,VALUE('Capacity summary'!M214)),0),M95*$BI95),M95*$BI95),0)</f>
        <v>0</v>
      </c>
      <c r="BQ95" s="314">
        <f>IF($BI95&lt;&gt;"",IF('Capacity summary'!$D$14="Yes",IF(COUNTBLANK('Capacity summary'!$H214:$BG214)&lt;52,IF('Capacity summary'!N214&lt;&gt;"",IF(LOWER('Capacity summary'!N214)="x",$BI95*N95,VALUE('Capacity summary'!N214)),0),N95*$BI95),N95*$BI95),0)</f>
        <v>0</v>
      </c>
      <c r="BR95" s="314">
        <f>IF($BI95&lt;&gt;"",IF('Capacity summary'!$D$14="Yes",IF(COUNTBLANK('Capacity summary'!$H214:$BG214)&lt;52,IF('Capacity summary'!O214&lt;&gt;"",IF(LOWER('Capacity summary'!O214)="x",$BI95*O95,VALUE('Capacity summary'!O214)),0),O95*$BI95),O95*$BI95),0)</f>
        <v>0</v>
      </c>
      <c r="BS95" s="314">
        <f>IF($BI95&lt;&gt;"",IF('Capacity summary'!$D$14="Yes",IF(COUNTBLANK('Capacity summary'!$H214:$BG214)&lt;52,IF('Capacity summary'!P214&lt;&gt;"",IF(LOWER('Capacity summary'!P214)="x",$BI95*P95,VALUE('Capacity summary'!P214)),0),P95*$BI95),P95*$BI95),0)</f>
        <v>0</v>
      </c>
      <c r="BT95" s="314">
        <f>IF($BI95&lt;&gt;"",IF('Capacity summary'!$D$14="Yes",IF(COUNTBLANK('Capacity summary'!$H214:$BG214)&lt;52,IF('Capacity summary'!Q214&lt;&gt;"",IF(LOWER('Capacity summary'!Q214)="x",$BI95*Q95,VALUE('Capacity summary'!Q214)),0),Q95*$BI95),Q95*$BI95),0)</f>
        <v>0</v>
      </c>
      <c r="BU95" s="314">
        <f>IF($BI95&lt;&gt;"",IF('Capacity summary'!$D$14="Yes",IF(COUNTBLANK('Capacity summary'!$H214:$BG214)&lt;52,IF('Capacity summary'!R214&lt;&gt;"",IF(LOWER('Capacity summary'!R214)="x",$BI95*R95,VALUE('Capacity summary'!R214)),0),R95*$BI95),R95*$BI95),0)</f>
        <v>0</v>
      </c>
      <c r="BV95" s="314">
        <f>IF($BI95&lt;&gt;"",IF('Capacity summary'!$D$14="Yes",IF(COUNTBLANK('Capacity summary'!$H214:$BG214)&lt;52,IF('Capacity summary'!S214&lt;&gt;"",IF(LOWER('Capacity summary'!S214)="x",$BI95*S95,VALUE('Capacity summary'!S214)),0),S95*$BI95),S95*$BI95),0)</f>
        <v>0</v>
      </c>
      <c r="BW95" s="314">
        <f>IF($BI95&lt;&gt;"",IF('Capacity summary'!$D$14="Yes",IF(COUNTBLANK('Capacity summary'!$H214:$BG214)&lt;52,IF('Capacity summary'!T214&lt;&gt;"",IF(LOWER('Capacity summary'!T214)="x",$BI95*T95,VALUE('Capacity summary'!T214)),0),T95*$BI95),T95*$BI95),0)</f>
        <v>0</v>
      </c>
      <c r="BX95" s="314">
        <f>IF($BI95&lt;&gt;"",IF('Capacity summary'!$D$14="Yes",IF(COUNTBLANK('Capacity summary'!$H214:$BG214)&lt;52,IF('Capacity summary'!U214&lt;&gt;"",IF(LOWER('Capacity summary'!U214)="x",$BI95*U95,VALUE('Capacity summary'!U214)),0),U95*$BI95),U95*$BI95),0)</f>
        <v>0</v>
      </c>
      <c r="BY95" s="314">
        <f>IF($BI95&lt;&gt;"",IF('Capacity summary'!$D$14="Yes",IF(COUNTBLANK('Capacity summary'!$H214:$BG214)&lt;52,IF('Capacity summary'!V214&lt;&gt;"",IF(LOWER('Capacity summary'!V214)="x",$BI95*V95,VALUE('Capacity summary'!V214)),0),V95*$BI95),V95*$BI95),0)</f>
        <v>0</v>
      </c>
      <c r="BZ95" s="314">
        <f>IF($BI95&lt;&gt;"",IF('Capacity summary'!$D$14="Yes",IF(COUNTBLANK('Capacity summary'!$H214:$BG214)&lt;52,IF('Capacity summary'!W214&lt;&gt;"",IF(LOWER('Capacity summary'!W214)="x",$BI95*W95,VALUE('Capacity summary'!W214)),0),W95*$BI95),W95*$BI95),0)</f>
        <v>0</v>
      </c>
      <c r="CA95" s="314">
        <f>IF($BI95&lt;&gt;"",IF('Capacity summary'!$D$14="Yes",IF(COUNTBLANK('Capacity summary'!$H214:$BG214)&lt;52,IF('Capacity summary'!X214&lt;&gt;"",IF(LOWER('Capacity summary'!X214)="x",$BI95*X95,VALUE('Capacity summary'!X214)),0),X95*$BI95),X95*$BI95),0)</f>
        <v>0</v>
      </c>
      <c r="CB95" s="314">
        <f>IF($BI95&lt;&gt;"",IF('Capacity summary'!$D$14="Yes",IF(COUNTBLANK('Capacity summary'!$H214:$BG214)&lt;52,IF('Capacity summary'!Y214&lt;&gt;"",IF(LOWER('Capacity summary'!Y214)="x",$BI95*Y95,VALUE('Capacity summary'!Y214)),0),Y95*$BI95),Y95*$BI95),0)</f>
        <v>0</v>
      </c>
      <c r="CC95" s="314">
        <f>IF($BI95&lt;&gt;"",IF('Capacity summary'!$D$14="Yes",IF(COUNTBLANK('Capacity summary'!$H214:$BG214)&lt;52,IF('Capacity summary'!Z214&lt;&gt;"",IF(LOWER('Capacity summary'!Z214)="x",$BI95*Z95,VALUE('Capacity summary'!Z214)),0),Z95*$BI95),Z95*$BI95),0)</f>
        <v>0</v>
      </c>
      <c r="CD95" s="314">
        <f>IF($BI95&lt;&gt;"",IF('Capacity summary'!$D$14="Yes",IF(COUNTBLANK('Capacity summary'!$H214:$BG214)&lt;52,IF('Capacity summary'!AA214&lt;&gt;"",IF(LOWER('Capacity summary'!AA214)="x",$BI95*AA95,VALUE('Capacity summary'!AA214)),0),AA95*$BI95),AA95*$BI95),0)</f>
        <v>0</v>
      </c>
      <c r="CE95" s="314">
        <f>IF($BI95&lt;&gt;"",IF('Capacity summary'!$D$14="Yes",IF(COUNTBLANK('Capacity summary'!$H214:$BG214)&lt;52,IF('Capacity summary'!AB214&lt;&gt;"",IF(LOWER('Capacity summary'!AB214)="x",$BI95*AB95,VALUE('Capacity summary'!AB214)),0),AB95*$BI95),AB95*$BI95),0)</f>
        <v>0</v>
      </c>
      <c r="CF95" s="314">
        <f>IF($BI95&lt;&gt;"",IF('Capacity summary'!$D$14="Yes",IF(COUNTBLANK('Capacity summary'!$H214:$BG214)&lt;52,IF('Capacity summary'!AC214&lt;&gt;"",IF(LOWER('Capacity summary'!AC214)="x",$BI95*AC95,VALUE('Capacity summary'!AC214)),0),AC95*$BI95),AC95*$BI95),0)</f>
        <v>0</v>
      </c>
      <c r="CG95" s="314">
        <f>IF($BI95&lt;&gt;"",IF('Capacity summary'!$D$14="Yes",IF(COUNTBLANK('Capacity summary'!$H214:$BG214)&lt;52,IF('Capacity summary'!AD214&lt;&gt;"",IF(LOWER('Capacity summary'!AD214)="x",$BI95*AD95,VALUE('Capacity summary'!AD214)),0),AD95*$BI95),AD95*$BI95),0)</f>
        <v>0</v>
      </c>
      <c r="CH95" s="314">
        <f>IF($BI95&lt;&gt;"",IF('Capacity summary'!$D$14="Yes",IF(COUNTBLANK('Capacity summary'!$H214:$BG214)&lt;52,IF('Capacity summary'!AE214&lt;&gt;"",IF(LOWER('Capacity summary'!AE214)="x",$BI95*AE95,VALUE('Capacity summary'!AE214)),0),AE95*$BI95),AE95*$BI95),0)</f>
        <v>0</v>
      </c>
      <c r="CI95" s="314">
        <f>IF($BI95&lt;&gt;"",IF('Capacity summary'!$D$14="Yes",IF(COUNTBLANK('Capacity summary'!$H214:$BG214)&lt;52,IF('Capacity summary'!AF214&lt;&gt;"",IF(LOWER('Capacity summary'!AF214)="x",$BI95*AF95,VALUE('Capacity summary'!AF214)),0),AF95*$BI95),AF95*$BI95),0)</f>
        <v>0</v>
      </c>
      <c r="CJ95" s="314">
        <f>IF($BI95&lt;&gt;"",IF('Capacity summary'!$D$14="Yes",IF(COUNTBLANK('Capacity summary'!$H214:$BG214)&lt;52,IF('Capacity summary'!AG214&lt;&gt;"",IF(LOWER('Capacity summary'!AG214)="x",$BI95*AG95,VALUE('Capacity summary'!AG214)),0),AG95*$BI95),AG95*$BI95),0)</f>
        <v>0</v>
      </c>
      <c r="CK95" s="314">
        <f>IF($BI95&lt;&gt;"",IF('Capacity summary'!$D$14="Yes",IF(COUNTBLANK('Capacity summary'!$H214:$BG214)&lt;52,IF('Capacity summary'!AH214&lt;&gt;"",IF(LOWER('Capacity summary'!AH214)="x",$BI95*AH95,VALUE('Capacity summary'!AH214)),0),AH95*$BI95),AH95*$BI95),0)</f>
        <v>0</v>
      </c>
      <c r="CL95" s="314">
        <f>IF($BI95&lt;&gt;"",IF('Capacity summary'!$D$14="Yes",IF(COUNTBLANK('Capacity summary'!$H214:$BG214)&lt;52,IF('Capacity summary'!AI214&lt;&gt;"",IF(LOWER('Capacity summary'!AI214)="x",$BI95*AI95,VALUE('Capacity summary'!AI214)),0),AI95*$BI95),AI95*$BI95),0)</f>
        <v>0</v>
      </c>
      <c r="CM95" s="314">
        <f>IF($BI95&lt;&gt;"",IF('Capacity summary'!$D$14="Yes",IF(COUNTBLANK('Capacity summary'!$H214:$BG214)&lt;52,IF('Capacity summary'!AJ214&lt;&gt;"",IF(LOWER('Capacity summary'!AJ214)="x",$BI95*AJ95,VALUE('Capacity summary'!AJ214)),0),AJ95*$BI95),AJ95*$BI95),0)</f>
        <v>0</v>
      </c>
      <c r="CN95" s="314">
        <f>IF($BI95&lt;&gt;"",IF('Capacity summary'!$D$14="Yes",IF(COUNTBLANK('Capacity summary'!$H214:$BG214)&lt;52,IF('Capacity summary'!AK214&lt;&gt;"",IF(LOWER('Capacity summary'!AK214)="x",$BI95*AK95,VALUE('Capacity summary'!AK214)),0),AK95*$BI95),AK95*$BI95),0)</f>
        <v>0</v>
      </c>
      <c r="CO95" s="314">
        <f>IF($BI95&lt;&gt;"",IF('Capacity summary'!$D$14="Yes",IF(COUNTBLANK('Capacity summary'!$H214:$BG214)&lt;52,IF('Capacity summary'!AL214&lt;&gt;"",IF(LOWER('Capacity summary'!AL214)="x",$BI95*AL95,VALUE('Capacity summary'!AL214)),0),AL95*$BI95),AL95*$BI95),0)</f>
        <v>0</v>
      </c>
      <c r="CP95" s="314">
        <f>IF($BI95&lt;&gt;"",IF('Capacity summary'!$D$14="Yes",IF(COUNTBLANK('Capacity summary'!$H214:$BG214)&lt;52,IF('Capacity summary'!AM214&lt;&gt;"",IF(LOWER('Capacity summary'!AM214)="x",$BI95*AM95,VALUE('Capacity summary'!AM214)),0),AM95*$BI95),AM95*$BI95),0)</f>
        <v>0</v>
      </c>
      <c r="CQ95" s="314">
        <f>IF($BI95&lt;&gt;"",IF('Capacity summary'!$D$14="Yes",IF(COUNTBLANK('Capacity summary'!$H214:$BG214)&lt;52,IF('Capacity summary'!AN214&lt;&gt;"",IF(LOWER('Capacity summary'!AN214)="x",$BI95*AN95,VALUE('Capacity summary'!AN214)),0),AN95*$BI95),AN95*$BI95),0)</f>
        <v>0</v>
      </c>
      <c r="CR95" s="314">
        <f>IF($BI95&lt;&gt;"",IF('Capacity summary'!$D$14="Yes",IF(COUNTBLANK('Capacity summary'!$H214:$BG214)&lt;52,IF('Capacity summary'!AO214&lt;&gt;"",IF(LOWER('Capacity summary'!AO214)="x",$BI95*AO95,VALUE('Capacity summary'!AO214)),0),AO95*$BI95),AO95*$BI95),0)</f>
        <v>0</v>
      </c>
      <c r="CS95" s="314">
        <f>IF($BI95&lt;&gt;"",IF('Capacity summary'!$D$14="Yes",IF(COUNTBLANK('Capacity summary'!$H214:$BG214)&lt;52,IF('Capacity summary'!AP214&lt;&gt;"",IF(LOWER('Capacity summary'!AP214)="x",$BI95*AP95,VALUE('Capacity summary'!AP214)),0),AP95*$BI95),AP95*$BI95),0)</f>
        <v>0</v>
      </c>
      <c r="CT95" s="314">
        <f>IF($BI95&lt;&gt;"",IF('Capacity summary'!$D$14="Yes",IF(COUNTBLANK('Capacity summary'!$H214:$BG214)&lt;52,IF('Capacity summary'!AQ214&lt;&gt;"",IF(LOWER('Capacity summary'!AQ214)="x",$BI95*AQ95,VALUE('Capacity summary'!AQ214)),0),AQ95*$BI95),AQ95*$BI95),0)</f>
        <v>0</v>
      </c>
      <c r="CU95" s="314">
        <f>IF($BI95&lt;&gt;"",IF('Capacity summary'!$D$14="Yes",IF(COUNTBLANK('Capacity summary'!$H214:$BG214)&lt;52,IF('Capacity summary'!AR214&lt;&gt;"",IF(LOWER('Capacity summary'!AR214)="x",$BI95*AR95,VALUE('Capacity summary'!AR214)),0),AR95*$BI95),AR95*$BI95),0)</f>
        <v>0</v>
      </c>
      <c r="CV95" s="314">
        <f>IF($BI95&lt;&gt;"",IF('Capacity summary'!$D$14="Yes",IF(COUNTBLANK('Capacity summary'!$H214:$BG214)&lt;52,IF('Capacity summary'!AS214&lt;&gt;"",IF(LOWER('Capacity summary'!AS214)="x",$BI95*AS95,VALUE('Capacity summary'!AS214)),0),AS95*$BI95),AS95*$BI95),0)</f>
        <v>0</v>
      </c>
      <c r="CW95" s="314">
        <f>IF($BI95&lt;&gt;"",IF('Capacity summary'!$D$14="Yes",IF(COUNTBLANK('Capacity summary'!$H214:$BG214)&lt;52,IF('Capacity summary'!AT214&lt;&gt;"",IF(LOWER('Capacity summary'!AT214)="x",$BI95*AT95,VALUE('Capacity summary'!AT214)),0),AT95*$BI95),AT95*$BI95),0)</f>
        <v>0</v>
      </c>
      <c r="CX95" s="314">
        <f>IF($BI95&lt;&gt;"",IF('Capacity summary'!$D$14="Yes",IF(COUNTBLANK('Capacity summary'!$H214:$BG214)&lt;52,IF('Capacity summary'!AU214&lt;&gt;"",IF(LOWER('Capacity summary'!AU214)="x",$BI95*AU95,VALUE('Capacity summary'!AU214)),0),AU95*$BI95),AU95*$BI95),0)</f>
        <v>0</v>
      </c>
      <c r="CY95" s="314">
        <f>IF($BI95&lt;&gt;"",IF('Capacity summary'!$D$14="Yes",IF(COUNTBLANK('Capacity summary'!$H214:$BG214)&lt;52,IF('Capacity summary'!AV214&lt;&gt;"",IF(LOWER('Capacity summary'!AV214)="x",$BI95*AV95,VALUE('Capacity summary'!AV214)),0),AV95*$BI95),AV95*$BI95),0)</f>
        <v>0</v>
      </c>
      <c r="CZ95" s="314">
        <f>IF($BI95&lt;&gt;"",IF('Capacity summary'!$D$14="Yes",IF(COUNTBLANK('Capacity summary'!$H214:$BG214)&lt;52,IF('Capacity summary'!AW214&lt;&gt;"",IF(LOWER('Capacity summary'!AW214)="x",$BI95*AW95,VALUE('Capacity summary'!AW214)),0),AW95*$BI95),AW95*$BI95),0)</f>
        <v>0</v>
      </c>
      <c r="DA95" s="314">
        <f>IF($BI95&lt;&gt;"",IF('Capacity summary'!$D$14="Yes",IF(COUNTBLANK('Capacity summary'!$H214:$BG214)&lt;52,IF('Capacity summary'!AX214&lt;&gt;"",IF(LOWER('Capacity summary'!AX214)="x",$BI95*AX95,VALUE('Capacity summary'!AX214)),0),AX95*$BI95),AX95*$BI95),0)</f>
        <v>0</v>
      </c>
      <c r="DB95" s="314">
        <f>IF($BI95&lt;&gt;"",IF('Capacity summary'!$D$14="Yes",IF(COUNTBLANK('Capacity summary'!$H214:$BG214)&lt;52,IF('Capacity summary'!AY214&lt;&gt;"",IF(LOWER('Capacity summary'!AY214)="x",$BI95*AY95,VALUE('Capacity summary'!AY214)),0),AY95*$BI95),AY95*$BI95),0)</f>
        <v>0</v>
      </c>
      <c r="DC95" s="314">
        <f>IF($BI95&lt;&gt;"",IF('Capacity summary'!$D$14="Yes",IF(COUNTBLANK('Capacity summary'!$H214:$BG214)&lt;52,IF('Capacity summary'!AZ214&lt;&gt;"",IF(LOWER('Capacity summary'!AZ214)="x",$BI95*AZ95,VALUE('Capacity summary'!AZ214)),0),AZ95*$BI95),AZ95*$BI95),0)</f>
        <v>0</v>
      </c>
      <c r="DD95" s="314">
        <f>IF($BI95&lt;&gt;"",IF('Capacity summary'!$D$14="Yes",IF(COUNTBLANK('Capacity summary'!$H214:$BG214)&lt;52,IF('Capacity summary'!BA214&lt;&gt;"",IF(LOWER('Capacity summary'!BA214)="x",$BI95*BA95,VALUE('Capacity summary'!BA214)),0),BA95*$BI95),BA95*$BI95),0)</f>
        <v>0</v>
      </c>
      <c r="DE95" s="314">
        <f>IF($BI95&lt;&gt;"",IF('Capacity summary'!$D$14="Yes",IF(COUNTBLANK('Capacity summary'!$H214:$BG214)&lt;52,IF('Capacity summary'!BB214&lt;&gt;"",IF(LOWER('Capacity summary'!BB214)="x",$BI95*BB95,VALUE('Capacity summary'!BB214)),0),BB95*$BI95),BB95*$BI95),0)</f>
        <v>0</v>
      </c>
      <c r="DF95" s="314">
        <f>IF($BI95&lt;&gt;"",IF('Capacity summary'!$D$14="Yes",IF(COUNTBLANK('Capacity summary'!$H214:$BG214)&lt;52,IF('Capacity summary'!BC214&lt;&gt;"",IF(LOWER('Capacity summary'!BC214)="x",$BI95*BC95,VALUE('Capacity summary'!BC214)),0),BC95*$BI95),BC95*$BI95),0)</f>
        <v>0</v>
      </c>
      <c r="DG95" s="314">
        <f>IF($BI95&lt;&gt;"",IF('Capacity summary'!$D$14="Yes",IF(COUNTBLANK('Capacity summary'!$H214:$BG214)&lt;52,IF('Capacity summary'!BD214&lt;&gt;"",IF(LOWER('Capacity summary'!BD214)="x",$BI95*BD95,VALUE('Capacity summary'!BD214)),0),BD95*$BI95),BD95*$BI95),0)</f>
        <v>0</v>
      </c>
      <c r="DH95" s="314">
        <f>IF($BI95&lt;&gt;"",IF('Capacity summary'!$D$14="Yes",IF(COUNTBLANK('Capacity summary'!$H214:$BG214)&lt;52,IF('Capacity summary'!BE214&lt;&gt;"",IF(LOWER('Capacity summary'!BE214)="x",$BI95*BE95,VALUE('Capacity summary'!BE214)),0),BE95*$BI95),BE95*$BI95),0)</f>
        <v>0</v>
      </c>
      <c r="DI95" s="314">
        <f>IF($BI95&lt;&gt;"",IF('Capacity summary'!$D$14="Yes",IF(COUNTBLANK('Capacity summary'!$H214:$BG214)&lt;52,IF('Capacity summary'!BF214&lt;&gt;"",IF(LOWER('Capacity summary'!BF214)="x",$BI95*BF95,VALUE('Capacity summary'!BF214)),0),BF95*$BI95),BF95*$BI95),0)</f>
        <v>0</v>
      </c>
      <c r="DJ95" s="314">
        <f>IF($BI95&lt;&gt;"",IF('Capacity summary'!$D$14="Yes",IF(COUNTBLANK('Capacity summary'!$H214:$BG214)&lt;52,IF('Capacity summary'!BG214&lt;&gt;"",IF(LOWER('Capacity summary'!BG214)="x",$BI95*BG95,VALUE('Capacity summary'!BG214)),0),BG95*$BI95),BG95*$BI95),0)</f>
        <v>0</v>
      </c>
      <c r="DK95" s="137">
        <f t="shared" si="3"/>
        <v>0</v>
      </c>
      <c r="DL95" s="314"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4">
        <f>IF($BI96&lt;&gt;"",IF('Capacity summary'!$D$14="Yes",IF(COUNTBLANK('Capacity summary'!$H215:$BG215)&lt;52,IF('Capacity summary'!H215&lt;&gt;"",IF(LOWER('Capacity summary'!H215)="x",$BI96*H96,VALUE('Capacity summary'!H215)),0),H96*$BI96),H96*$BI96),0)</f>
        <v>0</v>
      </c>
      <c r="BL96" s="314">
        <f>IF($BI96&lt;&gt;"",IF('Capacity summary'!$D$14="Yes",IF(COUNTBLANK('Capacity summary'!$H215:$BG215)&lt;52,IF('Capacity summary'!I215&lt;&gt;"",IF(LOWER('Capacity summary'!I215)="x",$BI96*I96,VALUE('Capacity summary'!I215)),0),I96*$BI96),I96*$BI96),0)</f>
        <v>0</v>
      </c>
      <c r="BM96" s="314">
        <f>IF($BI96&lt;&gt;"",IF('Capacity summary'!$D$14="Yes",IF(COUNTBLANK('Capacity summary'!$H215:$BG215)&lt;52,IF('Capacity summary'!J215&lt;&gt;"",IF(LOWER('Capacity summary'!J215)="x",$BI96*J96,VALUE('Capacity summary'!J215)),0),J96*$BI96),J96*$BI96),0)</f>
        <v>0</v>
      </c>
      <c r="BN96" s="314">
        <f>IF($BI96&lt;&gt;"",IF('Capacity summary'!$D$14="Yes",IF(COUNTBLANK('Capacity summary'!$H215:$BG215)&lt;52,IF('Capacity summary'!K215&lt;&gt;"",IF(LOWER('Capacity summary'!K215)="x",$BI96*K96,VALUE('Capacity summary'!K215)),0),K96*$BI96),K96*$BI96),0)</f>
        <v>0</v>
      </c>
      <c r="BO96" s="314">
        <f>IF($BI96&lt;&gt;"",IF('Capacity summary'!$D$14="Yes",IF(COUNTBLANK('Capacity summary'!$H215:$BG215)&lt;52,IF('Capacity summary'!L215&lt;&gt;"",IF(LOWER('Capacity summary'!L215)="x",$BI96*L96,VALUE('Capacity summary'!L215)),0),L96*$BI96),L96*$BI96),0)</f>
        <v>0</v>
      </c>
      <c r="BP96" s="314">
        <f>IF($BI96&lt;&gt;"",IF('Capacity summary'!$D$14="Yes",IF(COUNTBLANK('Capacity summary'!$H215:$BG215)&lt;52,IF('Capacity summary'!M215&lt;&gt;"",IF(LOWER('Capacity summary'!M215)="x",$BI96*M96,VALUE('Capacity summary'!M215)),0),M96*$BI96),M96*$BI96),0)</f>
        <v>0</v>
      </c>
      <c r="BQ96" s="314">
        <f>IF($BI96&lt;&gt;"",IF('Capacity summary'!$D$14="Yes",IF(COUNTBLANK('Capacity summary'!$H215:$BG215)&lt;52,IF('Capacity summary'!N215&lt;&gt;"",IF(LOWER('Capacity summary'!N215)="x",$BI96*N96,VALUE('Capacity summary'!N215)),0),N96*$BI96),N96*$BI96),0)</f>
        <v>0</v>
      </c>
      <c r="BR96" s="314">
        <f>IF($BI96&lt;&gt;"",IF('Capacity summary'!$D$14="Yes",IF(COUNTBLANK('Capacity summary'!$H215:$BG215)&lt;52,IF('Capacity summary'!O215&lt;&gt;"",IF(LOWER('Capacity summary'!O215)="x",$BI96*O96,VALUE('Capacity summary'!O215)),0),O96*$BI96),O96*$BI96),0)</f>
        <v>0</v>
      </c>
      <c r="BS96" s="314">
        <f>IF($BI96&lt;&gt;"",IF('Capacity summary'!$D$14="Yes",IF(COUNTBLANK('Capacity summary'!$H215:$BG215)&lt;52,IF('Capacity summary'!P215&lt;&gt;"",IF(LOWER('Capacity summary'!P215)="x",$BI96*P96,VALUE('Capacity summary'!P215)),0),P96*$BI96),P96*$BI96),0)</f>
        <v>0</v>
      </c>
      <c r="BT96" s="314">
        <f>IF($BI96&lt;&gt;"",IF('Capacity summary'!$D$14="Yes",IF(COUNTBLANK('Capacity summary'!$H215:$BG215)&lt;52,IF('Capacity summary'!Q215&lt;&gt;"",IF(LOWER('Capacity summary'!Q215)="x",$BI96*Q96,VALUE('Capacity summary'!Q215)),0),Q96*$BI96),Q96*$BI96),0)</f>
        <v>0</v>
      </c>
      <c r="BU96" s="314">
        <f>IF($BI96&lt;&gt;"",IF('Capacity summary'!$D$14="Yes",IF(COUNTBLANK('Capacity summary'!$H215:$BG215)&lt;52,IF('Capacity summary'!R215&lt;&gt;"",IF(LOWER('Capacity summary'!R215)="x",$BI96*R96,VALUE('Capacity summary'!R215)),0),R96*$BI96),R96*$BI96),0)</f>
        <v>0</v>
      </c>
      <c r="BV96" s="314">
        <f>IF($BI96&lt;&gt;"",IF('Capacity summary'!$D$14="Yes",IF(COUNTBLANK('Capacity summary'!$H215:$BG215)&lt;52,IF('Capacity summary'!S215&lt;&gt;"",IF(LOWER('Capacity summary'!S215)="x",$BI96*S96,VALUE('Capacity summary'!S215)),0),S96*$BI96),S96*$BI96),0)</f>
        <v>0</v>
      </c>
      <c r="BW96" s="314">
        <f>IF($BI96&lt;&gt;"",IF('Capacity summary'!$D$14="Yes",IF(COUNTBLANK('Capacity summary'!$H215:$BG215)&lt;52,IF('Capacity summary'!T215&lt;&gt;"",IF(LOWER('Capacity summary'!T215)="x",$BI96*T96,VALUE('Capacity summary'!T215)),0),T96*$BI96),T96*$BI96),0)</f>
        <v>0</v>
      </c>
      <c r="BX96" s="314">
        <f>IF($BI96&lt;&gt;"",IF('Capacity summary'!$D$14="Yes",IF(COUNTBLANK('Capacity summary'!$H215:$BG215)&lt;52,IF('Capacity summary'!U215&lt;&gt;"",IF(LOWER('Capacity summary'!U215)="x",$BI96*U96,VALUE('Capacity summary'!U215)),0),U96*$BI96),U96*$BI96),0)</f>
        <v>0</v>
      </c>
      <c r="BY96" s="314">
        <f>IF($BI96&lt;&gt;"",IF('Capacity summary'!$D$14="Yes",IF(COUNTBLANK('Capacity summary'!$H215:$BG215)&lt;52,IF('Capacity summary'!V215&lt;&gt;"",IF(LOWER('Capacity summary'!V215)="x",$BI96*V96,VALUE('Capacity summary'!V215)),0),V96*$BI96),V96*$BI96),0)</f>
        <v>0</v>
      </c>
      <c r="BZ96" s="314">
        <f>IF($BI96&lt;&gt;"",IF('Capacity summary'!$D$14="Yes",IF(COUNTBLANK('Capacity summary'!$H215:$BG215)&lt;52,IF('Capacity summary'!W215&lt;&gt;"",IF(LOWER('Capacity summary'!W215)="x",$BI96*W96,VALUE('Capacity summary'!W215)),0),W96*$BI96),W96*$BI96),0)</f>
        <v>0</v>
      </c>
      <c r="CA96" s="314">
        <f>IF($BI96&lt;&gt;"",IF('Capacity summary'!$D$14="Yes",IF(COUNTBLANK('Capacity summary'!$H215:$BG215)&lt;52,IF('Capacity summary'!X215&lt;&gt;"",IF(LOWER('Capacity summary'!X215)="x",$BI96*X96,VALUE('Capacity summary'!X215)),0),X96*$BI96),X96*$BI96),0)</f>
        <v>0</v>
      </c>
      <c r="CB96" s="314">
        <f>IF($BI96&lt;&gt;"",IF('Capacity summary'!$D$14="Yes",IF(COUNTBLANK('Capacity summary'!$H215:$BG215)&lt;52,IF('Capacity summary'!Y215&lt;&gt;"",IF(LOWER('Capacity summary'!Y215)="x",$BI96*Y96,VALUE('Capacity summary'!Y215)),0),Y96*$BI96),Y96*$BI96),0)</f>
        <v>0</v>
      </c>
      <c r="CC96" s="314">
        <f>IF($BI96&lt;&gt;"",IF('Capacity summary'!$D$14="Yes",IF(COUNTBLANK('Capacity summary'!$H215:$BG215)&lt;52,IF('Capacity summary'!Z215&lt;&gt;"",IF(LOWER('Capacity summary'!Z215)="x",$BI96*Z96,VALUE('Capacity summary'!Z215)),0),Z96*$BI96),Z96*$BI96),0)</f>
        <v>0</v>
      </c>
      <c r="CD96" s="314">
        <f>IF($BI96&lt;&gt;"",IF('Capacity summary'!$D$14="Yes",IF(COUNTBLANK('Capacity summary'!$H215:$BG215)&lt;52,IF('Capacity summary'!AA215&lt;&gt;"",IF(LOWER('Capacity summary'!AA215)="x",$BI96*AA96,VALUE('Capacity summary'!AA215)),0),AA96*$BI96),AA96*$BI96),0)</f>
        <v>0</v>
      </c>
      <c r="CE96" s="314">
        <f>IF($BI96&lt;&gt;"",IF('Capacity summary'!$D$14="Yes",IF(COUNTBLANK('Capacity summary'!$H215:$BG215)&lt;52,IF('Capacity summary'!AB215&lt;&gt;"",IF(LOWER('Capacity summary'!AB215)="x",$BI96*AB96,VALUE('Capacity summary'!AB215)),0),AB96*$BI96),AB96*$BI96),0)</f>
        <v>0</v>
      </c>
      <c r="CF96" s="314">
        <f>IF($BI96&lt;&gt;"",IF('Capacity summary'!$D$14="Yes",IF(COUNTBLANK('Capacity summary'!$H215:$BG215)&lt;52,IF('Capacity summary'!AC215&lt;&gt;"",IF(LOWER('Capacity summary'!AC215)="x",$BI96*AC96,VALUE('Capacity summary'!AC215)),0),AC96*$BI96),AC96*$BI96),0)</f>
        <v>0</v>
      </c>
      <c r="CG96" s="314">
        <f>IF($BI96&lt;&gt;"",IF('Capacity summary'!$D$14="Yes",IF(COUNTBLANK('Capacity summary'!$H215:$BG215)&lt;52,IF('Capacity summary'!AD215&lt;&gt;"",IF(LOWER('Capacity summary'!AD215)="x",$BI96*AD96,VALUE('Capacity summary'!AD215)),0),AD96*$BI96),AD96*$BI96),0)</f>
        <v>0</v>
      </c>
      <c r="CH96" s="314">
        <f>IF($BI96&lt;&gt;"",IF('Capacity summary'!$D$14="Yes",IF(COUNTBLANK('Capacity summary'!$H215:$BG215)&lt;52,IF('Capacity summary'!AE215&lt;&gt;"",IF(LOWER('Capacity summary'!AE215)="x",$BI96*AE96,VALUE('Capacity summary'!AE215)),0),AE96*$BI96),AE96*$BI96),0)</f>
        <v>0</v>
      </c>
      <c r="CI96" s="314">
        <f>IF($BI96&lt;&gt;"",IF('Capacity summary'!$D$14="Yes",IF(COUNTBLANK('Capacity summary'!$H215:$BG215)&lt;52,IF('Capacity summary'!AF215&lt;&gt;"",IF(LOWER('Capacity summary'!AF215)="x",$BI96*AF96,VALUE('Capacity summary'!AF215)),0),AF96*$BI96),AF96*$BI96),0)</f>
        <v>0</v>
      </c>
      <c r="CJ96" s="314">
        <f>IF($BI96&lt;&gt;"",IF('Capacity summary'!$D$14="Yes",IF(COUNTBLANK('Capacity summary'!$H215:$BG215)&lt;52,IF('Capacity summary'!AG215&lt;&gt;"",IF(LOWER('Capacity summary'!AG215)="x",$BI96*AG96,VALUE('Capacity summary'!AG215)),0),AG96*$BI96),AG96*$BI96),0)</f>
        <v>0</v>
      </c>
      <c r="CK96" s="314">
        <f>IF($BI96&lt;&gt;"",IF('Capacity summary'!$D$14="Yes",IF(COUNTBLANK('Capacity summary'!$H215:$BG215)&lt;52,IF('Capacity summary'!AH215&lt;&gt;"",IF(LOWER('Capacity summary'!AH215)="x",$BI96*AH96,VALUE('Capacity summary'!AH215)),0),AH96*$BI96),AH96*$BI96),0)</f>
        <v>0</v>
      </c>
      <c r="CL96" s="314">
        <f>IF($BI96&lt;&gt;"",IF('Capacity summary'!$D$14="Yes",IF(COUNTBLANK('Capacity summary'!$H215:$BG215)&lt;52,IF('Capacity summary'!AI215&lt;&gt;"",IF(LOWER('Capacity summary'!AI215)="x",$BI96*AI96,VALUE('Capacity summary'!AI215)),0),AI96*$BI96),AI96*$BI96),0)</f>
        <v>0</v>
      </c>
      <c r="CM96" s="314">
        <f>IF($BI96&lt;&gt;"",IF('Capacity summary'!$D$14="Yes",IF(COUNTBLANK('Capacity summary'!$H215:$BG215)&lt;52,IF('Capacity summary'!AJ215&lt;&gt;"",IF(LOWER('Capacity summary'!AJ215)="x",$BI96*AJ96,VALUE('Capacity summary'!AJ215)),0),AJ96*$BI96),AJ96*$BI96),0)</f>
        <v>0</v>
      </c>
      <c r="CN96" s="314">
        <f>IF($BI96&lt;&gt;"",IF('Capacity summary'!$D$14="Yes",IF(COUNTBLANK('Capacity summary'!$H215:$BG215)&lt;52,IF('Capacity summary'!AK215&lt;&gt;"",IF(LOWER('Capacity summary'!AK215)="x",$BI96*AK96,VALUE('Capacity summary'!AK215)),0),AK96*$BI96),AK96*$BI96),0)</f>
        <v>0</v>
      </c>
      <c r="CO96" s="314">
        <f>IF($BI96&lt;&gt;"",IF('Capacity summary'!$D$14="Yes",IF(COUNTBLANK('Capacity summary'!$H215:$BG215)&lt;52,IF('Capacity summary'!AL215&lt;&gt;"",IF(LOWER('Capacity summary'!AL215)="x",$BI96*AL96,VALUE('Capacity summary'!AL215)),0),AL96*$BI96),AL96*$BI96),0)</f>
        <v>0</v>
      </c>
      <c r="CP96" s="314">
        <f>IF($BI96&lt;&gt;"",IF('Capacity summary'!$D$14="Yes",IF(COUNTBLANK('Capacity summary'!$H215:$BG215)&lt;52,IF('Capacity summary'!AM215&lt;&gt;"",IF(LOWER('Capacity summary'!AM215)="x",$BI96*AM96,VALUE('Capacity summary'!AM215)),0),AM96*$BI96),AM96*$BI96),0)</f>
        <v>0</v>
      </c>
      <c r="CQ96" s="314">
        <f>IF($BI96&lt;&gt;"",IF('Capacity summary'!$D$14="Yes",IF(COUNTBLANK('Capacity summary'!$H215:$BG215)&lt;52,IF('Capacity summary'!AN215&lt;&gt;"",IF(LOWER('Capacity summary'!AN215)="x",$BI96*AN96,VALUE('Capacity summary'!AN215)),0),AN96*$BI96),AN96*$BI96),0)</f>
        <v>0</v>
      </c>
      <c r="CR96" s="314">
        <f>IF($BI96&lt;&gt;"",IF('Capacity summary'!$D$14="Yes",IF(COUNTBLANK('Capacity summary'!$H215:$BG215)&lt;52,IF('Capacity summary'!AO215&lt;&gt;"",IF(LOWER('Capacity summary'!AO215)="x",$BI96*AO96,VALUE('Capacity summary'!AO215)),0),AO96*$BI96),AO96*$BI96),0)</f>
        <v>0</v>
      </c>
      <c r="CS96" s="314">
        <f>IF($BI96&lt;&gt;"",IF('Capacity summary'!$D$14="Yes",IF(COUNTBLANK('Capacity summary'!$H215:$BG215)&lt;52,IF('Capacity summary'!AP215&lt;&gt;"",IF(LOWER('Capacity summary'!AP215)="x",$BI96*AP96,VALUE('Capacity summary'!AP215)),0),AP96*$BI96),AP96*$BI96),0)</f>
        <v>0</v>
      </c>
      <c r="CT96" s="314">
        <f>IF($BI96&lt;&gt;"",IF('Capacity summary'!$D$14="Yes",IF(COUNTBLANK('Capacity summary'!$H215:$BG215)&lt;52,IF('Capacity summary'!AQ215&lt;&gt;"",IF(LOWER('Capacity summary'!AQ215)="x",$BI96*AQ96,VALUE('Capacity summary'!AQ215)),0),AQ96*$BI96),AQ96*$BI96),0)</f>
        <v>0</v>
      </c>
      <c r="CU96" s="314">
        <f>IF($BI96&lt;&gt;"",IF('Capacity summary'!$D$14="Yes",IF(COUNTBLANK('Capacity summary'!$H215:$BG215)&lt;52,IF('Capacity summary'!AR215&lt;&gt;"",IF(LOWER('Capacity summary'!AR215)="x",$BI96*AR96,VALUE('Capacity summary'!AR215)),0),AR96*$BI96),AR96*$BI96),0)</f>
        <v>0</v>
      </c>
      <c r="CV96" s="314">
        <f>IF($BI96&lt;&gt;"",IF('Capacity summary'!$D$14="Yes",IF(COUNTBLANK('Capacity summary'!$H215:$BG215)&lt;52,IF('Capacity summary'!AS215&lt;&gt;"",IF(LOWER('Capacity summary'!AS215)="x",$BI96*AS96,VALUE('Capacity summary'!AS215)),0),AS96*$BI96),AS96*$BI96),0)</f>
        <v>0</v>
      </c>
      <c r="CW96" s="314">
        <f>IF($BI96&lt;&gt;"",IF('Capacity summary'!$D$14="Yes",IF(COUNTBLANK('Capacity summary'!$H215:$BG215)&lt;52,IF('Capacity summary'!AT215&lt;&gt;"",IF(LOWER('Capacity summary'!AT215)="x",$BI96*AT96,VALUE('Capacity summary'!AT215)),0),AT96*$BI96),AT96*$BI96),0)</f>
        <v>0</v>
      </c>
      <c r="CX96" s="314">
        <f>IF($BI96&lt;&gt;"",IF('Capacity summary'!$D$14="Yes",IF(COUNTBLANK('Capacity summary'!$H215:$BG215)&lt;52,IF('Capacity summary'!AU215&lt;&gt;"",IF(LOWER('Capacity summary'!AU215)="x",$BI96*AU96,VALUE('Capacity summary'!AU215)),0),AU96*$BI96),AU96*$BI96),0)</f>
        <v>0</v>
      </c>
      <c r="CY96" s="314">
        <f>IF($BI96&lt;&gt;"",IF('Capacity summary'!$D$14="Yes",IF(COUNTBLANK('Capacity summary'!$H215:$BG215)&lt;52,IF('Capacity summary'!AV215&lt;&gt;"",IF(LOWER('Capacity summary'!AV215)="x",$BI96*AV96,VALUE('Capacity summary'!AV215)),0),AV96*$BI96),AV96*$BI96),0)</f>
        <v>0</v>
      </c>
      <c r="CZ96" s="314">
        <f>IF($BI96&lt;&gt;"",IF('Capacity summary'!$D$14="Yes",IF(COUNTBLANK('Capacity summary'!$H215:$BG215)&lt;52,IF('Capacity summary'!AW215&lt;&gt;"",IF(LOWER('Capacity summary'!AW215)="x",$BI96*AW96,VALUE('Capacity summary'!AW215)),0),AW96*$BI96),AW96*$BI96),0)</f>
        <v>0</v>
      </c>
      <c r="DA96" s="314">
        <f>IF($BI96&lt;&gt;"",IF('Capacity summary'!$D$14="Yes",IF(COUNTBLANK('Capacity summary'!$H215:$BG215)&lt;52,IF('Capacity summary'!AX215&lt;&gt;"",IF(LOWER('Capacity summary'!AX215)="x",$BI96*AX96,VALUE('Capacity summary'!AX215)),0),AX96*$BI96),AX96*$BI96),0)</f>
        <v>0</v>
      </c>
      <c r="DB96" s="314">
        <f>IF($BI96&lt;&gt;"",IF('Capacity summary'!$D$14="Yes",IF(COUNTBLANK('Capacity summary'!$H215:$BG215)&lt;52,IF('Capacity summary'!AY215&lt;&gt;"",IF(LOWER('Capacity summary'!AY215)="x",$BI96*AY96,VALUE('Capacity summary'!AY215)),0),AY96*$BI96),AY96*$BI96),0)</f>
        <v>0</v>
      </c>
      <c r="DC96" s="314">
        <f>IF($BI96&lt;&gt;"",IF('Capacity summary'!$D$14="Yes",IF(COUNTBLANK('Capacity summary'!$H215:$BG215)&lt;52,IF('Capacity summary'!AZ215&lt;&gt;"",IF(LOWER('Capacity summary'!AZ215)="x",$BI96*AZ96,VALUE('Capacity summary'!AZ215)),0),AZ96*$BI96),AZ96*$BI96),0)</f>
        <v>0</v>
      </c>
      <c r="DD96" s="314">
        <f>IF($BI96&lt;&gt;"",IF('Capacity summary'!$D$14="Yes",IF(COUNTBLANK('Capacity summary'!$H215:$BG215)&lt;52,IF('Capacity summary'!BA215&lt;&gt;"",IF(LOWER('Capacity summary'!BA215)="x",$BI96*BA96,VALUE('Capacity summary'!BA215)),0),BA96*$BI96),BA96*$BI96),0)</f>
        <v>0</v>
      </c>
      <c r="DE96" s="314">
        <f>IF($BI96&lt;&gt;"",IF('Capacity summary'!$D$14="Yes",IF(COUNTBLANK('Capacity summary'!$H215:$BG215)&lt;52,IF('Capacity summary'!BB215&lt;&gt;"",IF(LOWER('Capacity summary'!BB215)="x",$BI96*BB96,VALUE('Capacity summary'!BB215)),0),BB96*$BI96),BB96*$BI96),0)</f>
        <v>0</v>
      </c>
      <c r="DF96" s="314">
        <f>IF($BI96&lt;&gt;"",IF('Capacity summary'!$D$14="Yes",IF(COUNTBLANK('Capacity summary'!$H215:$BG215)&lt;52,IF('Capacity summary'!BC215&lt;&gt;"",IF(LOWER('Capacity summary'!BC215)="x",$BI96*BC96,VALUE('Capacity summary'!BC215)),0),BC96*$BI96),BC96*$BI96),0)</f>
        <v>0</v>
      </c>
      <c r="DG96" s="314">
        <f>IF($BI96&lt;&gt;"",IF('Capacity summary'!$D$14="Yes",IF(COUNTBLANK('Capacity summary'!$H215:$BG215)&lt;52,IF('Capacity summary'!BD215&lt;&gt;"",IF(LOWER('Capacity summary'!BD215)="x",$BI96*BD96,VALUE('Capacity summary'!BD215)),0),BD96*$BI96),BD96*$BI96),0)</f>
        <v>0</v>
      </c>
      <c r="DH96" s="314">
        <f>IF($BI96&lt;&gt;"",IF('Capacity summary'!$D$14="Yes",IF(COUNTBLANK('Capacity summary'!$H215:$BG215)&lt;52,IF('Capacity summary'!BE215&lt;&gt;"",IF(LOWER('Capacity summary'!BE215)="x",$BI96*BE96,VALUE('Capacity summary'!BE215)),0),BE96*$BI96),BE96*$BI96),0)</f>
        <v>0</v>
      </c>
      <c r="DI96" s="314">
        <f>IF($BI96&lt;&gt;"",IF('Capacity summary'!$D$14="Yes",IF(COUNTBLANK('Capacity summary'!$H215:$BG215)&lt;52,IF('Capacity summary'!BF215&lt;&gt;"",IF(LOWER('Capacity summary'!BF215)="x",$BI96*BF96,VALUE('Capacity summary'!BF215)),0),BF96*$BI96),BF96*$BI96),0)</f>
        <v>0</v>
      </c>
      <c r="DJ96" s="314">
        <f>IF($BI96&lt;&gt;"",IF('Capacity summary'!$D$14="Yes",IF(COUNTBLANK('Capacity summary'!$H215:$BG215)&lt;52,IF('Capacity summary'!BG215&lt;&gt;"",IF(LOWER('Capacity summary'!BG215)="x",$BI96*BG96,VALUE('Capacity summary'!BG215)),0),BG96*$BI96),BG96*$BI96),0)</f>
        <v>0</v>
      </c>
      <c r="DK96" s="137">
        <f t="shared" si="3"/>
        <v>0</v>
      </c>
      <c r="DL96" s="314"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4">
        <f>IF($BI97&lt;&gt;"",IF('Capacity summary'!$D$14="Yes",IF(COUNTBLANK('Capacity summary'!$H216:$BG216)&lt;52,IF('Capacity summary'!H216&lt;&gt;"",IF(LOWER('Capacity summary'!H216)="x",$BI97*H97,VALUE('Capacity summary'!H216)),0),H97*$BI97),H97*$BI97),0)</f>
        <v>0</v>
      </c>
      <c r="BL97" s="314">
        <f>IF($BI97&lt;&gt;"",IF('Capacity summary'!$D$14="Yes",IF(COUNTBLANK('Capacity summary'!$H216:$BG216)&lt;52,IF('Capacity summary'!I216&lt;&gt;"",IF(LOWER('Capacity summary'!I216)="x",$BI97*I97,VALUE('Capacity summary'!I216)),0),I97*$BI97),I97*$BI97),0)</f>
        <v>0</v>
      </c>
      <c r="BM97" s="314">
        <f>IF($BI97&lt;&gt;"",IF('Capacity summary'!$D$14="Yes",IF(COUNTBLANK('Capacity summary'!$H216:$BG216)&lt;52,IF('Capacity summary'!J216&lt;&gt;"",IF(LOWER('Capacity summary'!J216)="x",$BI97*J97,VALUE('Capacity summary'!J216)),0),J97*$BI97),J97*$BI97),0)</f>
        <v>0</v>
      </c>
      <c r="BN97" s="314">
        <f>IF($BI97&lt;&gt;"",IF('Capacity summary'!$D$14="Yes",IF(COUNTBLANK('Capacity summary'!$H216:$BG216)&lt;52,IF('Capacity summary'!K216&lt;&gt;"",IF(LOWER('Capacity summary'!K216)="x",$BI97*K97,VALUE('Capacity summary'!K216)),0),K97*$BI97),K97*$BI97),0)</f>
        <v>0</v>
      </c>
      <c r="BO97" s="314">
        <f>IF($BI97&lt;&gt;"",IF('Capacity summary'!$D$14="Yes",IF(COUNTBLANK('Capacity summary'!$H216:$BG216)&lt;52,IF('Capacity summary'!L216&lt;&gt;"",IF(LOWER('Capacity summary'!L216)="x",$BI97*L97,VALUE('Capacity summary'!L216)),0),L97*$BI97),L97*$BI97),0)</f>
        <v>0</v>
      </c>
      <c r="BP97" s="314">
        <f>IF($BI97&lt;&gt;"",IF('Capacity summary'!$D$14="Yes",IF(COUNTBLANK('Capacity summary'!$H216:$BG216)&lt;52,IF('Capacity summary'!M216&lt;&gt;"",IF(LOWER('Capacity summary'!M216)="x",$BI97*M97,VALUE('Capacity summary'!M216)),0),M97*$BI97),M97*$BI97),0)</f>
        <v>0</v>
      </c>
      <c r="BQ97" s="314">
        <f>IF($BI97&lt;&gt;"",IF('Capacity summary'!$D$14="Yes",IF(COUNTBLANK('Capacity summary'!$H216:$BG216)&lt;52,IF('Capacity summary'!N216&lt;&gt;"",IF(LOWER('Capacity summary'!N216)="x",$BI97*N97,VALUE('Capacity summary'!N216)),0),N97*$BI97),N97*$BI97),0)</f>
        <v>0</v>
      </c>
      <c r="BR97" s="314">
        <f>IF($BI97&lt;&gt;"",IF('Capacity summary'!$D$14="Yes",IF(COUNTBLANK('Capacity summary'!$H216:$BG216)&lt;52,IF('Capacity summary'!O216&lt;&gt;"",IF(LOWER('Capacity summary'!O216)="x",$BI97*O97,VALUE('Capacity summary'!O216)),0),O97*$BI97),O97*$BI97),0)</f>
        <v>0</v>
      </c>
      <c r="BS97" s="314">
        <f>IF($BI97&lt;&gt;"",IF('Capacity summary'!$D$14="Yes",IF(COUNTBLANK('Capacity summary'!$H216:$BG216)&lt;52,IF('Capacity summary'!P216&lt;&gt;"",IF(LOWER('Capacity summary'!P216)="x",$BI97*P97,VALUE('Capacity summary'!P216)),0),P97*$BI97),P97*$BI97),0)</f>
        <v>0</v>
      </c>
      <c r="BT97" s="314">
        <f>IF($BI97&lt;&gt;"",IF('Capacity summary'!$D$14="Yes",IF(COUNTBLANK('Capacity summary'!$H216:$BG216)&lt;52,IF('Capacity summary'!Q216&lt;&gt;"",IF(LOWER('Capacity summary'!Q216)="x",$BI97*Q97,VALUE('Capacity summary'!Q216)),0),Q97*$BI97),Q97*$BI97),0)</f>
        <v>0</v>
      </c>
      <c r="BU97" s="314">
        <f>IF($BI97&lt;&gt;"",IF('Capacity summary'!$D$14="Yes",IF(COUNTBLANK('Capacity summary'!$H216:$BG216)&lt;52,IF('Capacity summary'!R216&lt;&gt;"",IF(LOWER('Capacity summary'!R216)="x",$BI97*R97,VALUE('Capacity summary'!R216)),0),R97*$BI97),R97*$BI97),0)</f>
        <v>0</v>
      </c>
      <c r="BV97" s="314">
        <f>IF($BI97&lt;&gt;"",IF('Capacity summary'!$D$14="Yes",IF(COUNTBLANK('Capacity summary'!$H216:$BG216)&lt;52,IF('Capacity summary'!S216&lt;&gt;"",IF(LOWER('Capacity summary'!S216)="x",$BI97*S97,VALUE('Capacity summary'!S216)),0),S97*$BI97),S97*$BI97),0)</f>
        <v>0</v>
      </c>
      <c r="BW97" s="314">
        <f>IF($BI97&lt;&gt;"",IF('Capacity summary'!$D$14="Yes",IF(COUNTBLANK('Capacity summary'!$H216:$BG216)&lt;52,IF('Capacity summary'!T216&lt;&gt;"",IF(LOWER('Capacity summary'!T216)="x",$BI97*T97,VALUE('Capacity summary'!T216)),0),T97*$BI97),T97*$BI97),0)</f>
        <v>0</v>
      </c>
      <c r="BX97" s="314">
        <f>IF($BI97&lt;&gt;"",IF('Capacity summary'!$D$14="Yes",IF(COUNTBLANK('Capacity summary'!$H216:$BG216)&lt;52,IF('Capacity summary'!U216&lt;&gt;"",IF(LOWER('Capacity summary'!U216)="x",$BI97*U97,VALUE('Capacity summary'!U216)),0),U97*$BI97),U97*$BI97),0)</f>
        <v>0</v>
      </c>
      <c r="BY97" s="314">
        <f>IF($BI97&lt;&gt;"",IF('Capacity summary'!$D$14="Yes",IF(COUNTBLANK('Capacity summary'!$H216:$BG216)&lt;52,IF('Capacity summary'!V216&lt;&gt;"",IF(LOWER('Capacity summary'!V216)="x",$BI97*V97,VALUE('Capacity summary'!V216)),0),V97*$BI97),V97*$BI97),0)</f>
        <v>0</v>
      </c>
      <c r="BZ97" s="314">
        <f>IF($BI97&lt;&gt;"",IF('Capacity summary'!$D$14="Yes",IF(COUNTBLANK('Capacity summary'!$H216:$BG216)&lt;52,IF('Capacity summary'!W216&lt;&gt;"",IF(LOWER('Capacity summary'!W216)="x",$BI97*W97,VALUE('Capacity summary'!W216)),0),W97*$BI97),W97*$BI97),0)</f>
        <v>0</v>
      </c>
      <c r="CA97" s="314">
        <f>IF($BI97&lt;&gt;"",IF('Capacity summary'!$D$14="Yes",IF(COUNTBLANK('Capacity summary'!$H216:$BG216)&lt;52,IF('Capacity summary'!X216&lt;&gt;"",IF(LOWER('Capacity summary'!X216)="x",$BI97*X97,VALUE('Capacity summary'!X216)),0),X97*$BI97),X97*$BI97),0)</f>
        <v>0</v>
      </c>
      <c r="CB97" s="314">
        <f>IF($BI97&lt;&gt;"",IF('Capacity summary'!$D$14="Yes",IF(COUNTBLANK('Capacity summary'!$H216:$BG216)&lt;52,IF('Capacity summary'!Y216&lt;&gt;"",IF(LOWER('Capacity summary'!Y216)="x",$BI97*Y97,VALUE('Capacity summary'!Y216)),0),Y97*$BI97),Y97*$BI97),0)</f>
        <v>0</v>
      </c>
      <c r="CC97" s="314">
        <f>IF($BI97&lt;&gt;"",IF('Capacity summary'!$D$14="Yes",IF(COUNTBLANK('Capacity summary'!$H216:$BG216)&lt;52,IF('Capacity summary'!Z216&lt;&gt;"",IF(LOWER('Capacity summary'!Z216)="x",$BI97*Z97,VALUE('Capacity summary'!Z216)),0),Z97*$BI97),Z97*$BI97),0)</f>
        <v>0</v>
      </c>
      <c r="CD97" s="314">
        <f>IF($BI97&lt;&gt;"",IF('Capacity summary'!$D$14="Yes",IF(COUNTBLANK('Capacity summary'!$H216:$BG216)&lt;52,IF('Capacity summary'!AA216&lt;&gt;"",IF(LOWER('Capacity summary'!AA216)="x",$BI97*AA97,VALUE('Capacity summary'!AA216)),0),AA97*$BI97),AA97*$BI97),0)</f>
        <v>0</v>
      </c>
      <c r="CE97" s="314">
        <f>IF($BI97&lt;&gt;"",IF('Capacity summary'!$D$14="Yes",IF(COUNTBLANK('Capacity summary'!$H216:$BG216)&lt;52,IF('Capacity summary'!AB216&lt;&gt;"",IF(LOWER('Capacity summary'!AB216)="x",$BI97*AB97,VALUE('Capacity summary'!AB216)),0),AB97*$BI97),AB97*$BI97),0)</f>
        <v>0</v>
      </c>
      <c r="CF97" s="314">
        <f>IF($BI97&lt;&gt;"",IF('Capacity summary'!$D$14="Yes",IF(COUNTBLANK('Capacity summary'!$H216:$BG216)&lt;52,IF('Capacity summary'!AC216&lt;&gt;"",IF(LOWER('Capacity summary'!AC216)="x",$BI97*AC97,VALUE('Capacity summary'!AC216)),0),AC97*$BI97),AC97*$BI97),0)</f>
        <v>0</v>
      </c>
      <c r="CG97" s="314">
        <f>IF($BI97&lt;&gt;"",IF('Capacity summary'!$D$14="Yes",IF(COUNTBLANK('Capacity summary'!$H216:$BG216)&lt;52,IF('Capacity summary'!AD216&lt;&gt;"",IF(LOWER('Capacity summary'!AD216)="x",$BI97*AD97,VALUE('Capacity summary'!AD216)),0),AD97*$BI97),AD97*$BI97),0)</f>
        <v>0</v>
      </c>
      <c r="CH97" s="314">
        <f>IF($BI97&lt;&gt;"",IF('Capacity summary'!$D$14="Yes",IF(COUNTBLANK('Capacity summary'!$H216:$BG216)&lt;52,IF('Capacity summary'!AE216&lt;&gt;"",IF(LOWER('Capacity summary'!AE216)="x",$BI97*AE97,VALUE('Capacity summary'!AE216)),0),AE97*$BI97),AE97*$BI97),0)</f>
        <v>0</v>
      </c>
      <c r="CI97" s="314">
        <f>IF($BI97&lt;&gt;"",IF('Capacity summary'!$D$14="Yes",IF(COUNTBLANK('Capacity summary'!$H216:$BG216)&lt;52,IF('Capacity summary'!AF216&lt;&gt;"",IF(LOWER('Capacity summary'!AF216)="x",$BI97*AF97,VALUE('Capacity summary'!AF216)),0),AF97*$BI97),AF97*$BI97),0)</f>
        <v>0</v>
      </c>
      <c r="CJ97" s="314">
        <f>IF($BI97&lt;&gt;"",IF('Capacity summary'!$D$14="Yes",IF(COUNTBLANK('Capacity summary'!$H216:$BG216)&lt;52,IF('Capacity summary'!AG216&lt;&gt;"",IF(LOWER('Capacity summary'!AG216)="x",$BI97*AG97,VALUE('Capacity summary'!AG216)),0),AG97*$BI97),AG97*$BI97),0)</f>
        <v>0</v>
      </c>
      <c r="CK97" s="314">
        <f>IF($BI97&lt;&gt;"",IF('Capacity summary'!$D$14="Yes",IF(COUNTBLANK('Capacity summary'!$H216:$BG216)&lt;52,IF('Capacity summary'!AH216&lt;&gt;"",IF(LOWER('Capacity summary'!AH216)="x",$BI97*AH97,VALUE('Capacity summary'!AH216)),0),AH97*$BI97),AH97*$BI97),0)</f>
        <v>0</v>
      </c>
      <c r="CL97" s="314">
        <f>IF($BI97&lt;&gt;"",IF('Capacity summary'!$D$14="Yes",IF(COUNTBLANK('Capacity summary'!$H216:$BG216)&lt;52,IF('Capacity summary'!AI216&lt;&gt;"",IF(LOWER('Capacity summary'!AI216)="x",$BI97*AI97,VALUE('Capacity summary'!AI216)),0),AI97*$BI97),AI97*$BI97),0)</f>
        <v>0</v>
      </c>
      <c r="CM97" s="314">
        <f>IF($BI97&lt;&gt;"",IF('Capacity summary'!$D$14="Yes",IF(COUNTBLANK('Capacity summary'!$H216:$BG216)&lt;52,IF('Capacity summary'!AJ216&lt;&gt;"",IF(LOWER('Capacity summary'!AJ216)="x",$BI97*AJ97,VALUE('Capacity summary'!AJ216)),0),AJ97*$BI97),AJ97*$BI97),0)</f>
        <v>0</v>
      </c>
      <c r="CN97" s="314">
        <f>IF($BI97&lt;&gt;"",IF('Capacity summary'!$D$14="Yes",IF(COUNTBLANK('Capacity summary'!$H216:$BG216)&lt;52,IF('Capacity summary'!AK216&lt;&gt;"",IF(LOWER('Capacity summary'!AK216)="x",$BI97*AK97,VALUE('Capacity summary'!AK216)),0),AK97*$BI97),AK97*$BI97),0)</f>
        <v>0</v>
      </c>
      <c r="CO97" s="314">
        <f>IF($BI97&lt;&gt;"",IF('Capacity summary'!$D$14="Yes",IF(COUNTBLANK('Capacity summary'!$H216:$BG216)&lt;52,IF('Capacity summary'!AL216&lt;&gt;"",IF(LOWER('Capacity summary'!AL216)="x",$BI97*AL97,VALUE('Capacity summary'!AL216)),0),AL97*$BI97),AL97*$BI97),0)</f>
        <v>0</v>
      </c>
      <c r="CP97" s="314">
        <f>IF($BI97&lt;&gt;"",IF('Capacity summary'!$D$14="Yes",IF(COUNTBLANK('Capacity summary'!$H216:$BG216)&lt;52,IF('Capacity summary'!AM216&lt;&gt;"",IF(LOWER('Capacity summary'!AM216)="x",$BI97*AM97,VALUE('Capacity summary'!AM216)),0),AM97*$BI97),AM97*$BI97),0)</f>
        <v>0</v>
      </c>
      <c r="CQ97" s="314">
        <f>IF($BI97&lt;&gt;"",IF('Capacity summary'!$D$14="Yes",IF(COUNTBLANK('Capacity summary'!$H216:$BG216)&lt;52,IF('Capacity summary'!AN216&lt;&gt;"",IF(LOWER('Capacity summary'!AN216)="x",$BI97*AN97,VALUE('Capacity summary'!AN216)),0),AN97*$BI97),AN97*$BI97),0)</f>
        <v>0</v>
      </c>
      <c r="CR97" s="314">
        <f>IF($BI97&lt;&gt;"",IF('Capacity summary'!$D$14="Yes",IF(COUNTBLANK('Capacity summary'!$H216:$BG216)&lt;52,IF('Capacity summary'!AO216&lt;&gt;"",IF(LOWER('Capacity summary'!AO216)="x",$BI97*AO97,VALUE('Capacity summary'!AO216)),0),AO97*$BI97),AO97*$BI97),0)</f>
        <v>0</v>
      </c>
      <c r="CS97" s="314">
        <f>IF($BI97&lt;&gt;"",IF('Capacity summary'!$D$14="Yes",IF(COUNTBLANK('Capacity summary'!$H216:$BG216)&lt;52,IF('Capacity summary'!AP216&lt;&gt;"",IF(LOWER('Capacity summary'!AP216)="x",$BI97*AP97,VALUE('Capacity summary'!AP216)),0),AP97*$BI97),AP97*$BI97),0)</f>
        <v>0</v>
      </c>
      <c r="CT97" s="314">
        <f>IF($BI97&lt;&gt;"",IF('Capacity summary'!$D$14="Yes",IF(COUNTBLANK('Capacity summary'!$H216:$BG216)&lt;52,IF('Capacity summary'!AQ216&lt;&gt;"",IF(LOWER('Capacity summary'!AQ216)="x",$BI97*AQ97,VALUE('Capacity summary'!AQ216)),0),AQ97*$BI97),AQ97*$BI97),0)</f>
        <v>0</v>
      </c>
      <c r="CU97" s="314">
        <f>IF($BI97&lt;&gt;"",IF('Capacity summary'!$D$14="Yes",IF(COUNTBLANK('Capacity summary'!$H216:$BG216)&lt;52,IF('Capacity summary'!AR216&lt;&gt;"",IF(LOWER('Capacity summary'!AR216)="x",$BI97*AR97,VALUE('Capacity summary'!AR216)),0),AR97*$BI97),AR97*$BI97),0)</f>
        <v>0</v>
      </c>
      <c r="CV97" s="314">
        <f>IF($BI97&lt;&gt;"",IF('Capacity summary'!$D$14="Yes",IF(COUNTBLANK('Capacity summary'!$H216:$BG216)&lt;52,IF('Capacity summary'!AS216&lt;&gt;"",IF(LOWER('Capacity summary'!AS216)="x",$BI97*AS97,VALUE('Capacity summary'!AS216)),0),AS97*$BI97),AS97*$BI97),0)</f>
        <v>0</v>
      </c>
      <c r="CW97" s="314">
        <f>IF($BI97&lt;&gt;"",IF('Capacity summary'!$D$14="Yes",IF(COUNTBLANK('Capacity summary'!$H216:$BG216)&lt;52,IF('Capacity summary'!AT216&lt;&gt;"",IF(LOWER('Capacity summary'!AT216)="x",$BI97*AT97,VALUE('Capacity summary'!AT216)),0),AT97*$BI97),AT97*$BI97),0)</f>
        <v>0</v>
      </c>
      <c r="CX97" s="314">
        <f>IF($BI97&lt;&gt;"",IF('Capacity summary'!$D$14="Yes",IF(COUNTBLANK('Capacity summary'!$H216:$BG216)&lt;52,IF('Capacity summary'!AU216&lt;&gt;"",IF(LOWER('Capacity summary'!AU216)="x",$BI97*AU97,VALUE('Capacity summary'!AU216)),0),AU97*$BI97),AU97*$BI97),0)</f>
        <v>0</v>
      </c>
      <c r="CY97" s="314">
        <f>IF($BI97&lt;&gt;"",IF('Capacity summary'!$D$14="Yes",IF(COUNTBLANK('Capacity summary'!$H216:$BG216)&lt;52,IF('Capacity summary'!AV216&lt;&gt;"",IF(LOWER('Capacity summary'!AV216)="x",$BI97*AV97,VALUE('Capacity summary'!AV216)),0),AV97*$BI97),AV97*$BI97),0)</f>
        <v>0</v>
      </c>
      <c r="CZ97" s="314">
        <f>IF($BI97&lt;&gt;"",IF('Capacity summary'!$D$14="Yes",IF(COUNTBLANK('Capacity summary'!$H216:$BG216)&lt;52,IF('Capacity summary'!AW216&lt;&gt;"",IF(LOWER('Capacity summary'!AW216)="x",$BI97*AW97,VALUE('Capacity summary'!AW216)),0),AW97*$BI97),AW97*$BI97),0)</f>
        <v>0</v>
      </c>
      <c r="DA97" s="314">
        <f>IF($BI97&lt;&gt;"",IF('Capacity summary'!$D$14="Yes",IF(COUNTBLANK('Capacity summary'!$H216:$BG216)&lt;52,IF('Capacity summary'!AX216&lt;&gt;"",IF(LOWER('Capacity summary'!AX216)="x",$BI97*AX97,VALUE('Capacity summary'!AX216)),0),AX97*$BI97),AX97*$BI97),0)</f>
        <v>0</v>
      </c>
      <c r="DB97" s="314">
        <f>IF($BI97&lt;&gt;"",IF('Capacity summary'!$D$14="Yes",IF(COUNTBLANK('Capacity summary'!$H216:$BG216)&lt;52,IF('Capacity summary'!AY216&lt;&gt;"",IF(LOWER('Capacity summary'!AY216)="x",$BI97*AY97,VALUE('Capacity summary'!AY216)),0),AY97*$BI97),AY97*$BI97),0)</f>
        <v>0</v>
      </c>
      <c r="DC97" s="314">
        <f>IF($BI97&lt;&gt;"",IF('Capacity summary'!$D$14="Yes",IF(COUNTBLANK('Capacity summary'!$H216:$BG216)&lt;52,IF('Capacity summary'!AZ216&lt;&gt;"",IF(LOWER('Capacity summary'!AZ216)="x",$BI97*AZ97,VALUE('Capacity summary'!AZ216)),0),AZ97*$BI97),AZ97*$BI97),0)</f>
        <v>0</v>
      </c>
      <c r="DD97" s="314">
        <f>IF($BI97&lt;&gt;"",IF('Capacity summary'!$D$14="Yes",IF(COUNTBLANK('Capacity summary'!$H216:$BG216)&lt;52,IF('Capacity summary'!BA216&lt;&gt;"",IF(LOWER('Capacity summary'!BA216)="x",$BI97*BA97,VALUE('Capacity summary'!BA216)),0),BA97*$BI97),BA97*$BI97),0)</f>
        <v>0</v>
      </c>
      <c r="DE97" s="314">
        <f>IF($BI97&lt;&gt;"",IF('Capacity summary'!$D$14="Yes",IF(COUNTBLANK('Capacity summary'!$H216:$BG216)&lt;52,IF('Capacity summary'!BB216&lt;&gt;"",IF(LOWER('Capacity summary'!BB216)="x",$BI97*BB97,VALUE('Capacity summary'!BB216)),0),BB97*$BI97),BB97*$BI97),0)</f>
        <v>0</v>
      </c>
      <c r="DF97" s="314">
        <f>IF($BI97&lt;&gt;"",IF('Capacity summary'!$D$14="Yes",IF(COUNTBLANK('Capacity summary'!$H216:$BG216)&lt;52,IF('Capacity summary'!BC216&lt;&gt;"",IF(LOWER('Capacity summary'!BC216)="x",$BI97*BC97,VALUE('Capacity summary'!BC216)),0),BC97*$BI97),BC97*$BI97),0)</f>
        <v>0</v>
      </c>
      <c r="DG97" s="314">
        <f>IF($BI97&lt;&gt;"",IF('Capacity summary'!$D$14="Yes",IF(COUNTBLANK('Capacity summary'!$H216:$BG216)&lt;52,IF('Capacity summary'!BD216&lt;&gt;"",IF(LOWER('Capacity summary'!BD216)="x",$BI97*BD97,VALUE('Capacity summary'!BD216)),0),BD97*$BI97),BD97*$BI97),0)</f>
        <v>0</v>
      </c>
      <c r="DH97" s="314">
        <f>IF($BI97&lt;&gt;"",IF('Capacity summary'!$D$14="Yes",IF(COUNTBLANK('Capacity summary'!$H216:$BG216)&lt;52,IF('Capacity summary'!BE216&lt;&gt;"",IF(LOWER('Capacity summary'!BE216)="x",$BI97*BE97,VALUE('Capacity summary'!BE216)),0),BE97*$BI97),BE97*$BI97),0)</f>
        <v>0</v>
      </c>
      <c r="DI97" s="314">
        <f>IF($BI97&lt;&gt;"",IF('Capacity summary'!$D$14="Yes",IF(COUNTBLANK('Capacity summary'!$H216:$BG216)&lt;52,IF('Capacity summary'!BF216&lt;&gt;"",IF(LOWER('Capacity summary'!BF216)="x",$BI97*BF97,VALUE('Capacity summary'!BF216)),0),BF97*$BI97),BF97*$BI97),0)</f>
        <v>0</v>
      </c>
      <c r="DJ97" s="314">
        <f>IF($BI97&lt;&gt;"",IF('Capacity summary'!$D$14="Yes",IF(COUNTBLANK('Capacity summary'!$H216:$BG216)&lt;52,IF('Capacity summary'!BG216&lt;&gt;"",IF(LOWER('Capacity summary'!BG216)="x",$BI97*BG97,VALUE('Capacity summary'!BG216)),0),BG97*$BI97),BG97*$BI97),0)</f>
        <v>0</v>
      </c>
      <c r="DK97" s="137">
        <f t="shared" si="3"/>
        <v>0</v>
      </c>
      <c r="DL97" s="314"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4">
        <f>IF($BI98&lt;&gt;"",IF('Capacity summary'!$D$14="Yes",IF(COUNTBLANK('Capacity summary'!$H217:$BG217)&lt;52,IF('Capacity summary'!H217&lt;&gt;"",IF(LOWER('Capacity summary'!H217)="x",$BI98*H98,VALUE('Capacity summary'!H217)),0),H98*$BI98),H98*$BI98),0)</f>
        <v>0</v>
      </c>
      <c r="BL98" s="314">
        <f>IF($BI98&lt;&gt;"",IF('Capacity summary'!$D$14="Yes",IF(COUNTBLANK('Capacity summary'!$H217:$BG217)&lt;52,IF('Capacity summary'!I217&lt;&gt;"",IF(LOWER('Capacity summary'!I217)="x",$BI98*I98,VALUE('Capacity summary'!I217)),0),I98*$BI98),I98*$BI98),0)</f>
        <v>0</v>
      </c>
      <c r="BM98" s="314">
        <f>IF($BI98&lt;&gt;"",IF('Capacity summary'!$D$14="Yes",IF(COUNTBLANK('Capacity summary'!$H217:$BG217)&lt;52,IF('Capacity summary'!J217&lt;&gt;"",IF(LOWER('Capacity summary'!J217)="x",$BI98*J98,VALUE('Capacity summary'!J217)),0),J98*$BI98),J98*$BI98),0)</f>
        <v>0</v>
      </c>
      <c r="BN98" s="314">
        <f>IF($BI98&lt;&gt;"",IF('Capacity summary'!$D$14="Yes",IF(COUNTBLANK('Capacity summary'!$H217:$BG217)&lt;52,IF('Capacity summary'!K217&lt;&gt;"",IF(LOWER('Capacity summary'!K217)="x",$BI98*K98,VALUE('Capacity summary'!K217)),0),K98*$BI98),K98*$BI98),0)</f>
        <v>0</v>
      </c>
      <c r="BO98" s="314">
        <f>IF($BI98&lt;&gt;"",IF('Capacity summary'!$D$14="Yes",IF(COUNTBLANK('Capacity summary'!$H217:$BG217)&lt;52,IF('Capacity summary'!L217&lt;&gt;"",IF(LOWER('Capacity summary'!L217)="x",$BI98*L98,VALUE('Capacity summary'!L217)),0),L98*$BI98),L98*$BI98),0)</f>
        <v>0</v>
      </c>
      <c r="BP98" s="314">
        <f>IF($BI98&lt;&gt;"",IF('Capacity summary'!$D$14="Yes",IF(COUNTBLANK('Capacity summary'!$H217:$BG217)&lt;52,IF('Capacity summary'!M217&lt;&gt;"",IF(LOWER('Capacity summary'!M217)="x",$BI98*M98,VALUE('Capacity summary'!M217)),0),M98*$BI98),M98*$BI98),0)</f>
        <v>0</v>
      </c>
      <c r="BQ98" s="314">
        <f>IF($BI98&lt;&gt;"",IF('Capacity summary'!$D$14="Yes",IF(COUNTBLANK('Capacity summary'!$H217:$BG217)&lt;52,IF('Capacity summary'!N217&lt;&gt;"",IF(LOWER('Capacity summary'!N217)="x",$BI98*N98,VALUE('Capacity summary'!N217)),0),N98*$BI98),N98*$BI98),0)</f>
        <v>0</v>
      </c>
      <c r="BR98" s="314">
        <f>IF($BI98&lt;&gt;"",IF('Capacity summary'!$D$14="Yes",IF(COUNTBLANK('Capacity summary'!$H217:$BG217)&lt;52,IF('Capacity summary'!O217&lt;&gt;"",IF(LOWER('Capacity summary'!O217)="x",$BI98*O98,VALUE('Capacity summary'!O217)),0),O98*$BI98),O98*$BI98),0)</f>
        <v>0</v>
      </c>
      <c r="BS98" s="314">
        <f>IF($BI98&lt;&gt;"",IF('Capacity summary'!$D$14="Yes",IF(COUNTBLANK('Capacity summary'!$H217:$BG217)&lt;52,IF('Capacity summary'!P217&lt;&gt;"",IF(LOWER('Capacity summary'!P217)="x",$BI98*P98,VALUE('Capacity summary'!P217)),0),P98*$BI98),P98*$BI98),0)</f>
        <v>0</v>
      </c>
      <c r="BT98" s="314">
        <f>IF($BI98&lt;&gt;"",IF('Capacity summary'!$D$14="Yes",IF(COUNTBLANK('Capacity summary'!$H217:$BG217)&lt;52,IF('Capacity summary'!Q217&lt;&gt;"",IF(LOWER('Capacity summary'!Q217)="x",$BI98*Q98,VALUE('Capacity summary'!Q217)),0),Q98*$BI98),Q98*$BI98),0)</f>
        <v>0</v>
      </c>
      <c r="BU98" s="314">
        <f>IF($BI98&lt;&gt;"",IF('Capacity summary'!$D$14="Yes",IF(COUNTBLANK('Capacity summary'!$H217:$BG217)&lt;52,IF('Capacity summary'!R217&lt;&gt;"",IF(LOWER('Capacity summary'!R217)="x",$BI98*R98,VALUE('Capacity summary'!R217)),0),R98*$BI98),R98*$BI98),0)</f>
        <v>0</v>
      </c>
      <c r="BV98" s="314">
        <f>IF($BI98&lt;&gt;"",IF('Capacity summary'!$D$14="Yes",IF(COUNTBLANK('Capacity summary'!$H217:$BG217)&lt;52,IF('Capacity summary'!S217&lt;&gt;"",IF(LOWER('Capacity summary'!S217)="x",$BI98*S98,VALUE('Capacity summary'!S217)),0),S98*$BI98),S98*$BI98),0)</f>
        <v>0</v>
      </c>
      <c r="BW98" s="314">
        <f>IF($BI98&lt;&gt;"",IF('Capacity summary'!$D$14="Yes",IF(COUNTBLANK('Capacity summary'!$H217:$BG217)&lt;52,IF('Capacity summary'!T217&lt;&gt;"",IF(LOWER('Capacity summary'!T217)="x",$BI98*T98,VALUE('Capacity summary'!T217)),0),T98*$BI98),T98*$BI98),0)</f>
        <v>0</v>
      </c>
      <c r="BX98" s="314">
        <f>IF($BI98&lt;&gt;"",IF('Capacity summary'!$D$14="Yes",IF(COUNTBLANK('Capacity summary'!$H217:$BG217)&lt;52,IF('Capacity summary'!U217&lt;&gt;"",IF(LOWER('Capacity summary'!U217)="x",$BI98*U98,VALUE('Capacity summary'!U217)),0),U98*$BI98),U98*$BI98),0)</f>
        <v>0</v>
      </c>
      <c r="BY98" s="314">
        <f>IF($BI98&lt;&gt;"",IF('Capacity summary'!$D$14="Yes",IF(COUNTBLANK('Capacity summary'!$H217:$BG217)&lt;52,IF('Capacity summary'!V217&lt;&gt;"",IF(LOWER('Capacity summary'!V217)="x",$BI98*V98,VALUE('Capacity summary'!V217)),0),V98*$BI98),V98*$BI98),0)</f>
        <v>0</v>
      </c>
      <c r="BZ98" s="314">
        <f>IF($BI98&lt;&gt;"",IF('Capacity summary'!$D$14="Yes",IF(COUNTBLANK('Capacity summary'!$H217:$BG217)&lt;52,IF('Capacity summary'!W217&lt;&gt;"",IF(LOWER('Capacity summary'!W217)="x",$BI98*W98,VALUE('Capacity summary'!W217)),0),W98*$BI98),W98*$BI98),0)</f>
        <v>0</v>
      </c>
      <c r="CA98" s="314">
        <f>IF($BI98&lt;&gt;"",IF('Capacity summary'!$D$14="Yes",IF(COUNTBLANK('Capacity summary'!$H217:$BG217)&lt;52,IF('Capacity summary'!X217&lt;&gt;"",IF(LOWER('Capacity summary'!X217)="x",$BI98*X98,VALUE('Capacity summary'!X217)),0),X98*$BI98),X98*$BI98),0)</f>
        <v>0</v>
      </c>
      <c r="CB98" s="314">
        <f>IF($BI98&lt;&gt;"",IF('Capacity summary'!$D$14="Yes",IF(COUNTBLANK('Capacity summary'!$H217:$BG217)&lt;52,IF('Capacity summary'!Y217&lt;&gt;"",IF(LOWER('Capacity summary'!Y217)="x",$BI98*Y98,VALUE('Capacity summary'!Y217)),0),Y98*$BI98),Y98*$BI98),0)</f>
        <v>0</v>
      </c>
      <c r="CC98" s="314">
        <f>IF($BI98&lt;&gt;"",IF('Capacity summary'!$D$14="Yes",IF(COUNTBLANK('Capacity summary'!$H217:$BG217)&lt;52,IF('Capacity summary'!Z217&lt;&gt;"",IF(LOWER('Capacity summary'!Z217)="x",$BI98*Z98,VALUE('Capacity summary'!Z217)),0),Z98*$BI98),Z98*$BI98),0)</f>
        <v>0</v>
      </c>
      <c r="CD98" s="314">
        <f>IF($BI98&lt;&gt;"",IF('Capacity summary'!$D$14="Yes",IF(COUNTBLANK('Capacity summary'!$H217:$BG217)&lt;52,IF('Capacity summary'!AA217&lt;&gt;"",IF(LOWER('Capacity summary'!AA217)="x",$BI98*AA98,VALUE('Capacity summary'!AA217)),0),AA98*$BI98),AA98*$BI98),0)</f>
        <v>0</v>
      </c>
      <c r="CE98" s="314">
        <f>IF($BI98&lt;&gt;"",IF('Capacity summary'!$D$14="Yes",IF(COUNTBLANK('Capacity summary'!$H217:$BG217)&lt;52,IF('Capacity summary'!AB217&lt;&gt;"",IF(LOWER('Capacity summary'!AB217)="x",$BI98*AB98,VALUE('Capacity summary'!AB217)),0),AB98*$BI98),AB98*$BI98),0)</f>
        <v>0</v>
      </c>
      <c r="CF98" s="314">
        <f>IF($BI98&lt;&gt;"",IF('Capacity summary'!$D$14="Yes",IF(COUNTBLANK('Capacity summary'!$H217:$BG217)&lt;52,IF('Capacity summary'!AC217&lt;&gt;"",IF(LOWER('Capacity summary'!AC217)="x",$BI98*AC98,VALUE('Capacity summary'!AC217)),0),AC98*$BI98),AC98*$BI98),0)</f>
        <v>0</v>
      </c>
      <c r="CG98" s="314">
        <f>IF($BI98&lt;&gt;"",IF('Capacity summary'!$D$14="Yes",IF(COUNTBLANK('Capacity summary'!$H217:$BG217)&lt;52,IF('Capacity summary'!AD217&lt;&gt;"",IF(LOWER('Capacity summary'!AD217)="x",$BI98*AD98,VALUE('Capacity summary'!AD217)),0),AD98*$BI98),AD98*$BI98),0)</f>
        <v>0</v>
      </c>
      <c r="CH98" s="314">
        <f>IF($BI98&lt;&gt;"",IF('Capacity summary'!$D$14="Yes",IF(COUNTBLANK('Capacity summary'!$H217:$BG217)&lt;52,IF('Capacity summary'!AE217&lt;&gt;"",IF(LOWER('Capacity summary'!AE217)="x",$BI98*AE98,VALUE('Capacity summary'!AE217)),0),AE98*$BI98),AE98*$BI98),0)</f>
        <v>0</v>
      </c>
      <c r="CI98" s="314">
        <f>IF($BI98&lt;&gt;"",IF('Capacity summary'!$D$14="Yes",IF(COUNTBLANK('Capacity summary'!$H217:$BG217)&lt;52,IF('Capacity summary'!AF217&lt;&gt;"",IF(LOWER('Capacity summary'!AF217)="x",$BI98*AF98,VALUE('Capacity summary'!AF217)),0),AF98*$BI98),AF98*$BI98),0)</f>
        <v>0</v>
      </c>
      <c r="CJ98" s="314">
        <f>IF($BI98&lt;&gt;"",IF('Capacity summary'!$D$14="Yes",IF(COUNTBLANK('Capacity summary'!$H217:$BG217)&lt;52,IF('Capacity summary'!AG217&lt;&gt;"",IF(LOWER('Capacity summary'!AG217)="x",$BI98*AG98,VALUE('Capacity summary'!AG217)),0),AG98*$BI98),AG98*$BI98),0)</f>
        <v>0</v>
      </c>
      <c r="CK98" s="314">
        <f>IF($BI98&lt;&gt;"",IF('Capacity summary'!$D$14="Yes",IF(COUNTBLANK('Capacity summary'!$H217:$BG217)&lt;52,IF('Capacity summary'!AH217&lt;&gt;"",IF(LOWER('Capacity summary'!AH217)="x",$BI98*AH98,VALUE('Capacity summary'!AH217)),0),AH98*$BI98),AH98*$BI98),0)</f>
        <v>0</v>
      </c>
      <c r="CL98" s="314">
        <f>IF($BI98&lt;&gt;"",IF('Capacity summary'!$D$14="Yes",IF(COUNTBLANK('Capacity summary'!$H217:$BG217)&lt;52,IF('Capacity summary'!AI217&lt;&gt;"",IF(LOWER('Capacity summary'!AI217)="x",$BI98*AI98,VALUE('Capacity summary'!AI217)),0),AI98*$BI98),AI98*$BI98),0)</f>
        <v>0</v>
      </c>
      <c r="CM98" s="314">
        <f>IF($BI98&lt;&gt;"",IF('Capacity summary'!$D$14="Yes",IF(COUNTBLANK('Capacity summary'!$H217:$BG217)&lt;52,IF('Capacity summary'!AJ217&lt;&gt;"",IF(LOWER('Capacity summary'!AJ217)="x",$BI98*AJ98,VALUE('Capacity summary'!AJ217)),0),AJ98*$BI98),AJ98*$BI98),0)</f>
        <v>0</v>
      </c>
      <c r="CN98" s="314">
        <f>IF($BI98&lt;&gt;"",IF('Capacity summary'!$D$14="Yes",IF(COUNTBLANK('Capacity summary'!$H217:$BG217)&lt;52,IF('Capacity summary'!AK217&lt;&gt;"",IF(LOWER('Capacity summary'!AK217)="x",$BI98*AK98,VALUE('Capacity summary'!AK217)),0),AK98*$BI98),AK98*$BI98),0)</f>
        <v>0</v>
      </c>
      <c r="CO98" s="314">
        <f>IF($BI98&lt;&gt;"",IF('Capacity summary'!$D$14="Yes",IF(COUNTBLANK('Capacity summary'!$H217:$BG217)&lt;52,IF('Capacity summary'!AL217&lt;&gt;"",IF(LOWER('Capacity summary'!AL217)="x",$BI98*AL98,VALUE('Capacity summary'!AL217)),0),AL98*$BI98),AL98*$BI98),0)</f>
        <v>0</v>
      </c>
      <c r="CP98" s="314">
        <f>IF($BI98&lt;&gt;"",IF('Capacity summary'!$D$14="Yes",IF(COUNTBLANK('Capacity summary'!$H217:$BG217)&lt;52,IF('Capacity summary'!AM217&lt;&gt;"",IF(LOWER('Capacity summary'!AM217)="x",$BI98*AM98,VALUE('Capacity summary'!AM217)),0),AM98*$BI98),AM98*$BI98),0)</f>
        <v>0</v>
      </c>
      <c r="CQ98" s="314">
        <f>IF($BI98&lt;&gt;"",IF('Capacity summary'!$D$14="Yes",IF(COUNTBLANK('Capacity summary'!$H217:$BG217)&lt;52,IF('Capacity summary'!AN217&lt;&gt;"",IF(LOWER('Capacity summary'!AN217)="x",$BI98*AN98,VALUE('Capacity summary'!AN217)),0),AN98*$BI98),AN98*$BI98),0)</f>
        <v>0</v>
      </c>
      <c r="CR98" s="314">
        <f>IF($BI98&lt;&gt;"",IF('Capacity summary'!$D$14="Yes",IF(COUNTBLANK('Capacity summary'!$H217:$BG217)&lt;52,IF('Capacity summary'!AO217&lt;&gt;"",IF(LOWER('Capacity summary'!AO217)="x",$BI98*AO98,VALUE('Capacity summary'!AO217)),0),AO98*$BI98),AO98*$BI98),0)</f>
        <v>0</v>
      </c>
      <c r="CS98" s="314">
        <f>IF($BI98&lt;&gt;"",IF('Capacity summary'!$D$14="Yes",IF(COUNTBLANK('Capacity summary'!$H217:$BG217)&lt;52,IF('Capacity summary'!AP217&lt;&gt;"",IF(LOWER('Capacity summary'!AP217)="x",$BI98*AP98,VALUE('Capacity summary'!AP217)),0),AP98*$BI98),AP98*$BI98),0)</f>
        <v>0</v>
      </c>
      <c r="CT98" s="314">
        <f>IF($BI98&lt;&gt;"",IF('Capacity summary'!$D$14="Yes",IF(COUNTBLANK('Capacity summary'!$H217:$BG217)&lt;52,IF('Capacity summary'!AQ217&lt;&gt;"",IF(LOWER('Capacity summary'!AQ217)="x",$BI98*AQ98,VALUE('Capacity summary'!AQ217)),0),AQ98*$BI98),AQ98*$BI98),0)</f>
        <v>0</v>
      </c>
      <c r="CU98" s="314">
        <f>IF($BI98&lt;&gt;"",IF('Capacity summary'!$D$14="Yes",IF(COUNTBLANK('Capacity summary'!$H217:$BG217)&lt;52,IF('Capacity summary'!AR217&lt;&gt;"",IF(LOWER('Capacity summary'!AR217)="x",$BI98*AR98,VALUE('Capacity summary'!AR217)),0),AR98*$BI98),AR98*$BI98),0)</f>
        <v>0</v>
      </c>
      <c r="CV98" s="314">
        <f>IF($BI98&lt;&gt;"",IF('Capacity summary'!$D$14="Yes",IF(COUNTBLANK('Capacity summary'!$H217:$BG217)&lt;52,IF('Capacity summary'!AS217&lt;&gt;"",IF(LOWER('Capacity summary'!AS217)="x",$BI98*AS98,VALUE('Capacity summary'!AS217)),0),AS98*$BI98),AS98*$BI98),0)</f>
        <v>0</v>
      </c>
      <c r="CW98" s="314">
        <f>IF($BI98&lt;&gt;"",IF('Capacity summary'!$D$14="Yes",IF(COUNTBLANK('Capacity summary'!$H217:$BG217)&lt;52,IF('Capacity summary'!AT217&lt;&gt;"",IF(LOWER('Capacity summary'!AT217)="x",$BI98*AT98,VALUE('Capacity summary'!AT217)),0),AT98*$BI98),AT98*$BI98),0)</f>
        <v>0</v>
      </c>
      <c r="CX98" s="314">
        <f>IF($BI98&lt;&gt;"",IF('Capacity summary'!$D$14="Yes",IF(COUNTBLANK('Capacity summary'!$H217:$BG217)&lt;52,IF('Capacity summary'!AU217&lt;&gt;"",IF(LOWER('Capacity summary'!AU217)="x",$BI98*AU98,VALUE('Capacity summary'!AU217)),0),AU98*$BI98),AU98*$BI98),0)</f>
        <v>0</v>
      </c>
      <c r="CY98" s="314">
        <f>IF($BI98&lt;&gt;"",IF('Capacity summary'!$D$14="Yes",IF(COUNTBLANK('Capacity summary'!$H217:$BG217)&lt;52,IF('Capacity summary'!AV217&lt;&gt;"",IF(LOWER('Capacity summary'!AV217)="x",$BI98*AV98,VALUE('Capacity summary'!AV217)),0),AV98*$BI98),AV98*$BI98),0)</f>
        <v>0</v>
      </c>
      <c r="CZ98" s="314">
        <f>IF($BI98&lt;&gt;"",IF('Capacity summary'!$D$14="Yes",IF(COUNTBLANK('Capacity summary'!$H217:$BG217)&lt;52,IF('Capacity summary'!AW217&lt;&gt;"",IF(LOWER('Capacity summary'!AW217)="x",$BI98*AW98,VALUE('Capacity summary'!AW217)),0),AW98*$BI98),AW98*$BI98),0)</f>
        <v>0</v>
      </c>
      <c r="DA98" s="314">
        <f>IF($BI98&lt;&gt;"",IF('Capacity summary'!$D$14="Yes",IF(COUNTBLANK('Capacity summary'!$H217:$BG217)&lt;52,IF('Capacity summary'!AX217&lt;&gt;"",IF(LOWER('Capacity summary'!AX217)="x",$BI98*AX98,VALUE('Capacity summary'!AX217)),0),AX98*$BI98),AX98*$BI98),0)</f>
        <v>0</v>
      </c>
      <c r="DB98" s="314">
        <f>IF($BI98&lt;&gt;"",IF('Capacity summary'!$D$14="Yes",IF(COUNTBLANK('Capacity summary'!$H217:$BG217)&lt;52,IF('Capacity summary'!AY217&lt;&gt;"",IF(LOWER('Capacity summary'!AY217)="x",$BI98*AY98,VALUE('Capacity summary'!AY217)),0),AY98*$BI98),AY98*$BI98),0)</f>
        <v>0</v>
      </c>
      <c r="DC98" s="314">
        <f>IF($BI98&lt;&gt;"",IF('Capacity summary'!$D$14="Yes",IF(COUNTBLANK('Capacity summary'!$H217:$BG217)&lt;52,IF('Capacity summary'!AZ217&lt;&gt;"",IF(LOWER('Capacity summary'!AZ217)="x",$BI98*AZ98,VALUE('Capacity summary'!AZ217)),0),AZ98*$BI98),AZ98*$BI98),0)</f>
        <v>0</v>
      </c>
      <c r="DD98" s="314">
        <f>IF($BI98&lt;&gt;"",IF('Capacity summary'!$D$14="Yes",IF(COUNTBLANK('Capacity summary'!$H217:$BG217)&lt;52,IF('Capacity summary'!BA217&lt;&gt;"",IF(LOWER('Capacity summary'!BA217)="x",$BI98*BA98,VALUE('Capacity summary'!BA217)),0),BA98*$BI98),BA98*$BI98),0)</f>
        <v>0</v>
      </c>
      <c r="DE98" s="314">
        <f>IF($BI98&lt;&gt;"",IF('Capacity summary'!$D$14="Yes",IF(COUNTBLANK('Capacity summary'!$H217:$BG217)&lt;52,IF('Capacity summary'!BB217&lt;&gt;"",IF(LOWER('Capacity summary'!BB217)="x",$BI98*BB98,VALUE('Capacity summary'!BB217)),0),BB98*$BI98),BB98*$BI98),0)</f>
        <v>0</v>
      </c>
      <c r="DF98" s="314">
        <f>IF($BI98&lt;&gt;"",IF('Capacity summary'!$D$14="Yes",IF(COUNTBLANK('Capacity summary'!$H217:$BG217)&lt;52,IF('Capacity summary'!BC217&lt;&gt;"",IF(LOWER('Capacity summary'!BC217)="x",$BI98*BC98,VALUE('Capacity summary'!BC217)),0),BC98*$BI98),BC98*$BI98),0)</f>
        <v>0</v>
      </c>
      <c r="DG98" s="314">
        <f>IF($BI98&lt;&gt;"",IF('Capacity summary'!$D$14="Yes",IF(COUNTBLANK('Capacity summary'!$H217:$BG217)&lt;52,IF('Capacity summary'!BD217&lt;&gt;"",IF(LOWER('Capacity summary'!BD217)="x",$BI98*BD98,VALUE('Capacity summary'!BD217)),0),BD98*$BI98),BD98*$BI98),0)</f>
        <v>0</v>
      </c>
      <c r="DH98" s="314">
        <f>IF($BI98&lt;&gt;"",IF('Capacity summary'!$D$14="Yes",IF(COUNTBLANK('Capacity summary'!$H217:$BG217)&lt;52,IF('Capacity summary'!BE217&lt;&gt;"",IF(LOWER('Capacity summary'!BE217)="x",$BI98*BE98,VALUE('Capacity summary'!BE217)),0),BE98*$BI98),BE98*$BI98),0)</f>
        <v>0</v>
      </c>
      <c r="DI98" s="314">
        <f>IF($BI98&lt;&gt;"",IF('Capacity summary'!$D$14="Yes",IF(COUNTBLANK('Capacity summary'!$H217:$BG217)&lt;52,IF('Capacity summary'!BF217&lt;&gt;"",IF(LOWER('Capacity summary'!BF217)="x",$BI98*BF98,VALUE('Capacity summary'!BF217)),0),BF98*$BI98),BF98*$BI98),0)</f>
        <v>0</v>
      </c>
      <c r="DJ98" s="314">
        <f>IF($BI98&lt;&gt;"",IF('Capacity summary'!$D$14="Yes",IF(COUNTBLANK('Capacity summary'!$H217:$BG217)&lt;52,IF('Capacity summary'!BG217&lt;&gt;"",IF(LOWER('Capacity summary'!BG217)="x",$BI98*BG98,VALUE('Capacity summary'!BG217)),0),BG98*$BI98),BG98*$BI98),0)</f>
        <v>0</v>
      </c>
      <c r="DK98" s="137">
        <f t="shared" si="3"/>
        <v>0</v>
      </c>
      <c r="DL98" s="314"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4">
        <f>IF($BI99&lt;&gt;"",IF('Capacity summary'!$D$14="Yes",IF(COUNTBLANK('Capacity summary'!$H218:$BG218)&lt;52,IF('Capacity summary'!H218&lt;&gt;"",IF(LOWER('Capacity summary'!H218)="x",$BI99*H99,VALUE('Capacity summary'!H218)),0),H99*$BI99),H99*$BI99),0)</f>
        <v>0</v>
      </c>
      <c r="BL99" s="314">
        <f>IF($BI99&lt;&gt;"",IF('Capacity summary'!$D$14="Yes",IF(COUNTBLANK('Capacity summary'!$H218:$BG218)&lt;52,IF('Capacity summary'!I218&lt;&gt;"",IF(LOWER('Capacity summary'!I218)="x",$BI99*I99,VALUE('Capacity summary'!I218)),0),I99*$BI99),I99*$BI99),0)</f>
        <v>0</v>
      </c>
      <c r="BM99" s="314">
        <f>IF($BI99&lt;&gt;"",IF('Capacity summary'!$D$14="Yes",IF(COUNTBLANK('Capacity summary'!$H218:$BG218)&lt;52,IF('Capacity summary'!J218&lt;&gt;"",IF(LOWER('Capacity summary'!J218)="x",$BI99*J99,VALUE('Capacity summary'!J218)),0),J99*$BI99),J99*$BI99),0)</f>
        <v>0</v>
      </c>
      <c r="BN99" s="314">
        <f>IF($BI99&lt;&gt;"",IF('Capacity summary'!$D$14="Yes",IF(COUNTBLANK('Capacity summary'!$H218:$BG218)&lt;52,IF('Capacity summary'!K218&lt;&gt;"",IF(LOWER('Capacity summary'!K218)="x",$BI99*K99,VALUE('Capacity summary'!K218)),0),K99*$BI99),K99*$BI99),0)</f>
        <v>0</v>
      </c>
      <c r="BO99" s="314">
        <f>IF($BI99&lt;&gt;"",IF('Capacity summary'!$D$14="Yes",IF(COUNTBLANK('Capacity summary'!$H218:$BG218)&lt;52,IF('Capacity summary'!L218&lt;&gt;"",IF(LOWER('Capacity summary'!L218)="x",$BI99*L99,VALUE('Capacity summary'!L218)),0),L99*$BI99),L99*$BI99),0)</f>
        <v>0</v>
      </c>
      <c r="BP99" s="314">
        <f>IF($BI99&lt;&gt;"",IF('Capacity summary'!$D$14="Yes",IF(COUNTBLANK('Capacity summary'!$H218:$BG218)&lt;52,IF('Capacity summary'!M218&lt;&gt;"",IF(LOWER('Capacity summary'!M218)="x",$BI99*M99,VALUE('Capacity summary'!M218)),0),M99*$BI99),M99*$BI99),0)</f>
        <v>0</v>
      </c>
      <c r="BQ99" s="314">
        <f>IF($BI99&lt;&gt;"",IF('Capacity summary'!$D$14="Yes",IF(COUNTBLANK('Capacity summary'!$H218:$BG218)&lt;52,IF('Capacity summary'!N218&lt;&gt;"",IF(LOWER('Capacity summary'!N218)="x",$BI99*N99,VALUE('Capacity summary'!N218)),0),N99*$BI99),N99*$BI99),0)</f>
        <v>0</v>
      </c>
      <c r="BR99" s="314">
        <f>IF($BI99&lt;&gt;"",IF('Capacity summary'!$D$14="Yes",IF(COUNTBLANK('Capacity summary'!$H218:$BG218)&lt;52,IF('Capacity summary'!O218&lt;&gt;"",IF(LOWER('Capacity summary'!O218)="x",$BI99*O99,VALUE('Capacity summary'!O218)),0),O99*$BI99),O99*$BI99),0)</f>
        <v>0</v>
      </c>
      <c r="BS99" s="314">
        <f>IF($BI99&lt;&gt;"",IF('Capacity summary'!$D$14="Yes",IF(COUNTBLANK('Capacity summary'!$H218:$BG218)&lt;52,IF('Capacity summary'!P218&lt;&gt;"",IF(LOWER('Capacity summary'!P218)="x",$BI99*P99,VALUE('Capacity summary'!P218)),0),P99*$BI99),P99*$BI99),0)</f>
        <v>0</v>
      </c>
      <c r="BT99" s="314">
        <f>IF($BI99&lt;&gt;"",IF('Capacity summary'!$D$14="Yes",IF(COUNTBLANK('Capacity summary'!$H218:$BG218)&lt;52,IF('Capacity summary'!Q218&lt;&gt;"",IF(LOWER('Capacity summary'!Q218)="x",$BI99*Q99,VALUE('Capacity summary'!Q218)),0),Q99*$BI99),Q99*$BI99),0)</f>
        <v>0</v>
      </c>
      <c r="BU99" s="314">
        <f>IF($BI99&lt;&gt;"",IF('Capacity summary'!$D$14="Yes",IF(COUNTBLANK('Capacity summary'!$H218:$BG218)&lt;52,IF('Capacity summary'!R218&lt;&gt;"",IF(LOWER('Capacity summary'!R218)="x",$BI99*R99,VALUE('Capacity summary'!R218)),0),R99*$BI99),R99*$BI99),0)</f>
        <v>0</v>
      </c>
      <c r="BV99" s="314">
        <f>IF($BI99&lt;&gt;"",IF('Capacity summary'!$D$14="Yes",IF(COUNTBLANK('Capacity summary'!$H218:$BG218)&lt;52,IF('Capacity summary'!S218&lt;&gt;"",IF(LOWER('Capacity summary'!S218)="x",$BI99*S99,VALUE('Capacity summary'!S218)),0),S99*$BI99),S99*$BI99),0)</f>
        <v>0</v>
      </c>
      <c r="BW99" s="314">
        <f>IF($BI99&lt;&gt;"",IF('Capacity summary'!$D$14="Yes",IF(COUNTBLANK('Capacity summary'!$H218:$BG218)&lt;52,IF('Capacity summary'!T218&lt;&gt;"",IF(LOWER('Capacity summary'!T218)="x",$BI99*T99,VALUE('Capacity summary'!T218)),0),T99*$BI99),T99*$BI99),0)</f>
        <v>0</v>
      </c>
      <c r="BX99" s="314">
        <f>IF($BI99&lt;&gt;"",IF('Capacity summary'!$D$14="Yes",IF(COUNTBLANK('Capacity summary'!$H218:$BG218)&lt;52,IF('Capacity summary'!U218&lt;&gt;"",IF(LOWER('Capacity summary'!U218)="x",$BI99*U99,VALUE('Capacity summary'!U218)),0),U99*$BI99),U99*$BI99),0)</f>
        <v>0</v>
      </c>
      <c r="BY99" s="314">
        <f>IF($BI99&lt;&gt;"",IF('Capacity summary'!$D$14="Yes",IF(COUNTBLANK('Capacity summary'!$H218:$BG218)&lt;52,IF('Capacity summary'!V218&lt;&gt;"",IF(LOWER('Capacity summary'!V218)="x",$BI99*V99,VALUE('Capacity summary'!V218)),0),V99*$BI99),V99*$BI99),0)</f>
        <v>0</v>
      </c>
      <c r="BZ99" s="314">
        <f>IF($BI99&lt;&gt;"",IF('Capacity summary'!$D$14="Yes",IF(COUNTBLANK('Capacity summary'!$H218:$BG218)&lt;52,IF('Capacity summary'!W218&lt;&gt;"",IF(LOWER('Capacity summary'!W218)="x",$BI99*W99,VALUE('Capacity summary'!W218)),0),W99*$BI99),W99*$BI99),0)</f>
        <v>0</v>
      </c>
      <c r="CA99" s="314">
        <f>IF($BI99&lt;&gt;"",IF('Capacity summary'!$D$14="Yes",IF(COUNTBLANK('Capacity summary'!$H218:$BG218)&lt;52,IF('Capacity summary'!X218&lt;&gt;"",IF(LOWER('Capacity summary'!X218)="x",$BI99*X99,VALUE('Capacity summary'!X218)),0),X99*$BI99),X99*$BI99),0)</f>
        <v>0</v>
      </c>
      <c r="CB99" s="314">
        <f>IF($BI99&lt;&gt;"",IF('Capacity summary'!$D$14="Yes",IF(COUNTBLANK('Capacity summary'!$H218:$BG218)&lt;52,IF('Capacity summary'!Y218&lt;&gt;"",IF(LOWER('Capacity summary'!Y218)="x",$BI99*Y99,VALUE('Capacity summary'!Y218)),0),Y99*$BI99),Y99*$BI99),0)</f>
        <v>0</v>
      </c>
      <c r="CC99" s="314">
        <f>IF($BI99&lt;&gt;"",IF('Capacity summary'!$D$14="Yes",IF(COUNTBLANK('Capacity summary'!$H218:$BG218)&lt;52,IF('Capacity summary'!Z218&lt;&gt;"",IF(LOWER('Capacity summary'!Z218)="x",$BI99*Z99,VALUE('Capacity summary'!Z218)),0),Z99*$BI99),Z99*$BI99),0)</f>
        <v>0</v>
      </c>
      <c r="CD99" s="314">
        <f>IF($BI99&lt;&gt;"",IF('Capacity summary'!$D$14="Yes",IF(COUNTBLANK('Capacity summary'!$H218:$BG218)&lt;52,IF('Capacity summary'!AA218&lt;&gt;"",IF(LOWER('Capacity summary'!AA218)="x",$BI99*AA99,VALUE('Capacity summary'!AA218)),0),AA99*$BI99),AA99*$BI99),0)</f>
        <v>0</v>
      </c>
      <c r="CE99" s="314">
        <f>IF($BI99&lt;&gt;"",IF('Capacity summary'!$D$14="Yes",IF(COUNTBLANK('Capacity summary'!$H218:$BG218)&lt;52,IF('Capacity summary'!AB218&lt;&gt;"",IF(LOWER('Capacity summary'!AB218)="x",$BI99*AB99,VALUE('Capacity summary'!AB218)),0),AB99*$BI99),AB99*$BI99),0)</f>
        <v>0</v>
      </c>
      <c r="CF99" s="314">
        <f>IF($BI99&lt;&gt;"",IF('Capacity summary'!$D$14="Yes",IF(COUNTBLANK('Capacity summary'!$H218:$BG218)&lt;52,IF('Capacity summary'!AC218&lt;&gt;"",IF(LOWER('Capacity summary'!AC218)="x",$BI99*AC99,VALUE('Capacity summary'!AC218)),0),AC99*$BI99),AC99*$BI99),0)</f>
        <v>0</v>
      </c>
      <c r="CG99" s="314">
        <f>IF($BI99&lt;&gt;"",IF('Capacity summary'!$D$14="Yes",IF(COUNTBLANK('Capacity summary'!$H218:$BG218)&lt;52,IF('Capacity summary'!AD218&lt;&gt;"",IF(LOWER('Capacity summary'!AD218)="x",$BI99*AD99,VALUE('Capacity summary'!AD218)),0),AD99*$BI99),AD99*$BI99),0)</f>
        <v>0</v>
      </c>
      <c r="CH99" s="314">
        <f>IF($BI99&lt;&gt;"",IF('Capacity summary'!$D$14="Yes",IF(COUNTBLANK('Capacity summary'!$H218:$BG218)&lt;52,IF('Capacity summary'!AE218&lt;&gt;"",IF(LOWER('Capacity summary'!AE218)="x",$BI99*AE99,VALUE('Capacity summary'!AE218)),0),AE99*$BI99),AE99*$BI99),0)</f>
        <v>0</v>
      </c>
      <c r="CI99" s="314">
        <f>IF($BI99&lt;&gt;"",IF('Capacity summary'!$D$14="Yes",IF(COUNTBLANK('Capacity summary'!$H218:$BG218)&lt;52,IF('Capacity summary'!AF218&lt;&gt;"",IF(LOWER('Capacity summary'!AF218)="x",$BI99*AF99,VALUE('Capacity summary'!AF218)),0),AF99*$BI99),AF99*$BI99),0)</f>
        <v>0</v>
      </c>
      <c r="CJ99" s="314">
        <f>IF($BI99&lt;&gt;"",IF('Capacity summary'!$D$14="Yes",IF(COUNTBLANK('Capacity summary'!$H218:$BG218)&lt;52,IF('Capacity summary'!AG218&lt;&gt;"",IF(LOWER('Capacity summary'!AG218)="x",$BI99*AG99,VALUE('Capacity summary'!AG218)),0),AG99*$BI99),AG99*$BI99),0)</f>
        <v>0</v>
      </c>
      <c r="CK99" s="314">
        <f>IF($BI99&lt;&gt;"",IF('Capacity summary'!$D$14="Yes",IF(COUNTBLANK('Capacity summary'!$H218:$BG218)&lt;52,IF('Capacity summary'!AH218&lt;&gt;"",IF(LOWER('Capacity summary'!AH218)="x",$BI99*AH99,VALUE('Capacity summary'!AH218)),0),AH99*$BI99),AH99*$BI99),0)</f>
        <v>0</v>
      </c>
      <c r="CL99" s="314">
        <f>IF($BI99&lt;&gt;"",IF('Capacity summary'!$D$14="Yes",IF(COUNTBLANK('Capacity summary'!$H218:$BG218)&lt;52,IF('Capacity summary'!AI218&lt;&gt;"",IF(LOWER('Capacity summary'!AI218)="x",$BI99*AI99,VALUE('Capacity summary'!AI218)),0),AI99*$BI99),AI99*$BI99),0)</f>
        <v>0</v>
      </c>
      <c r="CM99" s="314">
        <f>IF($BI99&lt;&gt;"",IF('Capacity summary'!$D$14="Yes",IF(COUNTBLANK('Capacity summary'!$H218:$BG218)&lt;52,IF('Capacity summary'!AJ218&lt;&gt;"",IF(LOWER('Capacity summary'!AJ218)="x",$BI99*AJ99,VALUE('Capacity summary'!AJ218)),0),AJ99*$BI99),AJ99*$BI99),0)</f>
        <v>0</v>
      </c>
      <c r="CN99" s="314">
        <f>IF($BI99&lt;&gt;"",IF('Capacity summary'!$D$14="Yes",IF(COUNTBLANK('Capacity summary'!$H218:$BG218)&lt;52,IF('Capacity summary'!AK218&lt;&gt;"",IF(LOWER('Capacity summary'!AK218)="x",$BI99*AK99,VALUE('Capacity summary'!AK218)),0),AK99*$BI99),AK99*$BI99),0)</f>
        <v>0</v>
      </c>
      <c r="CO99" s="314">
        <f>IF($BI99&lt;&gt;"",IF('Capacity summary'!$D$14="Yes",IF(COUNTBLANK('Capacity summary'!$H218:$BG218)&lt;52,IF('Capacity summary'!AL218&lt;&gt;"",IF(LOWER('Capacity summary'!AL218)="x",$BI99*AL99,VALUE('Capacity summary'!AL218)),0),AL99*$BI99),AL99*$BI99),0)</f>
        <v>0</v>
      </c>
      <c r="CP99" s="314">
        <f>IF($BI99&lt;&gt;"",IF('Capacity summary'!$D$14="Yes",IF(COUNTBLANK('Capacity summary'!$H218:$BG218)&lt;52,IF('Capacity summary'!AM218&lt;&gt;"",IF(LOWER('Capacity summary'!AM218)="x",$BI99*AM99,VALUE('Capacity summary'!AM218)),0),AM99*$BI99),AM99*$BI99),0)</f>
        <v>0</v>
      </c>
      <c r="CQ99" s="314">
        <f>IF($BI99&lt;&gt;"",IF('Capacity summary'!$D$14="Yes",IF(COUNTBLANK('Capacity summary'!$H218:$BG218)&lt;52,IF('Capacity summary'!AN218&lt;&gt;"",IF(LOWER('Capacity summary'!AN218)="x",$BI99*AN99,VALUE('Capacity summary'!AN218)),0),AN99*$BI99),AN99*$BI99),0)</f>
        <v>0</v>
      </c>
      <c r="CR99" s="314">
        <f>IF($BI99&lt;&gt;"",IF('Capacity summary'!$D$14="Yes",IF(COUNTBLANK('Capacity summary'!$H218:$BG218)&lt;52,IF('Capacity summary'!AO218&lt;&gt;"",IF(LOWER('Capacity summary'!AO218)="x",$BI99*AO99,VALUE('Capacity summary'!AO218)),0),AO99*$BI99),AO99*$BI99),0)</f>
        <v>0</v>
      </c>
      <c r="CS99" s="314">
        <f>IF($BI99&lt;&gt;"",IF('Capacity summary'!$D$14="Yes",IF(COUNTBLANK('Capacity summary'!$H218:$BG218)&lt;52,IF('Capacity summary'!AP218&lt;&gt;"",IF(LOWER('Capacity summary'!AP218)="x",$BI99*AP99,VALUE('Capacity summary'!AP218)),0),AP99*$BI99),AP99*$BI99),0)</f>
        <v>0</v>
      </c>
      <c r="CT99" s="314">
        <f>IF($BI99&lt;&gt;"",IF('Capacity summary'!$D$14="Yes",IF(COUNTBLANK('Capacity summary'!$H218:$BG218)&lt;52,IF('Capacity summary'!AQ218&lt;&gt;"",IF(LOWER('Capacity summary'!AQ218)="x",$BI99*AQ99,VALUE('Capacity summary'!AQ218)),0),AQ99*$BI99),AQ99*$BI99),0)</f>
        <v>0</v>
      </c>
      <c r="CU99" s="314">
        <f>IF($BI99&lt;&gt;"",IF('Capacity summary'!$D$14="Yes",IF(COUNTBLANK('Capacity summary'!$H218:$BG218)&lt;52,IF('Capacity summary'!AR218&lt;&gt;"",IF(LOWER('Capacity summary'!AR218)="x",$BI99*AR99,VALUE('Capacity summary'!AR218)),0),AR99*$BI99),AR99*$BI99),0)</f>
        <v>0</v>
      </c>
      <c r="CV99" s="314">
        <f>IF($BI99&lt;&gt;"",IF('Capacity summary'!$D$14="Yes",IF(COUNTBLANK('Capacity summary'!$H218:$BG218)&lt;52,IF('Capacity summary'!AS218&lt;&gt;"",IF(LOWER('Capacity summary'!AS218)="x",$BI99*AS99,VALUE('Capacity summary'!AS218)),0),AS99*$BI99),AS99*$BI99),0)</f>
        <v>0</v>
      </c>
      <c r="CW99" s="314">
        <f>IF($BI99&lt;&gt;"",IF('Capacity summary'!$D$14="Yes",IF(COUNTBLANK('Capacity summary'!$H218:$BG218)&lt;52,IF('Capacity summary'!AT218&lt;&gt;"",IF(LOWER('Capacity summary'!AT218)="x",$BI99*AT99,VALUE('Capacity summary'!AT218)),0),AT99*$BI99),AT99*$BI99),0)</f>
        <v>0</v>
      </c>
      <c r="CX99" s="314">
        <f>IF($BI99&lt;&gt;"",IF('Capacity summary'!$D$14="Yes",IF(COUNTBLANK('Capacity summary'!$H218:$BG218)&lt;52,IF('Capacity summary'!AU218&lt;&gt;"",IF(LOWER('Capacity summary'!AU218)="x",$BI99*AU99,VALUE('Capacity summary'!AU218)),0),AU99*$BI99),AU99*$BI99),0)</f>
        <v>0</v>
      </c>
      <c r="CY99" s="314">
        <f>IF($BI99&lt;&gt;"",IF('Capacity summary'!$D$14="Yes",IF(COUNTBLANK('Capacity summary'!$H218:$BG218)&lt;52,IF('Capacity summary'!AV218&lt;&gt;"",IF(LOWER('Capacity summary'!AV218)="x",$BI99*AV99,VALUE('Capacity summary'!AV218)),0),AV99*$BI99),AV99*$BI99),0)</f>
        <v>0</v>
      </c>
      <c r="CZ99" s="314">
        <f>IF($BI99&lt;&gt;"",IF('Capacity summary'!$D$14="Yes",IF(COUNTBLANK('Capacity summary'!$H218:$BG218)&lt;52,IF('Capacity summary'!AW218&lt;&gt;"",IF(LOWER('Capacity summary'!AW218)="x",$BI99*AW99,VALUE('Capacity summary'!AW218)),0),AW99*$BI99),AW99*$BI99),0)</f>
        <v>0</v>
      </c>
      <c r="DA99" s="314">
        <f>IF($BI99&lt;&gt;"",IF('Capacity summary'!$D$14="Yes",IF(COUNTBLANK('Capacity summary'!$H218:$BG218)&lt;52,IF('Capacity summary'!AX218&lt;&gt;"",IF(LOWER('Capacity summary'!AX218)="x",$BI99*AX99,VALUE('Capacity summary'!AX218)),0),AX99*$BI99),AX99*$BI99),0)</f>
        <v>0</v>
      </c>
      <c r="DB99" s="314">
        <f>IF($BI99&lt;&gt;"",IF('Capacity summary'!$D$14="Yes",IF(COUNTBLANK('Capacity summary'!$H218:$BG218)&lt;52,IF('Capacity summary'!AY218&lt;&gt;"",IF(LOWER('Capacity summary'!AY218)="x",$BI99*AY99,VALUE('Capacity summary'!AY218)),0),AY99*$BI99),AY99*$BI99),0)</f>
        <v>0</v>
      </c>
      <c r="DC99" s="314">
        <f>IF($BI99&lt;&gt;"",IF('Capacity summary'!$D$14="Yes",IF(COUNTBLANK('Capacity summary'!$H218:$BG218)&lt;52,IF('Capacity summary'!AZ218&lt;&gt;"",IF(LOWER('Capacity summary'!AZ218)="x",$BI99*AZ99,VALUE('Capacity summary'!AZ218)),0),AZ99*$BI99),AZ99*$BI99),0)</f>
        <v>0</v>
      </c>
      <c r="DD99" s="314">
        <f>IF($BI99&lt;&gt;"",IF('Capacity summary'!$D$14="Yes",IF(COUNTBLANK('Capacity summary'!$H218:$BG218)&lt;52,IF('Capacity summary'!BA218&lt;&gt;"",IF(LOWER('Capacity summary'!BA218)="x",$BI99*BA99,VALUE('Capacity summary'!BA218)),0),BA99*$BI99),BA99*$BI99),0)</f>
        <v>0</v>
      </c>
      <c r="DE99" s="314">
        <f>IF($BI99&lt;&gt;"",IF('Capacity summary'!$D$14="Yes",IF(COUNTBLANK('Capacity summary'!$H218:$BG218)&lt;52,IF('Capacity summary'!BB218&lt;&gt;"",IF(LOWER('Capacity summary'!BB218)="x",$BI99*BB99,VALUE('Capacity summary'!BB218)),0),BB99*$BI99),BB99*$BI99),0)</f>
        <v>0</v>
      </c>
      <c r="DF99" s="314">
        <f>IF($BI99&lt;&gt;"",IF('Capacity summary'!$D$14="Yes",IF(COUNTBLANK('Capacity summary'!$H218:$BG218)&lt;52,IF('Capacity summary'!BC218&lt;&gt;"",IF(LOWER('Capacity summary'!BC218)="x",$BI99*BC99,VALUE('Capacity summary'!BC218)),0),BC99*$BI99),BC99*$BI99),0)</f>
        <v>0</v>
      </c>
      <c r="DG99" s="314">
        <f>IF($BI99&lt;&gt;"",IF('Capacity summary'!$D$14="Yes",IF(COUNTBLANK('Capacity summary'!$H218:$BG218)&lt;52,IF('Capacity summary'!BD218&lt;&gt;"",IF(LOWER('Capacity summary'!BD218)="x",$BI99*BD99,VALUE('Capacity summary'!BD218)),0),BD99*$BI99),BD99*$BI99),0)</f>
        <v>0</v>
      </c>
      <c r="DH99" s="314">
        <f>IF($BI99&lt;&gt;"",IF('Capacity summary'!$D$14="Yes",IF(COUNTBLANK('Capacity summary'!$H218:$BG218)&lt;52,IF('Capacity summary'!BE218&lt;&gt;"",IF(LOWER('Capacity summary'!BE218)="x",$BI99*BE99,VALUE('Capacity summary'!BE218)),0),BE99*$BI99),BE99*$BI99),0)</f>
        <v>0</v>
      </c>
      <c r="DI99" s="314">
        <f>IF($BI99&lt;&gt;"",IF('Capacity summary'!$D$14="Yes",IF(COUNTBLANK('Capacity summary'!$H218:$BG218)&lt;52,IF('Capacity summary'!BF218&lt;&gt;"",IF(LOWER('Capacity summary'!BF218)="x",$BI99*BF99,VALUE('Capacity summary'!BF218)),0),BF99*$BI99),BF99*$BI99),0)</f>
        <v>0</v>
      </c>
      <c r="DJ99" s="314">
        <f>IF($BI99&lt;&gt;"",IF('Capacity summary'!$D$14="Yes",IF(COUNTBLANK('Capacity summary'!$H218:$BG218)&lt;52,IF('Capacity summary'!BG218&lt;&gt;"",IF(LOWER('Capacity summary'!BG218)="x",$BI99*BG99,VALUE('Capacity summary'!BG218)),0),BG99*$BI99),BG99*$BI99),0)</f>
        <v>0</v>
      </c>
      <c r="DK99" s="137">
        <f t="shared" si="3"/>
        <v>0</v>
      </c>
      <c r="DL99" s="314"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4">
        <f>IF($BI100&lt;&gt;"",IF('Capacity summary'!$D$14="Yes",IF(COUNTBLANK('Capacity summary'!$H219:$BG219)&lt;52,IF('Capacity summary'!H219&lt;&gt;"",IF(LOWER('Capacity summary'!H219)="x",$BI100*H100,VALUE('Capacity summary'!H219)),0),H100*$BI100),H100*$BI100),0)</f>
        <v>0</v>
      </c>
      <c r="BL100" s="314">
        <f>IF($BI100&lt;&gt;"",IF('Capacity summary'!$D$14="Yes",IF(COUNTBLANK('Capacity summary'!$H219:$BG219)&lt;52,IF('Capacity summary'!I219&lt;&gt;"",IF(LOWER('Capacity summary'!I219)="x",$BI100*I100,VALUE('Capacity summary'!I219)),0),I100*$BI100),I100*$BI100),0)</f>
        <v>0</v>
      </c>
      <c r="BM100" s="314">
        <f>IF($BI100&lt;&gt;"",IF('Capacity summary'!$D$14="Yes",IF(COUNTBLANK('Capacity summary'!$H219:$BG219)&lt;52,IF('Capacity summary'!J219&lt;&gt;"",IF(LOWER('Capacity summary'!J219)="x",$BI100*J100,VALUE('Capacity summary'!J219)),0),J100*$BI100),J100*$BI100),0)</f>
        <v>0</v>
      </c>
      <c r="BN100" s="314">
        <f>IF($BI100&lt;&gt;"",IF('Capacity summary'!$D$14="Yes",IF(COUNTBLANK('Capacity summary'!$H219:$BG219)&lt;52,IF('Capacity summary'!K219&lt;&gt;"",IF(LOWER('Capacity summary'!K219)="x",$BI100*K100,VALUE('Capacity summary'!K219)),0),K100*$BI100),K100*$BI100),0)</f>
        <v>0</v>
      </c>
      <c r="BO100" s="314">
        <f>IF($BI100&lt;&gt;"",IF('Capacity summary'!$D$14="Yes",IF(COUNTBLANK('Capacity summary'!$H219:$BG219)&lt;52,IF('Capacity summary'!L219&lt;&gt;"",IF(LOWER('Capacity summary'!L219)="x",$BI100*L100,VALUE('Capacity summary'!L219)),0),L100*$BI100),L100*$BI100),0)</f>
        <v>0</v>
      </c>
      <c r="BP100" s="314">
        <f>IF($BI100&lt;&gt;"",IF('Capacity summary'!$D$14="Yes",IF(COUNTBLANK('Capacity summary'!$H219:$BG219)&lt;52,IF('Capacity summary'!M219&lt;&gt;"",IF(LOWER('Capacity summary'!M219)="x",$BI100*M100,VALUE('Capacity summary'!M219)),0),M100*$BI100),M100*$BI100),0)</f>
        <v>0</v>
      </c>
      <c r="BQ100" s="314">
        <f>IF($BI100&lt;&gt;"",IF('Capacity summary'!$D$14="Yes",IF(COUNTBLANK('Capacity summary'!$H219:$BG219)&lt;52,IF('Capacity summary'!N219&lt;&gt;"",IF(LOWER('Capacity summary'!N219)="x",$BI100*N100,VALUE('Capacity summary'!N219)),0),N100*$BI100),N100*$BI100),0)</f>
        <v>0</v>
      </c>
      <c r="BR100" s="314">
        <f>IF($BI100&lt;&gt;"",IF('Capacity summary'!$D$14="Yes",IF(COUNTBLANK('Capacity summary'!$H219:$BG219)&lt;52,IF('Capacity summary'!O219&lt;&gt;"",IF(LOWER('Capacity summary'!O219)="x",$BI100*O100,VALUE('Capacity summary'!O219)),0),O100*$BI100),O100*$BI100),0)</f>
        <v>0</v>
      </c>
      <c r="BS100" s="314">
        <f>IF($BI100&lt;&gt;"",IF('Capacity summary'!$D$14="Yes",IF(COUNTBLANK('Capacity summary'!$H219:$BG219)&lt;52,IF('Capacity summary'!P219&lt;&gt;"",IF(LOWER('Capacity summary'!P219)="x",$BI100*P100,VALUE('Capacity summary'!P219)),0),P100*$BI100),P100*$BI100),0)</f>
        <v>0</v>
      </c>
      <c r="BT100" s="314">
        <f>IF($BI100&lt;&gt;"",IF('Capacity summary'!$D$14="Yes",IF(COUNTBLANK('Capacity summary'!$H219:$BG219)&lt;52,IF('Capacity summary'!Q219&lt;&gt;"",IF(LOWER('Capacity summary'!Q219)="x",$BI100*Q100,VALUE('Capacity summary'!Q219)),0),Q100*$BI100),Q100*$BI100),0)</f>
        <v>0</v>
      </c>
      <c r="BU100" s="314">
        <f>IF($BI100&lt;&gt;"",IF('Capacity summary'!$D$14="Yes",IF(COUNTBLANK('Capacity summary'!$H219:$BG219)&lt;52,IF('Capacity summary'!R219&lt;&gt;"",IF(LOWER('Capacity summary'!R219)="x",$BI100*R100,VALUE('Capacity summary'!R219)),0),R100*$BI100),R100*$BI100),0)</f>
        <v>0</v>
      </c>
      <c r="BV100" s="314">
        <f>IF($BI100&lt;&gt;"",IF('Capacity summary'!$D$14="Yes",IF(COUNTBLANK('Capacity summary'!$H219:$BG219)&lt;52,IF('Capacity summary'!S219&lt;&gt;"",IF(LOWER('Capacity summary'!S219)="x",$BI100*S100,VALUE('Capacity summary'!S219)),0),S100*$BI100),S100*$BI100),0)</f>
        <v>0</v>
      </c>
      <c r="BW100" s="314">
        <f>IF($BI100&lt;&gt;"",IF('Capacity summary'!$D$14="Yes",IF(COUNTBLANK('Capacity summary'!$H219:$BG219)&lt;52,IF('Capacity summary'!T219&lt;&gt;"",IF(LOWER('Capacity summary'!T219)="x",$BI100*T100,VALUE('Capacity summary'!T219)),0),T100*$BI100),T100*$BI100),0)</f>
        <v>0</v>
      </c>
      <c r="BX100" s="314">
        <f>IF($BI100&lt;&gt;"",IF('Capacity summary'!$D$14="Yes",IF(COUNTBLANK('Capacity summary'!$H219:$BG219)&lt;52,IF('Capacity summary'!U219&lt;&gt;"",IF(LOWER('Capacity summary'!U219)="x",$BI100*U100,VALUE('Capacity summary'!U219)),0),U100*$BI100),U100*$BI100),0)</f>
        <v>0</v>
      </c>
      <c r="BY100" s="314">
        <f>IF($BI100&lt;&gt;"",IF('Capacity summary'!$D$14="Yes",IF(COUNTBLANK('Capacity summary'!$H219:$BG219)&lt;52,IF('Capacity summary'!V219&lt;&gt;"",IF(LOWER('Capacity summary'!V219)="x",$BI100*V100,VALUE('Capacity summary'!V219)),0),V100*$BI100),V100*$BI100),0)</f>
        <v>0</v>
      </c>
      <c r="BZ100" s="314">
        <f>IF($BI100&lt;&gt;"",IF('Capacity summary'!$D$14="Yes",IF(COUNTBLANK('Capacity summary'!$H219:$BG219)&lt;52,IF('Capacity summary'!W219&lt;&gt;"",IF(LOWER('Capacity summary'!W219)="x",$BI100*W100,VALUE('Capacity summary'!W219)),0),W100*$BI100),W100*$BI100),0)</f>
        <v>0</v>
      </c>
      <c r="CA100" s="314">
        <f>IF($BI100&lt;&gt;"",IF('Capacity summary'!$D$14="Yes",IF(COUNTBLANK('Capacity summary'!$H219:$BG219)&lt;52,IF('Capacity summary'!X219&lt;&gt;"",IF(LOWER('Capacity summary'!X219)="x",$BI100*X100,VALUE('Capacity summary'!X219)),0),X100*$BI100),X100*$BI100),0)</f>
        <v>0</v>
      </c>
      <c r="CB100" s="314">
        <f>IF($BI100&lt;&gt;"",IF('Capacity summary'!$D$14="Yes",IF(COUNTBLANK('Capacity summary'!$H219:$BG219)&lt;52,IF('Capacity summary'!Y219&lt;&gt;"",IF(LOWER('Capacity summary'!Y219)="x",$BI100*Y100,VALUE('Capacity summary'!Y219)),0),Y100*$BI100),Y100*$BI100),0)</f>
        <v>0</v>
      </c>
      <c r="CC100" s="314">
        <f>IF($BI100&lt;&gt;"",IF('Capacity summary'!$D$14="Yes",IF(COUNTBLANK('Capacity summary'!$H219:$BG219)&lt;52,IF('Capacity summary'!Z219&lt;&gt;"",IF(LOWER('Capacity summary'!Z219)="x",$BI100*Z100,VALUE('Capacity summary'!Z219)),0),Z100*$BI100),Z100*$BI100),0)</f>
        <v>0</v>
      </c>
      <c r="CD100" s="314">
        <f>IF($BI100&lt;&gt;"",IF('Capacity summary'!$D$14="Yes",IF(COUNTBLANK('Capacity summary'!$H219:$BG219)&lt;52,IF('Capacity summary'!AA219&lt;&gt;"",IF(LOWER('Capacity summary'!AA219)="x",$BI100*AA100,VALUE('Capacity summary'!AA219)),0),AA100*$BI100),AA100*$BI100),0)</f>
        <v>0</v>
      </c>
      <c r="CE100" s="314">
        <f>IF($BI100&lt;&gt;"",IF('Capacity summary'!$D$14="Yes",IF(COUNTBLANK('Capacity summary'!$H219:$BG219)&lt;52,IF('Capacity summary'!AB219&lt;&gt;"",IF(LOWER('Capacity summary'!AB219)="x",$BI100*AB100,VALUE('Capacity summary'!AB219)),0),AB100*$BI100),AB100*$BI100),0)</f>
        <v>0</v>
      </c>
      <c r="CF100" s="314">
        <f>IF($BI100&lt;&gt;"",IF('Capacity summary'!$D$14="Yes",IF(COUNTBLANK('Capacity summary'!$H219:$BG219)&lt;52,IF('Capacity summary'!AC219&lt;&gt;"",IF(LOWER('Capacity summary'!AC219)="x",$BI100*AC100,VALUE('Capacity summary'!AC219)),0),AC100*$BI100),AC100*$BI100),0)</f>
        <v>0</v>
      </c>
      <c r="CG100" s="314">
        <f>IF($BI100&lt;&gt;"",IF('Capacity summary'!$D$14="Yes",IF(COUNTBLANK('Capacity summary'!$H219:$BG219)&lt;52,IF('Capacity summary'!AD219&lt;&gt;"",IF(LOWER('Capacity summary'!AD219)="x",$BI100*AD100,VALUE('Capacity summary'!AD219)),0),AD100*$BI100),AD100*$BI100),0)</f>
        <v>0</v>
      </c>
      <c r="CH100" s="314">
        <f>IF($BI100&lt;&gt;"",IF('Capacity summary'!$D$14="Yes",IF(COUNTBLANK('Capacity summary'!$H219:$BG219)&lt;52,IF('Capacity summary'!AE219&lt;&gt;"",IF(LOWER('Capacity summary'!AE219)="x",$BI100*AE100,VALUE('Capacity summary'!AE219)),0),AE100*$BI100),AE100*$BI100),0)</f>
        <v>0</v>
      </c>
      <c r="CI100" s="314">
        <f>IF($BI100&lt;&gt;"",IF('Capacity summary'!$D$14="Yes",IF(COUNTBLANK('Capacity summary'!$H219:$BG219)&lt;52,IF('Capacity summary'!AF219&lt;&gt;"",IF(LOWER('Capacity summary'!AF219)="x",$BI100*AF100,VALUE('Capacity summary'!AF219)),0),AF100*$BI100),AF100*$BI100),0)</f>
        <v>0</v>
      </c>
      <c r="CJ100" s="314">
        <f>IF($BI100&lt;&gt;"",IF('Capacity summary'!$D$14="Yes",IF(COUNTBLANK('Capacity summary'!$H219:$BG219)&lt;52,IF('Capacity summary'!AG219&lt;&gt;"",IF(LOWER('Capacity summary'!AG219)="x",$BI100*AG100,VALUE('Capacity summary'!AG219)),0),AG100*$BI100),AG100*$BI100),0)</f>
        <v>0</v>
      </c>
      <c r="CK100" s="314">
        <f>IF($BI100&lt;&gt;"",IF('Capacity summary'!$D$14="Yes",IF(COUNTBLANK('Capacity summary'!$H219:$BG219)&lt;52,IF('Capacity summary'!AH219&lt;&gt;"",IF(LOWER('Capacity summary'!AH219)="x",$BI100*AH100,VALUE('Capacity summary'!AH219)),0),AH100*$BI100),AH100*$BI100),0)</f>
        <v>0</v>
      </c>
      <c r="CL100" s="314">
        <f>IF($BI100&lt;&gt;"",IF('Capacity summary'!$D$14="Yes",IF(COUNTBLANK('Capacity summary'!$H219:$BG219)&lt;52,IF('Capacity summary'!AI219&lt;&gt;"",IF(LOWER('Capacity summary'!AI219)="x",$BI100*AI100,VALUE('Capacity summary'!AI219)),0),AI100*$BI100),AI100*$BI100),0)</f>
        <v>0</v>
      </c>
      <c r="CM100" s="314">
        <f>IF($BI100&lt;&gt;"",IF('Capacity summary'!$D$14="Yes",IF(COUNTBLANK('Capacity summary'!$H219:$BG219)&lt;52,IF('Capacity summary'!AJ219&lt;&gt;"",IF(LOWER('Capacity summary'!AJ219)="x",$BI100*AJ100,VALUE('Capacity summary'!AJ219)),0),AJ100*$BI100),AJ100*$BI100),0)</f>
        <v>0</v>
      </c>
      <c r="CN100" s="314">
        <f>IF($BI100&lt;&gt;"",IF('Capacity summary'!$D$14="Yes",IF(COUNTBLANK('Capacity summary'!$H219:$BG219)&lt;52,IF('Capacity summary'!AK219&lt;&gt;"",IF(LOWER('Capacity summary'!AK219)="x",$BI100*AK100,VALUE('Capacity summary'!AK219)),0),AK100*$BI100),AK100*$BI100),0)</f>
        <v>0</v>
      </c>
      <c r="CO100" s="314">
        <f>IF($BI100&lt;&gt;"",IF('Capacity summary'!$D$14="Yes",IF(COUNTBLANK('Capacity summary'!$H219:$BG219)&lt;52,IF('Capacity summary'!AL219&lt;&gt;"",IF(LOWER('Capacity summary'!AL219)="x",$BI100*AL100,VALUE('Capacity summary'!AL219)),0),AL100*$BI100),AL100*$BI100),0)</f>
        <v>0</v>
      </c>
      <c r="CP100" s="314">
        <f>IF($BI100&lt;&gt;"",IF('Capacity summary'!$D$14="Yes",IF(COUNTBLANK('Capacity summary'!$H219:$BG219)&lt;52,IF('Capacity summary'!AM219&lt;&gt;"",IF(LOWER('Capacity summary'!AM219)="x",$BI100*AM100,VALUE('Capacity summary'!AM219)),0),AM100*$BI100),AM100*$BI100),0)</f>
        <v>0</v>
      </c>
      <c r="CQ100" s="314">
        <f>IF($BI100&lt;&gt;"",IF('Capacity summary'!$D$14="Yes",IF(COUNTBLANK('Capacity summary'!$H219:$BG219)&lt;52,IF('Capacity summary'!AN219&lt;&gt;"",IF(LOWER('Capacity summary'!AN219)="x",$BI100*AN100,VALUE('Capacity summary'!AN219)),0),AN100*$BI100),AN100*$BI100),0)</f>
        <v>0</v>
      </c>
      <c r="CR100" s="314">
        <f>IF($BI100&lt;&gt;"",IF('Capacity summary'!$D$14="Yes",IF(COUNTBLANK('Capacity summary'!$H219:$BG219)&lt;52,IF('Capacity summary'!AO219&lt;&gt;"",IF(LOWER('Capacity summary'!AO219)="x",$BI100*AO100,VALUE('Capacity summary'!AO219)),0),AO100*$BI100),AO100*$BI100),0)</f>
        <v>0</v>
      </c>
      <c r="CS100" s="314">
        <f>IF($BI100&lt;&gt;"",IF('Capacity summary'!$D$14="Yes",IF(COUNTBLANK('Capacity summary'!$H219:$BG219)&lt;52,IF('Capacity summary'!AP219&lt;&gt;"",IF(LOWER('Capacity summary'!AP219)="x",$BI100*AP100,VALUE('Capacity summary'!AP219)),0),AP100*$BI100),AP100*$BI100),0)</f>
        <v>0</v>
      </c>
      <c r="CT100" s="314">
        <f>IF($BI100&lt;&gt;"",IF('Capacity summary'!$D$14="Yes",IF(COUNTBLANK('Capacity summary'!$H219:$BG219)&lt;52,IF('Capacity summary'!AQ219&lt;&gt;"",IF(LOWER('Capacity summary'!AQ219)="x",$BI100*AQ100,VALUE('Capacity summary'!AQ219)),0),AQ100*$BI100),AQ100*$BI100),0)</f>
        <v>0</v>
      </c>
      <c r="CU100" s="314">
        <f>IF($BI100&lt;&gt;"",IF('Capacity summary'!$D$14="Yes",IF(COUNTBLANK('Capacity summary'!$H219:$BG219)&lt;52,IF('Capacity summary'!AR219&lt;&gt;"",IF(LOWER('Capacity summary'!AR219)="x",$BI100*AR100,VALUE('Capacity summary'!AR219)),0),AR100*$BI100),AR100*$BI100),0)</f>
        <v>0</v>
      </c>
      <c r="CV100" s="314">
        <f>IF($BI100&lt;&gt;"",IF('Capacity summary'!$D$14="Yes",IF(COUNTBLANK('Capacity summary'!$H219:$BG219)&lt;52,IF('Capacity summary'!AS219&lt;&gt;"",IF(LOWER('Capacity summary'!AS219)="x",$BI100*AS100,VALUE('Capacity summary'!AS219)),0),AS100*$BI100),AS100*$BI100),0)</f>
        <v>0</v>
      </c>
      <c r="CW100" s="314">
        <f>IF($BI100&lt;&gt;"",IF('Capacity summary'!$D$14="Yes",IF(COUNTBLANK('Capacity summary'!$H219:$BG219)&lt;52,IF('Capacity summary'!AT219&lt;&gt;"",IF(LOWER('Capacity summary'!AT219)="x",$BI100*AT100,VALUE('Capacity summary'!AT219)),0),AT100*$BI100),AT100*$BI100),0)</f>
        <v>0</v>
      </c>
      <c r="CX100" s="314">
        <f>IF($BI100&lt;&gt;"",IF('Capacity summary'!$D$14="Yes",IF(COUNTBLANK('Capacity summary'!$H219:$BG219)&lt;52,IF('Capacity summary'!AU219&lt;&gt;"",IF(LOWER('Capacity summary'!AU219)="x",$BI100*AU100,VALUE('Capacity summary'!AU219)),0),AU100*$BI100),AU100*$BI100),0)</f>
        <v>0</v>
      </c>
      <c r="CY100" s="314">
        <f>IF($BI100&lt;&gt;"",IF('Capacity summary'!$D$14="Yes",IF(COUNTBLANK('Capacity summary'!$H219:$BG219)&lt;52,IF('Capacity summary'!AV219&lt;&gt;"",IF(LOWER('Capacity summary'!AV219)="x",$BI100*AV100,VALUE('Capacity summary'!AV219)),0),AV100*$BI100),AV100*$BI100),0)</f>
        <v>0</v>
      </c>
      <c r="CZ100" s="314">
        <f>IF($BI100&lt;&gt;"",IF('Capacity summary'!$D$14="Yes",IF(COUNTBLANK('Capacity summary'!$H219:$BG219)&lt;52,IF('Capacity summary'!AW219&lt;&gt;"",IF(LOWER('Capacity summary'!AW219)="x",$BI100*AW100,VALUE('Capacity summary'!AW219)),0),AW100*$BI100),AW100*$BI100),0)</f>
        <v>0</v>
      </c>
      <c r="DA100" s="314">
        <f>IF($BI100&lt;&gt;"",IF('Capacity summary'!$D$14="Yes",IF(COUNTBLANK('Capacity summary'!$H219:$BG219)&lt;52,IF('Capacity summary'!AX219&lt;&gt;"",IF(LOWER('Capacity summary'!AX219)="x",$BI100*AX100,VALUE('Capacity summary'!AX219)),0),AX100*$BI100),AX100*$BI100),0)</f>
        <v>0</v>
      </c>
      <c r="DB100" s="314">
        <f>IF($BI100&lt;&gt;"",IF('Capacity summary'!$D$14="Yes",IF(COUNTBLANK('Capacity summary'!$H219:$BG219)&lt;52,IF('Capacity summary'!AY219&lt;&gt;"",IF(LOWER('Capacity summary'!AY219)="x",$BI100*AY100,VALUE('Capacity summary'!AY219)),0),AY100*$BI100),AY100*$BI100),0)</f>
        <v>0</v>
      </c>
      <c r="DC100" s="314">
        <f>IF($BI100&lt;&gt;"",IF('Capacity summary'!$D$14="Yes",IF(COUNTBLANK('Capacity summary'!$H219:$BG219)&lt;52,IF('Capacity summary'!AZ219&lt;&gt;"",IF(LOWER('Capacity summary'!AZ219)="x",$BI100*AZ100,VALUE('Capacity summary'!AZ219)),0),AZ100*$BI100),AZ100*$BI100),0)</f>
        <v>0</v>
      </c>
      <c r="DD100" s="314">
        <f>IF($BI100&lt;&gt;"",IF('Capacity summary'!$D$14="Yes",IF(COUNTBLANK('Capacity summary'!$H219:$BG219)&lt;52,IF('Capacity summary'!BA219&lt;&gt;"",IF(LOWER('Capacity summary'!BA219)="x",$BI100*BA100,VALUE('Capacity summary'!BA219)),0),BA100*$BI100),BA100*$BI100),0)</f>
        <v>0</v>
      </c>
      <c r="DE100" s="314">
        <f>IF($BI100&lt;&gt;"",IF('Capacity summary'!$D$14="Yes",IF(COUNTBLANK('Capacity summary'!$H219:$BG219)&lt;52,IF('Capacity summary'!BB219&lt;&gt;"",IF(LOWER('Capacity summary'!BB219)="x",$BI100*BB100,VALUE('Capacity summary'!BB219)),0),BB100*$BI100),BB100*$BI100),0)</f>
        <v>0</v>
      </c>
      <c r="DF100" s="314">
        <f>IF($BI100&lt;&gt;"",IF('Capacity summary'!$D$14="Yes",IF(COUNTBLANK('Capacity summary'!$H219:$BG219)&lt;52,IF('Capacity summary'!BC219&lt;&gt;"",IF(LOWER('Capacity summary'!BC219)="x",$BI100*BC100,VALUE('Capacity summary'!BC219)),0),BC100*$BI100),BC100*$BI100),0)</f>
        <v>0</v>
      </c>
      <c r="DG100" s="314">
        <f>IF($BI100&lt;&gt;"",IF('Capacity summary'!$D$14="Yes",IF(COUNTBLANK('Capacity summary'!$H219:$BG219)&lt;52,IF('Capacity summary'!BD219&lt;&gt;"",IF(LOWER('Capacity summary'!BD219)="x",$BI100*BD100,VALUE('Capacity summary'!BD219)),0),BD100*$BI100),BD100*$BI100),0)</f>
        <v>0</v>
      </c>
      <c r="DH100" s="314">
        <f>IF($BI100&lt;&gt;"",IF('Capacity summary'!$D$14="Yes",IF(COUNTBLANK('Capacity summary'!$H219:$BG219)&lt;52,IF('Capacity summary'!BE219&lt;&gt;"",IF(LOWER('Capacity summary'!BE219)="x",$BI100*BE100,VALUE('Capacity summary'!BE219)),0),BE100*$BI100),BE100*$BI100),0)</f>
        <v>0</v>
      </c>
      <c r="DI100" s="314">
        <f>IF($BI100&lt;&gt;"",IF('Capacity summary'!$D$14="Yes",IF(COUNTBLANK('Capacity summary'!$H219:$BG219)&lt;52,IF('Capacity summary'!BF219&lt;&gt;"",IF(LOWER('Capacity summary'!BF219)="x",$BI100*BF100,VALUE('Capacity summary'!BF219)),0),BF100*$BI100),BF100*$BI100),0)</f>
        <v>0</v>
      </c>
      <c r="DJ100" s="314">
        <f>IF($BI100&lt;&gt;"",IF('Capacity summary'!$D$14="Yes",IF(COUNTBLANK('Capacity summary'!$H219:$BG219)&lt;52,IF('Capacity summary'!BG219&lt;&gt;"",IF(LOWER('Capacity summary'!BG219)="x",$BI100*BG100,VALUE('Capacity summary'!BG219)),0),BG100*$BI100),BG100*$BI100),0)</f>
        <v>0</v>
      </c>
      <c r="DK100" s="137">
        <f t="shared" si="3"/>
        <v>0</v>
      </c>
      <c r="DL100" s="314"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4">
        <f>IF($BI101&lt;&gt;"",IF('Capacity summary'!$D$14="Yes",IF(COUNTBLANK('Capacity summary'!$H220:$BG220)&lt;52,IF('Capacity summary'!H220&lt;&gt;"",IF(LOWER('Capacity summary'!H220)="x",$BI101*H101,VALUE('Capacity summary'!H220)),0),H101*$BI101),H101*$BI101),0)</f>
        <v>0</v>
      </c>
      <c r="BL101" s="314">
        <f>IF($BI101&lt;&gt;"",IF('Capacity summary'!$D$14="Yes",IF(COUNTBLANK('Capacity summary'!$H220:$BG220)&lt;52,IF('Capacity summary'!I220&lt;&gt;"",IF(LOWER('Capacity summary'!I220)="x",$BI101*I101,VALUE('Capacity summary'!I220)),0),I101*$BI101),I101*$BI101),0)</f>
        <v>0</v>
      </c>
      <c r="BM101" s="314">
        <f>IF($BI101&lt;&gt;"",IF('Capacity summary'!$D$14="Yes",IF(COUNTBLANK('Capacity summary'!$H220:$BG220)&lt;52,IF('Capacity summary'!J220&lt;&gt;"",IF(LOWER('Capacity summary'!J220)="x",$BI101*J101,VALUE('Capacity summary'!J220)),0),J101*$BI101),J101*$BI101),0)</f>
        <v>0</v>
      </c>
      <c r="BN101" s="314">
        <f>IF($BI101&lt;&gt;"",IF('Capacity summary'!$D$14="Yes",IF(COUNTBLANK('Capacity summary'!$H220:$BG220)&lt;52,IF('Capacity summary'!K220&lt;&gt;"",IF(LOWER('Capacity summary'!K220)="x",$BI101*K101,VALUE('Capacity summary'!K220)),0),K101*$BI101),K101*$BI101),0)</f>
        <v>0</v>
      </c>
      <c r="BO101" s="314">
        <f>IF($BI101&lt;&gt;"",IF('Capacity summary'!$D$14="Yes",IF(COUNTBLANK('Capacity summary'!$H220:$BG220)&lt;52,IF('Capacity summary'!L220&lt;&gt;"",IF(LOWER('Capacity summary'!L220)="x",$BI101*L101,VALUE('Capacity summary'!L220)),0),L101*$BI101),L101*$BI101),0)</f>
        <v>0</v>
      </c>
      <c r="BP101" s="314">
        <f>IF($BI101&lt;&gt;"",IF('Capacity summary'!$D$14="Yes",IF(COUNTBLANK('Capacity summary'!$H220:$BG220)&lt;52,IF('Capacity summary'!M220&lt;&gt;"",IF(LOWER('Capacity summary'!M220)="x",$BI101*M101,VALUE('Capacity summary'!M220)),0),M101*$BI101),M101*$BI101),0)</f>
        <v>0</v>
      </c>
      <c r="BQ101" s="314">
        <f>IF($BI101&lt;&gt;"",IF('Capacity summary'!$D$14="Yes",IF(COUNTBLANK('Capacity summary'!$H220:$BG220)&lt;52,IF('Capacity summary'!N220&lt;&gt;"",IF(LOWER('Capacity summary'!N220)="x",$BI101*N101,VALUE('Capacity summary'!N220)),0),N101*$BI101),N101*$BI101),0)</f>
        <v>0</v>
      </c>
      <c r="BR101" s="314">
        <f>IF($BI101&lt;&gt;"",IF('Capacity summary'!$D$14="Yes",IF(COUNTBLANK('Capacity summary'!$H220:$BG220)&lt;52,IF('Capacity summary'!O220&lt;&gt;"",IF(LOWER('Capacity summary'!O220)="x",$BI101*O101,VALUE('Capacity summary'!O220)),0),O101*$BI101),O101*$BI101),0)</f>
        <v>0</v>
      </c>
      <c r="BS101" s="314">
        <f>IF($BI101&lt;&gt;"",IF('Capacity summary'!$D$14="Yes",IF(COUNTBLANK('Capacity summary'!$H220:$BG220)&lt;52,IF('Capacity summary'!P220&lt;&gt;"",IF(LOWER('Capacity summary'!P220)="x",$BI101*P101,VALUE('Capacity summary'!P220)),0),P101*$BI101),P101*$BI101),0)</f>
        <v>0</v>
      </c>
      <c r="BT101" s="314">
        <f>IF($BI101&lt;&gt;"",IF('Capacity summary'!$D$14="Yes",IF(COUNTBLANK('Capacity summary'!$H220:$BG220)&lt;52,IF('Capacity summary'!Q220&lt;&gt;"",IF(LOWER('Capacity summary'!Q220)="x",$BI101*Q101,VALUE('Capacity summary'!Q220)),0),Q101*$BI101),Q101*$BI101),0)</f>
        <v>0</v>
      </c>
      <c r="BU101" s="314">
        <f>IF($BI101&lt;&gt;"",IF('Capacity summary'!$D$14="Yes",IF(COUNTBLANK('Capacity summary'!$H220:$BG220)&lt;52,IF('Capacity summary'!R220&lt;&gt;"",IF(LOWER('Capacity summary'!R220)="x",$BI101*R101,VALUE('Capacity summary'!R220)),0),R101*$BI101),R101*$BI101),0)</f>
        <v>0</v>
      </c>
      <c r="BV101" s="314">
        <f>IF($BI101&lt;&gt;"",IF('Capacity summary'!$D$14="Yes",IF(COUNTBLANK('Capacity summary'!$H220:$BG220)&lt;52,IF('Capacity summary'!S220&lt;&gt;"",IF(LOWER('Capacity summary'!S220)="x",$BI101*S101,VALUE('Capacity summary'!S220)),0),S101*$BI101),S101*$BI101),0)</f>
        <v>0</v>
      </c>
      <c r="BW101" s="314">
        <f>IF($BI101&lt;&gt;"",IF('Capacity summary'!$D$14="Yes",IF(COUNTBLANK('Capacity summary'!$H220:$BG220)&lt;52,IF('Capacity summary'!T220&lt;&gt;"",IF(LOWER('Capacity summary'!T220)="x",$BI101*T101,VALUE('Capacity summary'!T220)),0),T101*$BI101),T101*$BI101),0)</f>
        <v>0</v>
      </c>
      <c r="BX101" s="314">
        <f>IF($BI101&lt;&gt;"",IF('Capacity summary'!$D$14="Yes",IF(COUNTBLANK('Capacity summary'!$H220:$BG220)&lt;52,IF('Capacity summary'!U220&lt;&gt;"",IF(LOWER('Capacity summary'!U220)="x",$BI101*U101,VALUE('Capacity summary'!U220)),0),U101*$BI101),U101*$BI101),0)</f>
        <v>0</v>
      </c>
      <c r="BY101" s="314">
        <f>IF($BI101&lt;&gt;"",IF('Capacity summary'!$D$14="Yes",IF(COUNTBLANK('Capacity summary'!$H220:$BG220)&lt;52,IF('Capacity summary'!V220&lt;&gt;"",IF(LOWER('Capacity summary'!V220)="x",$BI101*V101,VALUE('Capacity summary'!V220)),0),V101*$BI101),V101*$BI101),0)</f>
        <v>0</v>
      </c>
      <c r="BZ101" s="314">
        <f>IF($BI101&lt;&gt;"",IF('Capacity summary'!$D$14="Yes",IF(COUNTBLANK('Capacity summary'!$H220:$BG220)&lt;52,IF('Capacity summary'!W220&lt;&gt;"",IF(LOWER('Capacity summary'!W220)="x",$BI101*W101,VALUE('Capacity summary'!W220)),0),W101*$BI101),W101*$BI101),0)</f>
        <v>0</v>
      </c>
      <c r="CA101" s="314">
        <f>IF($BI101&lt;&gt;"",IF('Capacity summary'!$D$14="Yes",IF(COUNTBLANK('Capacity summary'!$H220:$BG220)&lt;52,IF('Capacity summary'!X220&lt;&gt;"",IF(LOWER('Capacity summary'!X220)="x",$BI101*X101,VALUE('Capacity summary'!X220)),0),X101*$BI101),X101*$BI101),0)</f>
        <v>0</v>
      </c>
      <c r="CB101" s="314">
        <f>IF($BI101&lt;&gt;"",IF('Capacity summary'!$D$14="Yes",IF(COUNTBLANK('Capacity summary'!$H220:$BG220)&lt;52,IF('Capacity summary'!Y220&lt;&gt;"",IF(LOWER('Capacity summary'!Y220)="x",$BI101*Y101,VALUE('Capacity summary'!Y220)),0),Y101*$BI101),Y101*$BI101),0)</f>
        <v>0</v>
      </c>
      <c r="CC101" s="314">
        <f>IF($BI101&lt;&gt;"",IF('Capacity summary'!$D$14="Yes",IF(COUNTBLANK('Capacity summary'!$H220:$BG220)&lt;52,IF('Capacity summary'!Z220&lt;&gt;"",IF(LOWER('Capacity summary'!Z220)="x",$BI101*Z101,VALUE('Capacity summary'!Z220)),0),Z101*$BI101),Z101*$BI101),0)</f>
        <v>0</v>
      </c>
      <c r="CD101" s="314">
        <f>IF($BI101&lt;&gt;"",IF('Capacity summary'!$D$14="Yes",IF(COUNTBLANK('Capacity summary'!$H220:$BG220)&lt;52,IF('Capacity summary'!AA220&lt;&gt;"",IF(LOWER('Capacity summary'!AA220)="x",$BI101*AA101,VALUE('Capacity summary'!AA220)),0),AA101*$BI101),AA101*$BI101),0)</f>
        <v>0</v>
      </c>
      <c r="CE101" s="314">
        <f>IF($BI101&lt;&gt;"",IF('Capacity summary'!$D$14="Yes",IF(COUNTBLANK('Capacity summary'!$H220:$BG220)&lt;52,IF('Capacity summary'!AB220&lt;&gt;"",IF(LOWER('Capacity summary'!AB220)="x",$BI101*AB101,VALUE('Capacity summary'!AB220)),0),AB101*$BI101),AB101*$BI101),0)</f>
        <v>0</v>
      </c>
      <c r="CF101" s="314">
        <f>IF($BI101&lt;&gt;"",IF('Capacity summary'!$D$14="Yes",IF(COUNTBLANK('Capacity summary'!$H220:$BG220)&lt;52,IF('Capacity summary'!AC220&lt;&gt;"",IF(LOWER('Capacity summary'!AC220)="x",$BI101*AC101,VALUE('Capacity summary'!AC220)),0),AC101*$BI101),AC101*$BI101),0)</f>
        <v>0</v>
      </c>
      <c r="CG101" s="314">
        <f>IF($BI101&lt;&gt;"",IF('Capacity summary'!$D$14="Yes",IF(COUNTBLANK('Capacity summary'!$H220:$BG220)&lt;52,IF('Capacity summary'!AD220&lt;&gt;"",IF(LOWER('Capacity summary'!AD220)="x",$BI101*AD101,VALUE('Capacity summary'!AD220)),0),AD101*$BI101),AD101*$BI101),0)</f>
        <v>0</v>
      </c>
      <c r="CH101" s="314">
        <f>IF($BI101&lt;&gt;"",IF('Capacity summary'!$D$14="Yes",IF(COUNTBLANK('Capacity summary'!$H220:$BG220)&lt;52,IF('Capacity summary'!AE220&lt;&gt;"",IF(LOWER('Capacity summary'!AE220)="x",$BI101*AE101,VALUE('Capacity summary'!AE220)),0),AE101*$BI101),AE101*$BI101),0)</f>
        <v>0</v>
      </c>
      <c r="CI101" s="314">
        <f>IF($BI101&lt;&gt;"",IF('Capacity summary'!$D$14="Yes",IF(COUNTBLANK('Capacity summary'!$H220:$BG220)&lt;52,IF('Capacity summary'!AF220&lt;&gt;"",IF(LOWER('Capacity summary'!AF220)="x",$BI101*AF101,VALUE('Capacity summary'!AF220)),0),AF101*$BI101),AF101*$BI101),0)</f>
        <v>0</v>
      </c>
      <c r="CJ101" s="314">
        <f>IF($BI101&lt;&gt;"",IF('Capacity summary'!$D$14="Yes",IF(COUNTBLANK('Capacity summary'!$H220:$BG220)&lt;52,IF('Capacity summary'!AG220&lt;&gt;"",IF(LOWER('Capacity summary'!AG220)="x",$BI101*AG101,VALUE('Capacity summary'!AG220)),0),AG101*$BI101),AG101*$BI101),0)</f>
        <v>0</v>
      </c>
      <c r="CK101" s="314">
        <f>IF($BI101&lt;&gt;"",IF('Capacity summary'!$D$14="Yes",IF(COUNTBLANK('Capacity summary'!$H220:$BG220)&lt;52,IF('Capacity summary'!AH220&lt;&gt;"",IF(LOWER('Capacity summary'!AH220)="x",$BI101*AH101,VALUE('Capacity summary'!AH220)),0),AH101*$BI101),AH101*$BI101),0)</f>
        <v>0</v>
      </c>
      <c r="CL101" s="314">
        <f>IF($BI101&lt;&gt;"",IF('Capacity summary'!$D$14="Yes",IF(COUNTBLANK('Capacity summary'!$H220:$BG220)&lt;52,IF('Capacity summary'!AI220&lt;&gt;"",IF(LOWER('Capacity summary'!AI220)="x",$BI101*AI101,VALUE('Capacity summary'!AI220)),0),AI101*$BI101),AI101*$BI101),0)</f>
        <v>0</v>
      </c>
      <c r="CM101" s="314">
        <f>IF($BI101&lt;&gt;"",IF('Capacity summary'!$D$14="Yes",IF(COUNTBLANK('Capacity summary'!$H220:$BG220)&lt;52,IF('Capacity summary'!AJ220&lt;&gt;"",IF(LOWER('Capacity summary'!AJ220)="x",$BI101*AJ101,VALUE('Capacity summary'!AJ220)),0),AJ101*$BI101),AJ101*$BI101),0)</f>
        <v>0</v>
      </c>
      <c r="CN101" s="314">
        <f>IF($BI101&lt;&gt;"",IF('Capacity summary'!$D$14="Yes",IF(COUNTBLANK('Capacity summary'!$H220:$BG220)&lt;52,IF('Capacity summary'!AK220&lt;&gt;"",IF(LOWER('Capacity summary'!AK220)="x",$BI101*AK101,VALUE('Capacity summary'!AK220)),0),AK101*$BI101),AK101*$BI101),0)</f>
        <v>0</v>
      </c>
      <c r="CO101" s="314">
        <f>IF($BI101&lt;&gt;"",IF('Capacity summary'!$D$14="Yes",IF(COUNTBLANK('Capacity summary'!$H220:$BG220)&lt;52,IF('Capacity summary'!AL220&lt;&gt;"",IF(LOWER('Capacity summary'!AL220)="x",$BI101*AL101,VALUE('Capacity summary'!AL220)),0),AL101*$BI101),AL101*$BI101),0)</f>
        <v>0</v>
      </c>
      <c r="CP101" s="314">
        <f>IF($BI101&lt;&gt;"",IF('Capacity summary'!$D$14="Yes",IF(COUNTBLANK('Capacity summary'!$H220:$BG220)&lt;52,IF('Capacity summary'!AM220&lt;&gt;"",IF(LOWER('Capacity summary'!AM220)="x",$BI101*AM101,VALUE('Capacity summary'!AM220)),0),AM101*$BI101),AM101*$BI101),0)</f>
        <v>0</v>
      </c>
      <c r="CQ101" s="314">
        <f>IF($BI101&lt;&gt;"",IF('Capacity summary'!$D$14="Yes",IF(COUNTBLANK('Capacity summary'!$H220:$BG220)&lt;52,IF('Capacity summary'!AN220&lt;&gt;"",IF(LOWER('Capacity summary'!AN220)="x",$BI101*AN101,VALUE('Capacity summary'!AN220)),0),AN101*$BI101),AN101*$BI101),0)</f>
        <v>0</v>
      </c>
      <c r="CR101" s="314">
        <f>IF($BI101&lt;&gt;"",IF('Capacity summary'!$D$14="Yes",IF(COUNTBLANK('Capacity summary'!$H220:$BG220)&lt;52,IF('Capacity summary'!AO220&lt;&gt;"",IF(LOWER('Capacity summary'!AO220)="x",$BI101*AO101,VALUE('Capacity summary'!AO220)),0),AO101*$BI101),AO101*$BI101),0)</f>
        <v>0</v>
      </c>
      <c r="CS101" s="314">
        <f>IF($BI101&lt;&gt;"",IF('Capacity summary'!$D$14="Yes",IF(COUNTBLANK('Capacity summary'!$H220:$BG220)&lt;52,IF('Capacity summary'!AP220&lt;&gt;"",IF(LOWER('Capacity summary'!AP220)="x",$BI101*AP101,VALUE('Capacity summary'!AP220)),0),AP101*$BI101),AP101*$BI101),0)</f>
        <v>0</v>
      </c>
      <c r="CT101" s="314">
        <f>IF($BI101&lt;&gt;"",IF('Capacity summary'!$D$14="Yes",IF(COUNTBLANK('Capacity summary'!$H220:$BG220)&lt;52,IF('Capacity summary'!AQ220&lt;&gt;"",IF(LOWER('Capacity summary'!AQ220)="x",$BI101*AQ101,VALUE('Capacity summary'!AQ220)),0),AQ101*$BI101),AQ101*$BI101),0)</f>
        <v>0</v>
      </c>
      <c r="CU101" s="314">
        <f>IF($BI101&lt;&gt;"",IF('Capacity summary'!$D$14="Yes",IF(COUNTBLANK('Capacity summary'!$H220:$BG220)&lt;52,IF('Capacity summary'!AR220&lt;&gt;"",IF(LOWER('Capacity summary'!AR220)="x",$BI101*AR101,VALUE('Capacity summary'!AR220)),0),AR101*$BI101),AR101*$BI101),0)</f>
        <v>0</v>
      </c>
      <c r="CV101" s="314">
        <f>IF($BI101&lt;&gt;"",IF('Capacity summary'!$D$14="Yes",IF(COUNTBLANK('Capacity summary'!$H220:$BG220)&lt;52,IF('Capacity summary'!AS220&lt;&gt;"",IF(LOWER('Capacity summary'!AS220)="x",$BI101*AS101,VALUE('Capacity summary'!AS220)),0),AS101*$BI101),AS101*$BI101),0)</f>
        <v>0</v>
      </c>
      <c r="CW101" s="314">
        <f>IF($BI101&lt;&gt;"",IF('Capacity summary'!$D$14="Yes",IF(COUNTBLANK('Capacity summary'!$H220:$BG220)&lt;52,IF('Capacity summary'!AT220&lt;&gt;"",IF(LOWER('Capacity summary'!AT220)="x",$BI101*AT101,VALUE('Capacity summary'!AT220)),0),AT101*$BI101),AT101*$BI101),0)</f>
        <v>0</v>
      </c>
      <c r="CX101" s="314">
        <f>IF($BI101&lt;&gt;"",IF('Capacity summary'!$D$14="Yes",IF(COUNTBLANK('Capacity summary'!$H220:$BG220)&lt;52,IF('Capacity summary'!AU220&lt;&gt;"",IF(LOWER('Capacity summary'!AU220)="x",$BI101*AU101,VALUE('Capacity summary'!AU220)),0),AU101*$BI101),AU101*$BI101),0)</f>
        <v>0</v>
      </c>
      <c r="CY101" s="314">
        <f>IF($BI101&lt;&gt;"",IF('Capacity summary'!$D$14="Yes",IF(COUNTBLANK('Capacity summary'!$H220:$BG220)&lt;52,IF('Capacity summary'!AV220&lt;&gt;"",IF(LOWER('Capacity summary'!AV220)="x",$BI101*AV101,VALUE('Capacity summary'!AV220)),0),AV101*$BI101),AV101*$BI101),0)</f>
        <v>0</v>
      </c>
      <c r="CZ101" s="314">
        <f>IF($BI101&lt;&gt;"",IF('Capacity summary'!$D$14="Yes",IF(COUNTBLANK('Capacity summary'!$H220:$BG220)&lt;52,IF('Capacity summary'!AW220&lt;&gt;"",IF(LOWER('Capacity summary'!AW220)="x",$BI101*AW101,VALUE('Capacity summary'!AW220)),0),AW101*$BI101),AW101*$BI101),0)</f>
        <v>0</v>
      </c>
      <c r="DA101" s="314">
        <f>IF($BI101&lt;&gt;"",IF('Capacity summary'!$D$14="Yes",IF(COUNTBLANK('Capacity summary'!$H220:$BG220)&lt;52,IF('Capacity summary'!AX220&lt;&gt;"",IF(LOWER('Capacity summary'!AX220)="x",$BI101*AX101,VALUE('Capacity summary'!AX220)),0),AX101*$BI101),AX101*$BI101),0)</f>
        <v>0</v>
      </c>
      <c r="DB101" s="314">
        <f>IF($BI101&lt;&gt;"",IF('Capacity summary'!$D$14="Yes",IF(COUNTBLANK('Capacity summary'!$H220:$BG220)&lt;52,IF('Capacity summary'!AY220&lt;&gt;"",IF(LOWER('Capacity summary'!AY220)="x",$BI101*AY101,VALUE('Capacity summary'!AY220)),0),AY101*$BI101),AY101*$BI101),0)</f>
        <v>0</v>
      </c>
      <c r="DC101" s="314">
        <f>IF($BI101&lt;&gt;"",IF('Capacity summary'!$D$14="Yes",IF(COUNTBLANK('Capacity summary'!$H220:$BG220)&lt;52,IF('Capacity summary'!AZ220&lt;&gt;"",IF(LOWER('Capacity summary'!AZ220)="x",$BI101*AZ101,VALUE('Capacity summary'!AZ220)),0),AZ101*$BI101),AZ101*$BI101),0)</f>
        <v>0</v>
      </c>
      <c r="DD101" s="314">
        <f>IF($BI101&lt;&gt;"",IF('Capacity summary'!$D$14="Yes",IF(COUNTBLANK('Capacity summary'!$H220:$BG220)&lt;52,IF('Capacity summary'!BA220&lt;&gt;"",IF(LOWER('Capacity summary'!BA220)="x",$BI101*BA101,VALUE('Capacity summary'!BA220)),0),BA101*$BI101),BA101*$BI101),0)</f>
        <v>0</v>
      </c>
      <c r="DE101" s="314">
        <f>IF($BI101&lt;&gt;"",IF('Capacity summary'!$D$14="Yes",IF(COUNTBLANK('Capacity summary'!$H220:$BG220)&lt;52,IF('Capacity summary'!BB220&lt;&gt;"",IF(LOWER('Capacity summary'!BB220)="x",$BI101*BB101,VALUE('Capacity summary'!BB220)),0),BB101*$BI101),BB101*$BI101),0)</f>
        <v>0</v>
      </c>
      <c r="DF101" s="314">
        <f>IF($BI101&lt;&gt;"",IF('Capacity summary'!$D$14="Yes",IF(COUNTBLANK('Capacity summary'!$H220:$BG220)&lt;52,IF('Capacity summary'!BC220&lt;&gt;"",IF(LOWER('Capacity summary'!BC220)="x",$BI101*BC101,VALUE('Capacity summary'!BC220)),0),BC101*$BI101),BC101*$BI101),0)</f>
        <v>0</v>
      </c>
      <c r="DG101" s="314">
        <f>IF($BI101&lt;&gt;"",IF('Capacity summary'!$D$14="Yes",IF(COUNTBLANK('Capacity summary'!$H220:$BG220)&lt;52,IF('Capacity summary'!BD220&lt;&gt;"",IF(LOWER('Capacity summary'!BD220)="x",$BI101*BD101,VALUE('Capacity summary'!BD220)),0),BD101*$BI101),BD101*$BI101),0)</f>
        <v>0</v>
      </c>
      <c r="DH101" s="314">
        <f>IF($BI101&lt;&gt;"",IF('Capacity summary'!$D$14="Yes",IF(COUNTBLANK('Capacity summary'!$H220:$BG220)&lt;52,IF('Capacity summary'!BE220&lt;&gt;"",IF(LOWER('Capacity summary'!BE220)="x",$BI101*BE101,VALUE('Capacity summary'!BE220)),0),BE101*$BI101),BE101*$BI101),0)</f>
        <v>0</v>
      </c>
      <c r="DI101" s="314">
        <f>IF($BI101&lt;&gt;"",IF('Capacity summary'!$D$14="Yes",IF(COUNTBLANK('Capacity summary'!$H220:$BG220)&lt;52,IF('Capacity summary'!BF220&lt;&gt;"",IF(LOWER('Capacity summary'!BF220)="x",$BI101*BF101,VALUE('Capacity summary'!BF220)),0),BF101*$BI101),BF101*$BI101),0)</f>
        <v>0</v>
      </c>
      <c r="DJ101" s="314">
        <f>IF($BI101&lt;&gt;"",IF('Capacity summary'!$D$14="Yes",IF(COUNTBLANK('Capacity summary'!$H220:$BG220)&lt;52,IF('Capacity summary'!BG220&lt;&gt;"",IF(LOWER('Capacity summary'!BG220)="x",$BI101*BG101,VALUE('Capacity summary'!BG220)),0),BG101*$BI101),BG101*$BI101),0)</f>
        <v>0</v>
      </c>
      <c r="DK101" s="137">
        <f t="shared" si="3"/>
        <v>0</v>
      </c>
      <c r="DL101" s="314"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4">
        <f>IF($BI102&lt;&gt;"",IF('Capacity summary'!$D$14="Yes",IF(COUNTBLANK('Capacity summary'!$H221:$BG221)&lt;52,IF('Capacity summary'!H221&lt;&gt;"",IF(LOWER('Capacity summary'!H221)="x",$BI102*H102,VALUE('Capacity summary'!H221)),0),H102*$BI102),H102*$BI102),0)</f>
        <v>0</v>
      </c>
      <c r="BL102" s="314">
        <f>IF($BI102&lt;&gt;"",IF('Capacity summary'!$D$14="Yes",IF(COUNTBLANK('Capacity summary'!$H221:$BG221)&lt;52,IF('Capacity summary'!I221&lt;&gt;"",IF(LOWER('Capacity summary'!I221)="x",$BI102*I102,VALUE('Capacity summary'!I221)),0),I102*$BI102),I102*$BI102),0)</f>
        <v>0</v>
      </c>
      <c r="BM102" s="314">
        <f>IF($BI102&lt;&gt;"",IF('Capacity summary'!$D$14="Yes",IF(COUNTBLANK('Capacity summary'!$H221:$BG221)&lt;52,IF('Capacity summary'!J221&lt;&gt;"",IF(LOWER('Capacity summary'!J221)="x",$BI102*J102,VALUE('Capacity summary'!J221)),0),J102*$BI102),J102*$BI102),0)</f>
        <v>0</v>
      </c>
      <c r="BN102" s="314">
        <f>IF($BI102&lt;&gt;"",IF('Capacity summary'!$D$14="Yes",IF(COUNTBLANK('Capacity summary'!$H221:$BG221)&lt;52,IF('Capacity summary'!K221&lt;&gt;"",IF(LOWER('Capacity summary'!K221)="x",$BI102*K102,VALUE('Capacity summary'!K221)),0),K102*$BI102),K102*$BI102),0)</f>
        <v>0</v>
      </c>
      <c r="BO102" s="314">
        <f>IF($BI102&lt;&gt;"",IF('Capacity summary'!$D$14="Yes",IF(COUNTBLANK('Capacity summary'!$H221:$BG221)&lt;52,IF('Capacity summary'!L221&lt;&gt;"",IF(LOWER('Capacity summary'!L221)="x",$BI102*L102,VALUE('Capacity summary'!L221)),0),L102*$BI102),L102*$BI102),0)</f>
        <v>0</v>
      </c>
      <c r="BP102" s="314">
        <f>IF($BI102&lt;&gt;"",IF('Capacity summary'!$D$14="Yes",IF(COUNTBLANK('Capacity summary'!$H221:$BG221)&lt;52,IF('Capacity summary'!M221&lt;&gt;"",IF(LOWER('Capacity summary'!M221)="x",$BI102*M102,VALUE('Capacity summary'!M221)),0),M102*$BI102),M102*$BI102),0)</f>
        <v>0</v>
      </c>
      <c r="BQ102" s="314">
        <f>IF($BI102&lt;&gt;"",IF('Capacity summary'!$D$14="Yes",IF(COUNTBLANK('Capacity summary'!$H221:$BG221)&lt;52,IF('Capacity summary'!N221&lt;&gt;"",IF(LOWER('Capacity summary'!N221)="x",$BI102*N102,VALUE('Capacity summary'!N221)),0),N102*$BI102),N102*$BI102),0)</f>
        <v>0</v>
      </c>
      <c r="BR102" s="314">
        <f>IF($BI102&lt;&gt;"",IF('Capacity summary'!$D$14="Yes",IF(COUNTBLANK('Capacity summary'!$H221:$BG221)&lt;52,IF('Capacity summary'!O221&lt;&gt;"",IF(LOWER('Capacity summary'!O221)="x",$BI102*O102,VALUE('Capacity summary'!O221)),0),O102*$BI102),O102*$BI102),0)</f>
        <v>0</v>
      </c>
      <c r="BS102" s="314">
        <f>IF($BI102&lt;&gt;"",IF('Capacity summary'!$D$14="Yes",IF(COUNTBLANK('Capacity summary'!$H221:$BG221)&lt;52,IF('Capacity summary'!P221&lt;&gt;"",IF(LOWER('Capacity summary'!P221)="x",$BI102*P102,VALUE('Capacity summary'!P221)),0),P102*$BI102),P102*$BI102),0)</f>
        <v>0</v>
      </c>
      <c r="BT102" s="314">
        <f>IF($BI102&lt;&gt;"",IF('Capacity summary'!$D$14="Yes",IF(COUNTBLANK('Capacity summary'!$H221:$BG221)&lt;52,IF('Capacity summary'!Q221&lt;&gt;"",IF(LOWER('Capacity summary'!Q221)="x",$BI102*Q102,VALUE('Capacity summary'!Q221)),0),Q102*$BI102),Q102*$BI102),0)</f>
        <v>0</v>
      </c>
      <c r="BU102" s="314">
        <f>IF($BI102&lt;&gt;"",IF('Capacity summary'!$D$14="Yes",IF(COUNTBLANK('Capacity summary'!$H221:$BG221)&lt;52,IF('Capacity summary'!R221&lt;&gt;"",IF(LOWER('Capacity summary'!R221)="x",$BI102*R102,VALUE('Capacity summary'!R221)),0),R102*$BI102),R102*$BI102),0)</f>
        <v>0</v>
      </c>
      <c r="BV102" s="314">
        <f>IF($BI102&lt;&gt;"",IF('Capacity summary'!$D$14="Yes",IF(COUNTBLANK('Capacity summary'!$H221:$BG221)&lt;52,IF('Capacity summary'!S221&lt;&gt;"",IF(LOWER('Capacity summary'!S221)="x",$BI102*S102,VALUE('Capacity summary'!S221)),0),S102*$BI102),S102*$BI102),0)</f>
        <v>0</v>
      </c>
      <c r="BW102" s="314">
        <f>IF($BI102&lt;&gt;"",IF('Capacity summary'!$D$14="Yes",IF(COUNTBLANK('Capacity summary'!$H221:$BG221)&lt;52,IF('Capacity summary'!T221&lt;&gt;"",IF(LOWER('Capacity summary'!T221)="x",$BI102*T102,VALUE('Capacity summary'!T221)),0),T102*$BI102),T102*$BI102),0)</f>
        <v>0</v>
      </c>
      <c r="BX102" s="314">
        <f>IF($BI102&lt;&gt;"",IF('Capacity summary'!$D$14="Yes",IF(COUNTBLANK('Capacity summary'!$H221:$BG221)&lt;52,IF('Capacity summary'!U221&lt;&gt;"",IF(LOWER('Capacity summary'!U221)="x",$BI102*U102,VALUE('Capacity summary'!U221)),0),U102*$BI102),U102*$BI102),0)</f>
        <v>0</v>
      </c>
      <c r="BY102" s="314">
        <f>IF($BI102&lt;&gt;"",IF('Capacity summary'!$D$14="Yes",IF(COUNTBLANK('Capacity summary'!$H221:$BG221)&lt;52,IF('Capacity summary'!V221&lt;&gt;"",IF(LOWER('Capacity summary'!V221)="x",$BI102*V102,VALUE('Capacity summary'!V221)),0),V102*$BI102),V102*$BI102),0)</f>
        <v>0</v>
      </c>
      <c r="BZ102" s="314">
        <f>IF($BI102&lt;&gt;"",IF('Capacity summary'!$D$14="Yes",IF(COUNTBLANK('Capacity summary'!$H221:$BG221)&lt;52,IF('Capacity summary'!W221&lt;&gt;"",IF(LOWER('Capacity summary'!W221)="x",$BI102*W102,VALUE('Capacity summary'!W221)),0),W102*$BI102),W102*$BI102),0)</f>
        <v>0</v>
      </c>
      <c r="CA102" s="314">
        <f>IF($BI102&lt;&gt;"",IF('Capacity summary'!$D$14="Yes",IF(COUNTBLANK('Capacity summary'!$H221:$BG221)&lt;52,IF('Capacity summary'!X221&lt;&gt;"",IF(LOWER('Capacity summary'!X221)="x",$BI102*X102,VALUE('Capacity summary'!X221)),0),X102*$BI102),X102*$BI102),0)</f>
        <v>0</v>
      </c>
      <c r="CB102" s="314">
        <f>IF($BI102&lt;&gt;"",IF('Capacity summary'!$D$14="Yes",IF(COUNTBLANK('Capacity summary'!$H221:$BG221)&lt;52,IF('Capacity summary'!Y221&lt;&gt;"",IF(LOWER('Capacity summary'!Y221)="x",$BI102*Y102,VALUE('Capacity summary'!Y221)),0),Y102*$BI102),Y102*$BI102),0)</f>
        <v>0</v>
      </c>
      <c r="CC102" s="314">
        <f>IF($BI102&lt;&gt;"",IF('Capacity summary'!$D$14="Yes",IF(COUNTBLANK('Capacity summary'!$H221:$BG221)&lt;52,IF('Capacity summary'!Z221&lt;&gt;"",IF(LOWER('Capacity summary'!Z221)="x",$BI102*Z102,VALUE('Capacity summary'!Z221)),0),Z102*$BI102),Z102*$BI102),0)</f>
        <v>0</v>
      </c>
      <c r="CD102" s="314">
        <f>IF($BI102&lt;&gt;"",IF('Capacity summary'!$D$14="Yes",IF(COUNTBLANK('Capacity summary'!$H221:$BG221)&lt;52,IF('Capacity summary'!AA221&lt;&gt;"",IF(LOWER('Capacity summary'!AA221)="x",$BI102*AA102,VALUE('Capacity summary'!AA221)),0),AA102*$BI102),AA102*$BI102),0)</f>
        <v>0</v>
      </c>
      <c r="CE102" s="314">
        <f>IF($BI102&lt;&gt;"",IF('Capacity summary'!$D$14="Yes",IF(COUNTBLANK('Capacity summary'!$H221:$BG221)&lt;52,IF('Capacity summary'!AB221&lt;&gt;"",IF(LOWER('Capacity summary'!AB221)="x",$BI102*AB102,VALUE('Capacity summary'!AB221)),0),AB102*$BI102),AB102*$BI102),0)</f>
        <v>0</v>
      </c>
      <c r="CF102" s="314">
        <f>IF($BI102&lt;&gt;"",IF('Capacity summary'!$D$14="Yes",IF(COUNTBLANK('Capacity summary'!$H221:$BG221)&lt;52,IF('Capacity summary'!AC221&lt;&gt;"",IF(LOWER('Capacity summary'!AC221)="x",$BI102*AC102,VALUE('Capacity summary'!AC221)),0),AC102*$BI102),AC102*$BI102),0)</f>
        <v>0</v>
      </c>
      <c r="CG102" s="314">
        <f>IF($BI102&lt;&gt;"",IF('Capacity summary'!$D$14="Yes",IF(COUNTBLANK('Capacity summary'!$H221:$BG221)&lt;52,IF('Capacity summary'!AD221&lt;&gt;"",IF(LOWER('Capacity summary'!AD221)="x",$BI102*AD102,VALUE('Capacity summary'!AD221)),0),AD102*$BI102),AD102*$BI102),0)</f>
        <v>0</v>
      </c>
      <c r="CH102" s="314">
        <f>IF($BI102&lt;&gt;"",IF('Capacity summary'!$D$14="Yes",IF(COUNTBLANK('Capacity summary'!$H221:$BG221)&lt;52,IF('Capacity summary'!AE221&lt;&gt;"",IF(LOWER('Capacity summary'!AE221)="x",$BI102*AE102,VALUE('Capacity summary'!AE221)),0),AE102*$BI102),AE102*$BI102),0)</f>
        <v>0</v>
      </c>
      <c r="CI102" s="314">
        <f>IF($BI102&lt;&gt;"",IF('Capacity summary'!$D$14="Yes",IF(COUNTBLANK('Capacity summary'!$H221:$BG221)&lt;52,IF('Capacity summary'!AF221&lt;&gt;"",IF(LOWER('Capacity summary'!AF221)="x",$BI102*AF102,VALUE('Capacity summary'!AF221)),0),AF102*$BI102),AF102*$BI102),0)</f>
        <v>0</v>
      </c>
      <c r="CJ102" s="314">
        <f>IF($BI102&lt;&gt;"",IF('Capacity summary'!$D$14="Yes",IF(COUNTBLANK('Capacity summary'!$H221:$BG221)&lt;52,IF('Capacity summary'!AG221&lt;&gt;"",IF(LOWER('Capacity summary'!AG221)="x",$BI102*AG102,VALUE('Capacity summary'!AG221)),0),AG102*$BI102),AG102*$BI102),0)</f>
        <v>0</v>
      </c>
      <c r="CK102" s="314">
        <f>IF($BI102&lt;&gt;"",IF('Capacity summary'!$D$14="Yes",IF(COUNTBLANK('Capacity summary'!$H221:$BG221)&lt;52,IF('Capacity summary'!AH221&lt;&gt;"",IF(LOWER('Capacity summary'!AH221)="x",$BI102*AH102,VALUE('Capacity summary'!AH221)),0),AH102*$BI102),AH102*$BI102),0)</f>
        <v>0</v>
      </c>
      <c r="CL102" s="314">
        <f>IF($BI102&lt;&gt;"",IF('Capacity summary'!$D$14="Yes",IF(COUNTBLANK('Capacity summary'!$H221:$BG221)&lt;52,IF('Capacity summary'!AI221&lt;&gt;"",IF(LOWER('Capacity summary'!AI221)="x",$BI102*AI102,VALUE('Capacity summary'!AI221)),0),AI102*$BI102),AI102*$BI102),0)</f>
        <v>0</v>
      </c>
      <c r="CM102" s="314">
        <f>IF($BI102&lt;&gt;"",IF('Capacity summary'!$D$14="Yes",IF(COUNTBLANK('Capacity summary'!$H221:$BG221)&lt;52,IF('Capacity summary'!AJ221&lt;&gt;"",IF(LOWER('Capacity summary'!AJ221)="x",$BI102*AJ102,VALUE('Capacity summary'!AJ221)),0),AJ102*$BI102),AJ102*$BI102),0)</f>
        <v>0</v>
      </c>
      <c r="CN102" s="314">
        <f>IF($BI102&lt;&gt;"",IF('Capacity summary'!$D$14="Yes",IF(COUNTBLANK('Capacity summary'!$H221:$BG221)&lt;52,IF('Capacity summary'!AK221&lt;&gt;"",IF(LOWER('Capacity summary'!AK221)="x",$BI102*AK102,VALUE('Capacity summary'!AK221)),0),AK102*$BI102),AK102*$BI102),0)</f>
        <v>0</v>
      </c>
      <c r="CO102" s="314">
        <f>IF($BI102&lt;&gt;"",IF('Capacity summary'!$D$14="Yes",IF(COUNTBLANK('Capacity summary'!$H221:$BG221)&lt;52,IF('Capacity summary'!AL221&lt;&gt;"",IF(LOWER('Capacity summary'!AL221)="x",$BI102*AL102,VALUE('Capacity summary'!AL221)),0),AL102*$BI102),AL102*$BI102),0)</f>
        <v>0</v>
      </c>
      <c r="CP102" s="314">
        <f>IF($BI102&lt;&gt;"",IF('Capacity summary'!$D$14="Yes",IF(COUNTBLANK('Capacity summary'!$H221:$BG221)&lt;52,IF('Capacity summary'!AM221&lt;&gt;"",IF(LOWER('Capacity summary'!AM221)="x",$BI102*AM102,VALUE('Capacity summary'!AM221)),0),AM102*$BI102),AM102*$BI102),0)</f>
        <v>0</v>
      </c>
      <c r="CQ102" s="314">
        <f>IF($BI102&lt;&gt;"",IF('Capacity summary'!$D$14="Yes",IF(COUNTBLANK('Capacity summary'!$H221:$BG221)&lt;52,IF('Capacity summary'!AN221&lt;&gt;"",IF(LOWER('Capacity summary'!AN221)="x",$BI102*AN102,VALUE('Capacity summary'!AN221)),0),AN102*$BI102),AN102*$BI102),0)</f>
        <v>0</v>
      </c>
      <c r="CR102" s="314">
        <f>IF($BI102&lt;&gt;"",IF('Capacity summary'!$D$14="Yes",IF(COUNTBLANK('Capacity summary'!$H221:$BG221)&lt;52,IF('Capacity summary'!AO221&lt;&gt;"",IF(LOWER('Capacity summary'!AO221)="x",$BI102*AO102,VALUE('Capacity summary'!AO221)),0),AO102*$BI102),AO102*$BI102),0)</f>
        <v>0</v>
      </c>
      <c r="CS102" s="314">
        <f>IF($BI102&lt;&gt;"",IF('Capacity summary'!$D$14="Yes",IF(COUNTBLANK('Capacity summary'!$H221:$BG221)&lt;52,IF('Capacity summary'!AP221&lt;&gt;"",IF(LOWER('Capacity summary'!AP221)="x",$BI102*AP102,VALUE('Capacity summary'!AP221)),0),AP102*$BI102),AP102*$BI102),0)</f>
        <v>0</v>
      </c>
      <c r="CT102" s="314">
        <f>IF($BI102&lt;&gt;"",IF('Capacity summary'!$D$14="Yes",IF(COUNTBLANK('Capacity summary'!$H221:$BG221)&lt;52,IF('Capacity summary'!AQ221&lt;&gt;"",IF(LOWER('Capacity summary'!AQ221)="x",$BI102*AQ102,VALUE('Capacity summary'!AQ221)),0),AQ102*$BI102),AQ102*$BI102),0)</f>
        <v>0</v>
      </c>
      <c r="CU102" s="314">
        <f>IF($BI102&lt;&gt;"",IF('Capacity summary'!$D$14="Yes",IF(COUNTBLANK('Capacity summary'!$H221:$BG221)&lt;52,IF('Capacity summary'!AR221&lt;&gt;"",IF(LOWER('Capacity summary'!AR221)="x",$BI102*AR102,VALUE('Capacity summary'!AR221)),0),AR102*$BI102),AR102*$BI102),0)</f>
        <v>0</v>
      </c>
      <c r="CV102" s="314">
        <f>IF($BI102&lt;&gt;"",IF('Capacity summary'!$D$14="Yes",IF(COUNTBLANK('Capacity summary'!$H221:$BG221)&lt;52,IF('Capacity summary'!AS221&lt;&gt;"",IF(LOWER('Capacity summary'!AS221)="x",$BI102*AS102,VALUE('Capacity summary'!AS221)),0),AS102*$BI102),AS102*$BI102),0)</f>
        <v>0</v>
      </c>
      <c r="CW102" s="314">
        <f>IF($BI102&lt;&gt;"",IF('Capacity summary'!$D$14="Yes",IF(COUNTBLANK('Capacity summary'!$H221:$BG221)&lt;52,IF('Capacity summary'!AT221&lt;&gt;"",IF(LOWER('Capacity summary'!AT221)="x",$BI102*AT102,VALUE('Capacity summary'!AT221)),0),AT102*$BI102),AT102*$BI102),0)</f>
        <v>0</v>
      </c>
      <c r="CX102" s="314">
        <f>IF($BI102&lt;&gt;"",IF('Capacity summary'!$D$14="Yes",IF(COUNTBLANK('Capacity summary'!$H221:$BG221)&lt;52,IF('Capacity summary'!AU221&lt;&gt;"",IF(LOWER('Capacity summary'!AU221)="x",$BI102*AU102,VALUE('Capacity summary'!AU221)),0),AU102*$BI102),AU102*$BI102),0)</f>
        <v>0</v>
      </c>
      <c r="CY102" s="314">
        <f>IF($BI102&lt;&gt;"",IF('Capacity summary'!$D$14="Yes",IF(COUNTBLANK('Capacity summary'!$H221:$BG221)&lt;52,IF('Capacity summary'!AV221&lt;&gt;"",IF(LOWER('Capacity summary'!AV221)="x",$BI102*AV102,VALUE('Capacity summary'!AV221)),0),AV102*$BI102),AV102*$BI102),0)</f>
        <v>0</v>
      </c>
      <c r="CZ102" s="314">
        <f>IF($BI102&lt;&gt;"",IF('Capacity summary'!$D$14="Yes",IF(COUNTBLANK('Capacity summary'!$H221:$BG221)&lt;52,IF('Capacity summary'!AW221&lt;&gt;"",IF(LOWER('Capacity summary'!AW221)="x",$BI102*AW102,VALUE('Capacity summary'!AW221)),0),AW102*$BI102),AW102*$BI102),0)</f>
        <v>0</v>
      </c>
      <c r="DA102" s="314">
        <f>IF($BI102&lt;&gt;"",IF('Capacity summary'!$D$14="Yes",IF(COUNTBLANK('Capacity summary'!$H221:$BG221)&lt;52,IF('Capacity summary'!AX221&lt;&gt;"",IF(LOWER('Capacity summary'!AX221)="x",$BI102*AX102,VALUE('Capacity summary'!AX221)),0),AX102*$BI102),AX102*$BI102),0)</f>
        <v>0</v>
      </c>
      <c r="DB102" s="314">
        <f>IF($BI102&lt;&gt;"",IF('Capacity summary'!$D$14="Yes",IF(COUNTBLANK('Capacity summary'!$H221:$BG221)&lt;52,IF('Capacity summary'!AY221&lt;&gt;"",IF(LOWER('Capacity summary'!AY221)="x",$BI102*AY102,VALUE('Capacity summary'!AY221)),0),AY102*$BI102),AY102*$BI102),0)</f>
        <v>0</v>
      </c>
      <c r="DC102" s="314">
        <f>IF($BI102&lt;&gt;"",IF('Capacity summary'!$D$14="Yes",IF(COUNTBLANK('Capacity summary'!$H221:$BG221)&lt;52,IF('Capacity summary'!AZ221&lt;&gt;"",IF(LOWER('Capacity summary'!AZ221)="x",$BI102*AZ102,VALUE('Capacity summary'!AZ221)),0),AZ102*$BI102),AZ102*$BI102),0)</f>
        <v>0</v>
      </c>
      <c r="DD102" s="314">
        <f>IF($BI102&lt;&gt;"",IF('Capacity summary'!$D$14="Yes",IF(COUNTBLANK('Capacity summary'!$H221:$BG221)&lt;52,IF('Capacity summary'!BA221&lt;&gt;"",IF(LOWER('Capacity summary'!BA221)="x",$BI102*BA102,VALUE('Capacity summary'!BA221)),0),BA102*$BI102),BA102*$BI102),0)</f>
        <v>0</v>
      </c>
      <c r="DE102" s="314">
        <f>IF($BI102&lt;&gt;"",IF('Capacity summary'!$D$14="Yes",IF(COUNTBLANK('Capacity summary'!$H221:$BG221)&lt;52,IF('Capacity summary'!BB221&lt;&gt;"",IF(LOWER('Capacity summary'!BB221)="x",$BI102*BB102,VALUE('Capacity summary'!BB221)),0),BB102*$BI102),BB102*$BI102),0)</f>
        <v>0</v>
      </c>
      <c r="DF102" s="314">
        <f>IF($BI102&lt;&gt;"",IF('Capacity summary'!$D$14="Yes",IF(COUNTBLANK('Capacity summary'!$H221:$BG221)&lt;52,IF('Capacity summary'!BC221&lt;&gt;"",IF(LOWER('Capacity summary'!BC221)="x",$BI102*BC102,VALUE('Capacity summary'!BC221)),0),BC102*$BI102),BC102*$BI102),0)</f>
        <v>0</v>
      </c>
      <c r="DG102" s="314">
        <f>IF($BI102&lt;&gt;"",IF('Capacity summary'!$D$14="Yes",IF(COUNTBLANK('Capacity summary'!$H221:$BG221)&lt;52,IF('Capacity summary'!BD221&lt;&gt;"",IF(LOWER('Capacity summary'!BD221)="x",$BI102*BD102,VALUE('Capacity summary'!BD221)),0),BD102*$BI102),BD102*$BI102),0)</f>
        <v>0</v>
      </c>
      <c r="DH102" s="314">
        <f>IF($BI102&lt;&gt;"",IF('Capacity summary'!$D$14="Yes",IF(COUNTBLANK('Capacity summary'!$H221:$BG221)&lt;52,IF('Capacity summary'!BE221&lt;&gt;"",IF(LOWER('Capacity summary'!BE221)="x",$BI102*BE102,VALUE('Capacity summary'!BE221)),0),BE102*$BI102),BE102*$BI102),0)</f>
        <v>0</v>
      </c>
      <c r="DI102" s="314">
        <f>IF($BI102&lt;&gt;"",IF('Capacity summary'!$D$14="Yes",IF(COUNTBLANK('Capacity summary'!$H221:$BG221)&lt;52,IF('Capacity summary'!BF221&lt;&gt;"",IF(LOWER('Capacity summary'!BF221)="x",$BI102*BF102,VALUE('Capacity summary'!BF221)),0),BF102*$BI102),BF102*$BI102),0)</f>
        <v>0</v>
      </c>
      <c r="DJ102" s="314">
        <f>IF($BI102&lt;&gt;"",IF('Capacity summary'!$D$14="Yes",IF(COUNTBLANK('Capacity summary'!$H221:$BG221)&lt;52,IF('Capacity summary'!BG221&lt;&gt;"",IF(LOWER('Capacity summary'!BG221)="x",$BI102*BG102,VALUE('Capacity summary'!BG221)),0),BG102*$BI102),BG102*$BI102),0)</f>
        <v>0</v>
      </c>
      <c r="DK102" s="137">
        <f t="shared" si="3"/>
        <v>0</v>
      </c>
      <c r="DL102" s="314"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4">
        <f>IF($BI103&lt;&gt;"",IF('Capacity summary'!$D$14="Yes",IF(COUNTBLANK('Capacity summary'!$H222:$BG222)&lt;52,IF('Capacity summary'!H222&lt;&gt;"",IF(LOWER('Capacity summary'!H222)="x",$BI103*H103,VALUE('Capacity summary'!H222)),0),H103*$BI103),H103*$BI103),0)</f>
        <v>0</v>
      </c>
      <c r="BL103" s="314">
        <f>IF($BI103&lt;&gt;"",IF('Capacity summary'!$D$14="Yes",IF(COUNTBLANK('Capacity summary'!$H222:$BG222)&lt;52,IF('Capacity summary'!I222&lt;&gt;"",IF(LOWER('Capacity summary'!I222)="x",$BI103*I103,VALUE('Capacity summary'!I222)),0),I103*$BI103),I103*$BI103),0)</f>
        <v>0</v>
      </c>
      <c r="BM103" s="314">
        <f>IF($BI103&lt;&gt;"",IF('Capacity summary'!$D$14="Yes",IF(COUNTBLANK('Capacity summary'!$H222:$BG222)&lt;52,IF('Capacity summary'!J222&lt;&gt;"",IF(LOWER('Capacity summary'!J222)="x",$BI103*J103,VALUE('Capacity summary'!J222)),0),J103*$BI103),J103*$BI103),0)</f>
        <v>0</v>
      </c>
      <c r="BN103" s="314">
        <f>IF($BI103&lt;&gt;"",IF('Capacity summary'!$D$14="Yes",IF(COUNTBLANK('Capacity summary'!$H222:$BG222)&lt;52,IF('Capacity summary'!K222&lt;&gt;"",IF(LOWER('Capacity summary'!K222)="x",$BI103*K103,VALUE('Capacity summary'!K222)),0),K103*$BI103),K103*$BI103),0)</f>
        <v>0</v>
      </c>
      <c r="BO103" s="314">
        <f>IF($BI103&lt;&gt;"",IF('Capacity summary'!$D$14="Yes",IF(COUNTBLANK('Capacity summary'!$H222:$BG222)&lt;52,IF('Capacity summary'!L222&lt;&gt;"",IF(LOWER('Capacity summary'!L222)="x",$BI103*L103,VALUE('Capacity summary'!L222)),0),L103*$BI103),L103*$BI103),0)</f>
        <v>0</v>
      </c>
      <c r="BP103" s="314">
        <f>IF($BI103&lt;&gt;"",IF('Capacity summary'!$D$14="Yes",IF(COUNTBLANK('Capacity summary'!$H222:$BG222)&lt;52,IF('Capacity summary'!M222&lt;&gt;"",IF(LOWER('Capacity summary'!M222)="x",$BI103*M103,VALUE('Capacity summary'!M222)),0),M103*$BI103),M103*$BI103),0)</f>
        <v>0</v>
      </c>
      <c r="BQ103" s="314">
        <f>IF($BI103&lt;&gt;"",IF('Capacity summary'!$D$14="Yes",IF(COUNTBLANK('Capacity summary'!$H222:$BG222)&lt;52,IF('Capacity summary'!N222&lt;&gt;"",IF(LOWER('Capacity summary'!N222)="x",$BI103*N103,VALUE('Capacity summary'!N222)),0),N103*$BI103),N103*$BI103),0)</f>
        <v>0</v>
      </c>
      <c r="BR103" s="314">
        <f>IF($BI103&lt;&gt;"",IF('Capacity summary'!$D$14="Yes",IF(COUNTBLANK('Capacity summary'!$H222:$BG222)&lt;52,IF('Capacity summary'!O222&lt;&gt;"",IF(LOWER('Capacity summary'!O222)="x",$BI103*O103,VALUE('Capacity summary'!O222)),0),O103*$BI103),O103*$BI103),0)</f>
        <v>0</v>
      </c>
      <c r="BS103" s="314">
        <f>IF($BI103&lt;&gt;"",IF('Capacity summary'!$D$14="Yes",IF(COUNTBLANK('Capacity summary'!$H222:$BG222)&lt;52,IF('Capacity summary'!P222&lt;&gt;"",IF(LOWER('Capacity summary'!P222)="x",$BI103*P103,VALUE('Capacity summary'!P222)),0),P103*$BI103),P103*$BI103),0)</f>
        <v>0</v>
      </c>
      <c r="BT103" s="314">
        <f>IF($BI103&lt;&gt;"",IF('Capacity summary'!$D$14="Yes",IF(COUNTBLANK('Capacity summary'!$H222:$BG222)&lt;52,IF('Capacity summary'!Q222&lt;&gt;"",IF(LOWER('Capacity summary'!Q222)="x",$BI103*Q103,VALUE('Capacity summary'!Q222)),0),Q103*$BI103),Q103*$BI103),0)</f>
        <v>0</v>
      </c>
      <c r="BU103" s="314">
        <f>IF($BI103&lt;&gt;"",IF('Capacity summary'!$D$14="Yes",IF(COUNTBLANK('Capacity summary'!$H222:$BG222)&lt;52,IF('Capacity summary'!R222&lt;&gt;"",IF(LOWER('Capacity summary'!R222)="x",$BI103*R103,VALUE('Capacity summary'!R222)),0),R103*$BI103),R103*$BI103),0)</f>
        <v>0</v>
      </c>
      <c r="BV103" s="314">
        <f>IF($BI103&lt;&gt;"",IF('Capacity summary'!$D$14="Yes",IF(COUNTBLANK('Capacity summary'!$H222:$BG222)&lt;52,IF('Capacity summary'!S222&lt;&gt;"",IF(LOWER('Capacity summary'!S222)="x",$BI103*S103,VALUE('Capacity summary'!S222)),0),S103*$BI103),S103*$BI103),0)</f>
        <v>0</v>
      </c>
      <c r="BW103" s="314">
        <f>IF($BI103&lt;&gt;"",IF('Capacity summary'!$D$14="Yes",IF(COUNTBLANK('Capacity summary'!$H222:$BG222)&lt;52,IF('Capacity summary'!T222&lt;&gt;"",IF(LOWER('Capacity summary'!T222)="x",$BI103*T103,VALUE('Capacity summary'!T222)),0),T103*$BI103),T103*$BI103),0)</f>
        <v>0</v>
      </c>
      <c r="BX103" s="314">
        <f>IF($BI103&lt;&gt;"",IF('Capacity summary'!$D$14="Yes",IF(COUNTBLANK('Capacity summary'!$H222:$BG222)&lt;52,IF('Capacity summary'!U222&lt;&gt;"",IF(LOWER('Capacity summary'!U222)="x",$BI103*U103,VALUE('Capacity summary'!U222)),0),U103*$BI103),U103*$BI103),0)</f>
        <v>0</v>
      </c>
      <c r="BY103" s="314">
        <f>IF($BI103&lt;&gt;"",IF('Capacity summary'!$D$14="Yes",IF(COUNTBLANK('Capacity summary'!$H222:$BG222)&lt;52,IF('Capacity summary'!V222&lt;&gt;"",IF(LOWER('Capacity summary'!V222)="x",$BI103*V103,VALUE('Capacity summary'!V222)),0),V103*$BI103),V103*$BI103),0)</f>
        <v>0</v>
      </c>
      <c r="BZ103" s="314">
        <f>IF($BI103&lt;&gt;"",IF('Capacity summary'!$D$14="Yes",IF(COUNTBLANK('Capacity summary'!$H222:$BG222)&lt;52,IF('Capacity summary'!W222&lt;&gt;"",IF(LOWER('Capacity summary'!W222)="x",$BI103*W103,VALUE('Capacity summary'!W222)),0),W103*$BI103),W103*$BI103),0)</f>
        <v>0</v>
      </c>
      <c r="CA103" s="314">
        <f>IF($BI103&lt;&gt;"",IF('Capacity summary'!$D$14="Yes",IF(COUNTBLANK('Capacity summary'!$H222:$BG222)&lt;52,IF('Capacity summary'!X222&lt;&gt;"",IF(LOWER('Capacity summary'!X222)="x",$BI103*X103,VALUE('Capacity summary'!X222)),0),X103*$BI103),X103*$BI103),0)</f>
        <v>0</v>
      </c>
      <c r="CB103" s="314">
        <f>IF($BI103&lt;&gt;"",IF('Capacity summary'!$D$14="Yes",IF(COUNTBLANK('Capacity summary'!$H222:$BG222)&lt;52,IF('Capacity summary'!Y222&lt;&gt;"",IF(LOWER('Capacity summary'!Y222)="x",$BI103*Y103,VALUE('Capacity summary'!Y222)),0),Y103*$BI103),Y103*$BI103),0)</f>
        <v>0</v>
      </c>
      <c r="CC103" s="314">
        <f>IF($BI103&lt;&gt;"",IF('Capacity summary'!$D$14="Yes",IF(COUNTBLANK('Capacity summary'!$H222:$BG222)&lt;52,IF('Capacity summary'!Z222&lt;&gt;"",IF(LOWER('Capacity summary'!Z222)="x",$BI103*Z103,VALUE('Capacity summary'!Z222)),0),Z103*$BI103),Z103*$BI103),0)</f>
        <v>0</v>
      </c>
      <c r="CD103" s="314">
        <f>IF($BI103&lt;&gt;"",IF('Capacity summary'!$D$14="Yes",IF(COUNTBLANK('Capacity summary'!$H222:$BG222)&lt;52,IF('Capacity summary'!AA222&lt;&gt;"",IF(LOWER('Capacity summary'!AA222)="x",$BI103*AA103,VALUE('Capacity summary'!AA222)),0),AA103*$BI103),AA103*$BI103),0)</f>
        <v>0</v>
      </c>
      <c r="CE103" s="314">
        <f>IF($BI103&lt;&gt;"",IF('Capacity summary'!$D$14="Yes",IF(COUNTBLANK('Capacity summary'!$H222:$BG222)&lt;52,IF('Capacity summary'!AB222&lt;&gt;"",IF(LOWER('Capacity summary'!AB222)="x",$BI103*AB103,VALUE('Capacity summary'!AB222)),0),AB103*$BI103),AB103*$BI103),0)</f>
        <v>0</v>
      </c>
      <c r="CF103" s="314">
        <f>IF($BI103&lt;&gt;"",IF('Capacity summary'!$D$14="Yes",IF(COUNTBLANK('Capacity summary'!$H222:$BG222)&lt;52,IF('Capacity summary'!AC222&lt;&gt;"",IF(LOWER('Capacity summary'!AC222)="x",$BI103*AC103,VALUE('Capacity summary'!AC222)),0),AC103*$BI103),AC103*$BI103),0)</f>
        <v>0</v>
      </c>
      <c r="CG103" s="314">
        <f>IF($BI103&lt;&gt;"",IF('Capacity summary'!$D$14="Yes",IF(COUNTBLANK('Capacity summary'!$H222:$BG222)&lt;52,IF('Capacity summary'!AD222&lt;&gt;"",IF(LOWER('Capacity summary'!AD222)="x",$BI103*AD103,VALUE('Capacity summary'!AD222)),0),AD103*$BI103),AD103*$BI103),0)</f>
        <v>0</v>
      </c>
      <c r="CH103" s="314">
        <f>IF($BI103&lt;&gt;"",IF('Capacity summary'!$D$14="Yes",IF(COUNTBLANK('Capacity summary'!$H222:$BG222)&lt;52,IF('Capacity summary'!AE222&lt;&gt;"",IF(LOWER('Capacity summary'!AE222)="x",$BI103*AE103,VALUE('Capacity summary'!AE222)),0),AE103*$BI103),AE103*$BI103),0)</f>
        <v>0</v>
      </c>
      <c r="CI103" s="314">
        <f>IF($BI103&lt;&gt;"",IF('Capacity summary'!$D$14="Yes",IF(COUNTBLANK('Capacity summary'!$H222:$BG222)&lt;52,IF('Capacity summary'!AF222&lt;&gt;"",IF(LOWER('Capacity summary'!AF222)="x",$BI103*AF103,VALUE('Capacity summary'!AF222)),0),AF103*$BI103),AF103*$BI103),0)</f>
        <v>0</v>
      </c>
      <c r="CJ103" s="314">
        <f>IF($BI103&lt;&gt;"",IF('Capacity summary'!$D$14="Yes",IF(COUNTBLANK('Capacity summary'!$H222:$BG222)&lt;52,IF('Capacity summary'!AG222&lt;&gt;"",IF(LOWER('Capacity summary'!AG222)="x",$BI103*AG103,VALUE('Capacity summary'!AG222)),0),AG103*$BI103),AG103*$BI103),0)</f>
        <v>0</v>
      </c>
      <c r="CK103" s="314">
        <f>IF($BI103&lt;&gt;"",IF('Capacity summary'!$D$14="Yes",IF(COUNTBLANK('Capacity summary'!$H222:$BG222)&lt;52,IF('Capacity summary'!AH222&lt;&gt;"",IF(LOWER('Capacity summary'!AH222)="x",$BI103*AH103,VALUE('Capacity summary'!AH222)),0),AH103*$BI103),AH103*$BI103),0)</f>
        <v>0</v>
      </c>
      <c r="CL103" s="314">
        <f>IF($BI103&lt;&gt;"",IF('Capacity summary'!$D$14="Yes",IF(COUNTBLANK('Capacity summary'!$H222:$BG222)&lt;52,IF('Capacity summary'!AI222&lt;&gt;"",IF(LOWER('Capacity summary'!AI222)="x",$BI103*AI103,VALUE('Capacity summary'!AI222)),0),AI103*$BI103),AI103*$BI103),0)</f>
        <v>0</v>
      </c>
      <c r="CM103" s="314">
        <f>IF($BI103&lt;&gt;"",IF('Capacity summary'!$D$14="Yes",IF(COUNTBLANK('Capacity summary'!$H222:$BG222)&lt;52,IF('Capacity summary'!AJ222&lt;&gt;"",IF(LOWER('Capacity summary'!AJ222)="x",$BI103*AJ103,VALUE('Capacity summary'!AJ222)),0),AJ103*$BI103),AJ103*$BI103),0)</f>
        <v>0</v>
      </c>
      <c r="CN103" s="314">
        <f>IF($BI103&lt;&gt;"",IF('Capacity summary'!$D$14="Yes",IF(COUNTBLANK('Capacity summary'!$H222:$BG222)&lt;52,IF('Capacity summary'!AK222&lt;&gt;"",IF(LOWER('Capacity summary'!AK222)="x",$BI103*AK103,VALUE('Capacity summary'!AK222)),0),AK103*$BI103),AK103*$BI103),0)</f>
        <v>0</v>
      </c>
      <c r="CO103" s="314">
        <f>IF($BI103&lt;&gt;"",IF('Capacity summary'!$D$14="Yes",IF(COUNTBLANK('Capacity summary'!$H222:$BG222)&lt;52,IF('Capacity summary'!AL222&lt;&gt;"",IF(LOWER('Capacity summary'!AL222)="x",$BI103*AL103,VALUE('Capacity summary'!AL222)),0),AL103*$BI103),AL103*$BI103),0)</f>
        <v>0</v>
      </c>
      <c r="CP103" s="314">
        <f>IF($BI103&lt;&gt;"",IF('Capacity summary'!$D$14="Yes",IF(COUNTBLANK('Capacity summary'!$H222:$BG222)&lt;52,IF('Capacity summary'!AM222&lt;&gt;"",IF(LOWER('Capacity summary'!AM222)="x",$BI103*AM103,VALUE('Capacity summary'!AM222)),0),AM103*$BI103),AM103*$BI103),0)</f>
        <v>0</v>
      </c>
      <c r="CQ103" s="314">
        <f>IF($BI103&lt;&gt;"",IF('Capacity summary'!$D$14="Yes",IF(COUNTBLANK('Capacity summary'!$H222:$BG222)&lt;52,IF('Capacity summary'!AN222&lt;&gt;"",IF(LOWER('Capacity summary'!AN222)="x",$BI103*AN103,VALUE('Capacity summary'!AN222)),0),AN103*$BI103),AN103*$BI103),0)</f>
        <v>0</v>
      </c>
      <c r="CR103" s="314">
        <f>IF($BI103&lt;&gt;"",IF('Capacity summary'!$D$14="Yes",IF(COUNTBLANK('Capacity summary'!$H222:$BG222)&lt;52,IF('Capacity summary'!AO222&lt;&gt;"",IF(LOWER('Capacity summary'!AO222)="x",$BI103*AO103,VALUE('Capacity summary'!AO222)),0),AO103*$BI103),AO103*$BI103),0)</f>
        <v>0</v>
      </c>
      <c r="CS103" s="314">
        <f>IF($BI103&lt;&gt;"",IF('Capacity summary'!$D$14="Yes",IF(COUNTBLANK('Capacity summary'!$H222:$BG222)&lt;52,IF('Capacity summary'!AP222&lt;&gt;"",IF(LOWER('Capacity summary'!AP222)="x",$BI103*AP103,VALUE('Capacity summary'!AP222)),0),AP103*$BI103),AP103*$BI103),0)</f>
        <v>0</v>
      </c>
      <c r="CT103" s="314">
        <f>IF($BI103&lt;&gt;"",IF('Capacity summary'!$D$14="Yes",IF(COUNTBLANK('Capacity summary'!$H222:$BG222)&lt;52,IF('Capacity summary'!AQ222&lt;&gt;"",IF(LOWER('Capacity summary'!AQ222)="x",$BI103*AQ103,VALUE('Capacity summary'!AQ222)),0),AQ103*$BI103),AQ103*$BI103),0)</f>
        <v>0</v>
      </c>
      <c r="CU103" s="314">
        <f>IF($BI103&lt;&gt;"",IF('Capacity summary'!$D$14="Yes",IF(COUNTBLANK('Capacity summary'!$H222:$BG222)&lt;52,IF('Capacity summary'!AR222&lt;&gt;"",IF(LOWER('Capacity summary'!AR222)="x",$BI103*AR103,VALUE('Capacity summary'!AR222)),0),AR103*$BI103),AR103*$BI103),0)</f>
        <v>0</v>
      </c>
      <c r="CV103" s="314">
        <f>IF($BI103&lt;&gt;"",IF('Capacity summary'!$D$14="Yes",IF(COUNTBLANK('Capacity summary'!$H222:$BG222)&lt;52,IF('Capacity summary'!AS222&lt;&gt;"",IF(LOWER('Capacity summary'!AS222)="x",$BI103*AS103,VALUE('Capacity summary'!AS222)),0),AS103*$BI103),AS103*$BI103),0)</f>
        <v>0</v>
      </c>
      <c r="CW103" s="314">
        <f>IF($BI103&lt;&gt;"",IF('Capacity summary'!$D$14="Yes",IF(COUNTBLANK('Capacity summary'!$H222:$BG222)&lt;52,IF('Capacity summary'!AT222&lt;&gt;"",IF(LOWER('Capacity summary'!AT222)="x",$BI103*AT103,VALUE('Capacity summary'!AT222)),0),AT103*$BI103),AT103*$BI103),0)</f>
        <v>0</v>
      </c>
      <c r="CX103" s="314">
        <f>IF($BI103&lt;&gt;"",IF('Capacity summary'!$D$14="Yes",IF(COUNTBLANK('Capacity summary'!$H222:$BG222)&lt;52,IF('Capacity summary'!AU222&lt;&gt;"",IF(LOWER('Capacity summary'!AU222)="x",$BI103*AU103,VALUE('Capacity summary'!AU222)),0),AU103*$BI103),AU103*$BI103),0)</f>
        <v>0</v>
      </c>
      <c r="CY103" s="314">
        <f>IF($BI103&lt;&gt;"",IF('Capacity summary'!$D$14="Yes",IF(COUNTBLANK('Capacity summary'!$H222:$BG222)&lt;52,IF('Capacity summary'!AV222&lt;&gt;"",IF(LOWER('Capacity summary'!AV222)="x",$BI103*AV103,VALUE('Capacity summary'!AV222)),0),AV103*$BI103),AV103*$BI103),0)</f>
        <v>0</v>
      </c>
      <c r="CZ103" s="314">
        <f>IF($BI103&lt;&gt;"",IF('Capacity summary'!$D$14="Yes",IF(COUNTBLANK('Capacity summary'!$H222:$BG222)&lt;52,IF('Capacity summary'!AW222&lt;&gt;"",IF(LOWER('Capacity summary'!AW222)="x",$BI103*AW103,VALUE('Capacity summary'!AW222)),0),AW103*$BI103),AW103*$BI103),0)</f>
        <v>0</v>
      </c>
      <c r="DA103" s="314">
        <f>IF($BI103&lt;&gt;"",IF('Capacity summary'!$D$14="Yes",IF(COUNTBLANK('Capacity summary'!$H222:$BG222)&lt;52,IF('Capacity summary'!AX222&lt;&gt;"",IF(LOWER('Capacity summary'!AX222)="x",$BI103*AX103,VALUE('Capacity summary'!AX222)),0),AX103*$BI103),AX103*$BI103),0)</f>
        <v>0</v>
      </c>
      <c r="DB103" s="314">
        <f>IF($BI103&lt;&gt;"",IF('Capacity summary'!$D$14="Yes",IF(COUNTBLANK('Capacity summary'!$H222:$BG222)&lt;52,IF('Capacity summary'!AY222&lt;&gt;"",IF(LOWER('Capacity summary'!AY222)="x",$BI103*AY103,VALUE('Capacity summary'!AY222)),0),AY103*$BI103),AY103*$BI103),0)</f>
        <v>0</v>
      </c>
      <c r="DC103" s="314">
        <f>IF($BI103&lt;&gt;"",IF('Capacity summary'!$D$14="Yes",IF(COUNTBLANK('Capacity summary'!$H222:$BG222)&lt;52,IF('Capacity summary'!AZ222&lt;&gt;"",IF(LOWER('Capacity summary'!AZ222)="x",$BI103*AZ103,VALUE('Capacity summary'!AZ222)),0),AZ103*$BI103),AZ103*$BI103),0)</f>
        <v>0</v>
      </c>
      <c r="DD103" s="314">
        <f>IF($BI103&lt;&gt;"",IF('Capacity summary'!$D$14="Yes",IF(COUNTBLANK('Capacity summary'!$H222:$BG222)&lt;52,IF('Capacity summary'!BA222&lt;&gt;"",IF(LOWER('Capacity summary'!BA222)="x",$BI103*BA103,VALUE('Capacity summary'!BA222)),0),BA103*$BI103),BA103*$BI103),0)</f>
        <v>0</v>
      </c>
      <c r="DE103" s="314">
        <f>IF($BI103&lt;&gt;"",IF('Capacity summary'!$D$14="Yes",IF(COUNTBLANK('Capacity summary'!$H222:$BG222)&lt;52,IF('Capacity summary'!BB222&lt;&gt;"",IF(LOWER('Capacity summary'!BB222)="x",$BI103*BB103,VALUE('Capacity summary'!BB222)),0),BB103*$BI103),BB103*$BI103),0)</f>
        <v>0</v>
      </c>
      <c r="DF103" s="314">
        <f>IF($BI103&lt;&gt;"",IF('Capacity summary'!$D$14="Yes",IF(COUNTBLANK('Capacity summary'!$H222:$BG222)&lt;52,IF('Capacity summary'!BC222&lt;&gt;"",IF(LOWER('Capacity summary'!BC222)="x",$BI103*BC103,VALUE('Capacity summary'!BC222)),0),BC103*$BI103),BC103*$BI103),0)</f>
        <v>0</v>
      </c>
      <c r="DG103" s="314">
        <f>IF($BI103&lt;&gt;"",IF('Capacity summary'!$D$14="Yes",IF(COUNTBLANK('Capacity summary'!$H222:$BG222)&lt;52,IF('Capacity summary'!BD222&lt;&gt;"",IF(LOWER('Capacity summary'!BD222)="x",$BI103*BD103,VALUE('Capacity summary'!BD222)),0),BD103*$BI103),BD103*$BI103),0)</f>
        <v>0</v>
      </c>
      <c r="DH103" s="314">
        <f>IF($BI103&lt;&gt;"",IF('Capacity summary'!$D$14="Yes",IF(COUNTBLANK('Capacity summary'!$H222:$BG222)&lt;52,IF('Capacity summary'!BE222&lt;&gt;"",IF(LOWER('Capacity summary'!BE222)="x",$BI103*BE103,VALUE('Capacity summary'!BE222)),0),BE103*$BI103),BE103*$BI103),0)</f>
        <v>0</v>
      </c>
      <c r="DI103" s="314">
        <f>IF($BI103&lt;&gt;"",IF('Capacity summary'!$D$14="Yes",IF(COUNTBLANK('Capacity summary'!$H222:$BG222)&lt;52,IF('Capacity summary'!BF222&lt;&gt;"",IF(LOWER('Capacity summary'!BF222)="x",$BI103*BF103,VALUE('Capacity summary'!BF222)),0),BF103*$BI103),BF103*$BI103),0)</f>
        <v>0</v>
      </c>
      <c r="DJ103" s="314">
        <f>IF($BI103&lt;&gt;"",IF('Capacity summary'!$D$14="Yes",IF(COUNTBLANK('Capacity summary'!$H222:$BG222)&lt;52,IF('Capacity summary'!BG222&lt;&gt;"",IF(LOWER('Capacity summary'!BG222)="x",$BI103*BG103,VALUE('Capacity summary'!BG222)),0),BG103*$BI103),BG103*$BI103),0)</f>
        <v>0</v>
      </c>
      <c r="DK103" s="137">
        <f t="shared" si="3"/>
        <v>0</v>
      </c>
      <c r="DL103" s="314"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4">
        <f>IF($BI104&lt;&gt;"",IF('Capacity summary'!$D$14="Yes",IF(COUNTBLANK('Capacity summary'!$H223:$BG223)&lt;52,IF('Capacity summary'!H223&lt;&gt;"",IF(LOWER('Capacity summary'!H223)="x",$BI104*H104,VALUE('Capacity summary'!H223)),0),H104*$BI104),H104*$BI104),0)</f>
        <v>0</v>
      </c>
      <c r="BL104" s="314">
        <f>IF($BI104&lt;&gt;"",IF('Capacity summary'!$D$14="Yes",IF(COUNTBLANK('Capacity summary'!$H223:$BG223)&lt;52,IF('Capacity summary'!I223&lt;&gt;"",IF(LOWER('Capacity summary'!I223)="x",$BI104*I104,VALUE('Capacity summary'!I223)),0),I104*$BI104),I104*$BI104),0)</f>
        <v>0</v>
      </c>
      <c r="BM104" s="314">
        <f>IF($BI104&lt;&gt;"",IF('Capacity summary'!$D$14="Yes",IF(COUNTBLANK('Capacity summary'!$H223:$BG223)&lt;52,IF('Capacity summary'!J223&lt;&gt;"",IF(LOWER('Capacity summary'!J223)="x",$BI104*J104,VALUE('Capacity summary'!J223)),0),J104*$BI104),J104*$BI104),0)</f>
        <v>0</v>
      </c>
      <c r="BN104" s="314">
        <f>IF($BI104&lt;&gt;"",IF('Capacity summary'!$D$14="Yes",IF(COUNTBLANK('Capacity summary'!$H223:$BG223)&lt;52,IF('Capacity summary'!K223&lt;&gt;"",IF(LOWER('Capacity summary'!K223)="x",$BI104*K104,VALUE('Capacity summary'!K223)),0),K104*$BI104),K104*$BI104),0)</f>
        <v>0</v>
      </c>
      <c r="BO104" s="314">
        <f>IF($BI104&lt;&gt;"",IF('Capacity summary'!$D$14="Yes",IF(COUNTBLANK('Capacity summary'!$H223:$BG223)&lt;52,IF('Capacity summary'!L223&lt;&gt;"",IF(LOWER('Capacity summary'!L223)="x",$BI104*L104,VALUE('Capacity summary'!L223)),0),L104*$BI104),L104*$BI104),0)</f>
        <v>0</v>
      </c>
      <c r="BP104" s="314">
        <f>IF($BI104&lt;&gt;"",IF('Capacity summary'!$D$14="Yes",IF(COUNTBLANK('Capacity summary'!$H223:$BG223)&lt;52,IF('Capacity summary'!M223&lt;&gt;"",IF(LOWER('Capacity summary'!M223)="x",$BI104*M104,VALUE('Capacity summary'!M223)),0),M104*$BI104),M104*$BI104),0)</f>
        <v>0</v>
      </c>
      <c r="BQ104" s="314">
        <f>IF($BI104&lt;&gt;"",IF('Capacity summary'!$D$14="Yes",IF(COUNTBLANK('Capacity summary'!$H223:$BG223)&lt;52,IF('Capacity summary'!N223&lt;&gt;"",IF(LOWER('Capacity summary'!N223)="x",$BI104*N104,VALUE('Capacity summary'!N223)),0),N104*$BI104),N104*$BI104),0)</f>
        <v>0</v>
      </c>
      <c r="BR104" s="314">
        <f>IF($BI104&lt;&gt;"",IF('Capacity summary'!$D$14="Yes",IF(COUNTBLANK('Capacity summary'!$H223:$BG223)&lt;52,IF('Capacity summary'!O223&lt;&gt;"",IF(LOWER('Capacity summary'!O223)="x",$BI104*O104,VALUE('Capacity summary'!O223)),0),O104*$BI104),O104*$BI104),0)</f>
        <v>0</v>
      </c>
      <c r="BS104" s="314">
        <f>IF($BI104&lt;&gt;"",IF('Capacity summary'!$D$14="Yes",IF(COUNTBLANK('Capacity summary'!$H223:$BG223)&lt;52,IF('Capacity summary'!P223&lt;&gt;"",IF(LOWER('Capacity summary'!P223)="x",$BI104*P104,VALUE('Capacity summary'!P223)),0),P104*$BI104),P104*$BI104),0)</f>
        <v>0</v>
      </c>
      <c r="BT104" s="314">
        <f>IF($BI104&lt;&gt;"",IF('Capacity summary'!$D$14="Yes",IF(COUNTBLANK('Capacity summary'!$H223:$BG223)&lt;52,IF('Capacity summary'!Q223&lt;&gt;"",IF(LOWER('Capacity summary'!Q223)="x",$BI104*Q104,VALUE('Capacity summary'!Q223)),0),Q104*$BI104),Q104*$BI104),0)</f>
        <v>0</v>
      </c>
      <c r="BU104" s="314">
        <f>IF($BI104&lt;&gt;"",IF('Capacity summary'!$D$14="Yes",IF(COUNTBLANK('Capacity summary'!$H223:$BG223)&lt;52,IF('Capacity summary'!R223&lt;&gt;"",IF(LOWER('Capacity summary'!R223)="x",$BI104*R104,VALUE('Capacity summary'!R223)),0),R104*$BI104),R104*$BI104),0)</f>
        <v>0</v>
      </c>
      <c r="BV104" s="314">
        <f>IF($BI104&lt;&gt;"",IF('Capacity summary'!$D$14="Yes",IF(COUNTBLANK('Capacity summary'!$H223:$BG223)&lt;52,IF('Capacity summary'!S223&lt;&gt;"",IF(LOWER('Capacity summary'!S223)="x",$BI104*S104,VALUE('Capacity summary'!S223)),0),S104*$BI104),S104*$BI104),0)</f>
        <v>0</v>
      </c>
      <c r="BW104" s="314">
        <f>IF($BI104&lt;&gt;"",IF('Capacity summary'!$D$14="Yes",IF(COUNTBLANK('Capacity summary'!$H223:$BG223)&lt;52,IF('Capacity summary'!T223&lt;&gt;"",IF(LOWER('Capacity summary'!T223)="x",$BI104*T104,VALUE('Capacity summary'!T223)),0),T104*$BI104),T104*$BI104),0)</f>
        <v>0</v>
      </c>
      <c r="BX104" s="314">
        <f>IF($BI104&lt;&gt;"",IF('Capacity summary'!$D$14="Yes",IF(COUNTBLANK('Capacity summary'!$H223:$BG223)&lt;52,IF('Capacity summary'!U223&lt;&gt;"",IF(LOWER('Capacity summary'!U223)="x",$BI104*U104,VALUE('Capacity summary'!U223)),0),U104*$BI104),U104*$BI104),0)</f>
        <v>0</v>
      </c>
      <c r="BY104" s="314">
        <f>IF($BI104&lt;&gt;"",IF('Capacity summary'!$D$14="Yes",IF(COUNTBLANK('Capacity summary'!$H223:$BG223)&lt;52,IF('Capacity summary'!V223&lt;&gt;"",IF(LOWER('Capacity summary'!V223)="x",$BI104*V104,VALUE('Capacity summary'!V223)),0),V104*$BI104),V104*$BI104),0)</f>
        <v>0</v>
      </c>
      <c r="BZ104" s="314">
        <f>IF($BI104&lt;&gt;"",IF('Capacity summary'!$D$14="Yes",IF(COUNTBLANK('Capacity summary'!$H223:$BG223)&lt;52,IF('Capacity summary'!W223&lt;&gt;"",IF(LOWER('Capacity summary'!W223)="x",$BI104*W104,VALUE('Capacity summary'!W223)),0),W104*$BI104),W104*$BI104),0)</f>
        <v>0</v>
      </c>
      <c r="CA104" s="314">
        <f>IF($BI104&lt;&gt;"",IF('Capacity summary'!$D$14="Yes",IF(COUNTBLANK('Capacity summary'!$H223:$BG223)&lt;52,IF('Capacity summary'!X223&lt;&gt;"",IF(LOWER('Capacity summary'!X223)="x",$BI104*X104,VALUE('Capacity summary'!X223)),0),X104*$BI104),X104*$BI104),0)</f>
        <v>0</v>
      </c>
      <c r="CB104" s="314">
        <f>IF($BI104&lt;&gt;"",IF('Capacity summary'!$D$14="Yes",IF(COUNTBLANK('Capacity summary'!$H223:$BG223)&lt;52,IF('Capacity summary'!Y223&lt;&gt;"",IF(LOWER('Capacity summary'!Y223)="x",$BI104*Y104,VALUE('Capacity summary'!Y223)),0),Y104*$BI104),Y104*$BI104),0)</f>
        <v>0</v>
      </c>
      <c r="CC104" s="314">
        <f>IF($BI104&lt;&gt;"",IF('Capacity summary'!$D$14="Yes",IF(COUNTBLANK('Capacity summary'!$H223:$BG223)&lt;52,IF('Capacity summary'!Z223&lt;&gt;"",IF(LOWER('Capacity summary'!Z223)="x",$BI104*Z104,VALUE('Capacity summary'!Z223)),0),Z104*$BI104),Z104*$BI104),0)</f>
        <v>0</v>
      </c>
      <c r="CD104" s="314">
        <f>IF($BI104&lt;&gt;"",IF('Capacity summary'!$D$14="Yes",IF(COUNTBLANK('Capacity summary'!$H223:$BG223)&lt;52,IF('Capacity summary'!AA223&lt;&gt;"",IF(LOWER('Capacity summary'!AA223)="x",$BI104*AA104,VALUE('Capacity summary'!AA223)),0),AA104*$BI104),AA104*$BI104),0)</f>
        <v>0</v>
      </c>
      <c r="CE104" s="314">
        <f>IF($BI104&lt;&gt;"",IF('Capacity summary'!$D$14="Yes",IF(COUNTBLANK('Capacity summary'!$H223:$BG223)&lt;52,IF('Capacity summary'!AB223&lt;&gt;"",IF(LOWER('Capacity summary'!AB223)="x",$BI104*AB104,VALUE('Capacity summary'!AB223)),0),AB104*$BI104),AB104*$BI104),0)</f>
        <v>0</v>
      </c>
      <c r="CF104" s="314">
        <f>IF($BI104&lt;&gt;"",IF('Capacity summary'!$D$14="Yes",IF(COUNTBLANK('Capacity summary'!$H223:$BG223)&lt;52,IF('Capacity summary'!AC223&lt;&gt;"",IF(LOWER('Capacity summary'!AC223)="x",$BI104*AC104,VALUE('Capacity summary'!AC223)),0),AC104*$BI104),AC104*$BI104),0)</f>
        <v>0</v>
      </c>
      <c r="CG104" s="314">
        <f>IF($BI104&lt;&gt;"",IF('Capacity summary'!$D$14="Yes",IF(COUNTBLANK('Capacity summary'!$H223:$BG223)&lt;52,IF('Capacity summary'!AD223&lt;&gt;"",IF(LOWER('Capacity summary'!AD223)="x",$BI104*AD104,VALUE('Capacity summary'!AD223)),0),AD104*$BI104),AD104*$BI104),0)</f>
        <v>0</v>
      </c>
      <c r="CH104" s="314">
        <f>IF($BI104&lt;&gt;"",IF('Capacity summary'!$D$14="Yes",IF(COUNTBLANK('Capacity summary'!$H223:$BG223)&lt;52,IF('Capacity summary'!AE223&lt;&gt;"",IF(LOWER('Capacity summary'!AE223)="x",$BI104*AE104,VALUE('Capacity summary'!AE223)),0),AE104*$BI104),AE104*$BI104),0)</f>
        <v>0</v>
      </c>
      <c r="CI104" s="314">
        <f>IF($BI104&lt;&gt;"",IF('Capacity summary'!$D$14="Yes",IF(COUNTBLANK('Capacity summary'!$H223:$BG223)&lt;52,IF('Capacity summary'!AF223&lt;&gt;"",IF(LOWER('Capacity summary'!AF223)="x",$BI104*AF104,VALUE('Capacity summary'!AF223)),0),AF104*$BI104),AF104*$BI104),0)</f>
        <v>0</v>
      </c>
      <c r="CJ104" s="314">
        <f>IF($BI104&lt;&gt;"",IF('Capacity summary'!$D$14="Yes",IF(COUNTBLANK('Capacity summary'!$H223:$BG223)&lt;52,IF('Capacity summary'!AG223&lt;&gt;"",IF(LOWER('Capacity summary'!AG223)="x",$BI104*AG104,VALUE('Capacity summary'!AG223)),0),AG104*$BI104),AG104*$BI104),0)</f>
        <v>0</v>
      </c>
      <c r="CK104" s="314">
        <f>IF($BI104&lt;&gt;"",IF('Capacity summary'!$D$14="Yes",IF(COUNTBLANK('Capacity summary'!$H223:$BG223)&lt;52,IF('Capacity summary'!AH223&lt;&gt;"",IF(LOWER('Capacity summary'!AH223)="x",$BI104*AH104,VALUE('Capacity summary'!AH223)),0),AH104*$BI104),AH104*$BI104),0)</f>
        <v>0</v>
      </c>
      <c r="CL104" s="314">
        <f>IF($BI104&lt;&gt;"",IF('Capacity summary'!$D$14="Yes",IF(COUNTBLANK('Capacity summary'!$H223:$BG223)&lt;52,IF('Capacity summary'!AI223&lt;&gt;"",IF(LOWER('Capacity summary'!AI223)="x",$BI104*AI104,VALUE('Capacity summary'!AI223)),0),AI104*$BI104),AI104*$BI104),0)</f>
        <v>0</v>
      </c>
      <c r="CM104" s="314">
        <f>IF($BI104&lt;&gt;"",IF('Capacity summary'!$D$14="Yes",IF(COUNTBLANK('Capacity summary'!$H223:$BG223)&lt;52,IF('Capacity summary'!AJ223&lt;&gt;"",IF(LOWER('Capacity summary'!AJ223)="x",$BI104*AJ104,VALUE('Capacity summary'!AJ223)),0),AJ104*$BI104),AJ104*$BI104),0)</f>
        <v>0</v>
      </c>
      <c r="CN104" s="314">
        <f>IF($BI104&lt;&gt;"",IF('Capacity summary'!$D$14="Yes",IF(COUNTBLANK('Capacity summary'!$H223:$BG223)&lt;52,IF('Capacity summary'!AK223&lt;&gt;"",IF(LOWER('Capacity summary'!AK223)="x",$BI104*AK104,VALUE('Capacity summary'!AK223)),0),AK104*$BI104),AK104*$BI104),0)</f>
        <v>0</v>
      </c>
      <c r="CO104" s="314">
        <f>IF($BI104&lt;&gt;"",IF('Capacity summary'!$D$14="Yes",IF(COUNTBLANK('Capacity summary'!$H223:$BG223)&lt;52,IF('Capacity summary'!AL223&lt;&gt;"",IF(LOWER('Capacity summary'!AL223)="x",$BI104*AL104,VALUE('Capacity summary'!AL223)),0),AL104*$BI104),AL104*$BI104),0)</f>
        <v>0</v>
      </c>
      <c r="CP104" s="314">
        <f>IF($BI104&lt;&gt;"",IF('Capacity summary'!$D$14="Yes",IF(COUNTBLANK('Capacity summary'!$H223:$BG223)&lt;52,IF('Capacity summary'!AM223&lt;&gt;"",IF(LOWER('Capacity summary'!AM223)="x",$BI104*AM104,VALUE('Capacity summary'!AM223)),0),AM104*$BI104),AM104*$BI104),0)</f>
        <v>0</v>
      </c>
      <c r="CQ104" s="314">
        <f>IF($BI104&lt;&gt;"",IF('Capacity summary'!$D$14="Yes",IF(COUNTBLANK('Capacity summary'!$H223:$BG223)&lt;52,IF('Capacity summary'!AN223&lt;&gt;"",IF(LOWER('Capacity summary'!AN223)="x",$BI104*AN104,VALUE('Capacity summary'!AN223)),0),AN104*$BI104),AN104*$BI104),0)</f>
        <v>0</v>
      </c>
      <c r="CR104" s="314">
        <f>IF($BI104&lt;&gt;"",IF('Capacity summary'!$D$14="Yes",IF(COUNTBLANK('Capacity summary'!$H223:$BG223)&lt;52,IF('Capacity summary'!AO223&lt;&gt;"",IF(LOWER('Capacity summary'!AO223)="x",$BI104*AO104,VALUE('Capacity summary'!AO223)),0),AO104*$BI104),AO104*$BI104),0)</f>
        <v>0</v>
      </c>
      <c r="CS104" s="314">
        <f>IF($BI104&lt;&gt;"",IF('Capacity summary'!$D$14="Yes",IF(COUNTBLANK('Capacity summary'!$H223:$BG223)&lt;52,IF('Capacity summary'!AP223&lt;&gt;"",IF(LOWER('Capacity summary'!AP223)="x",$BI104*AP104,VALUE('Capacity summary'!AP223)),0),AP104*$BI104),AP104*$BI104),0)</f>
        <v>0</v>
      </c>
      <c r="CT104" s="314">
        <f>IF($BI104&lt;&gt;"",IF('Capacity summary'!$D$14="Yes",IF(COUNTBLANK('Capacity summary'!$H223:$BG223)&lt;52,IF('Capacity summary'!AQ223&lt;&gt;"",IF(LOWER('Capacity summary'!AQ223)="x",$BI104*AQ104,VALUE('Capacity summary'!AQ223)),0),AQ104*$BI104),AQ104*$BI104),0)</f>
        <v>0</v>
      </c>
      <c r="CU104" s="314">
        <f>IF($BI104&lt;&gt;"",IF('Capacity summary'!$D$14="Yes",IF(COUNTBLANK('Capacity summary'!$H223:$BG223)&lt;52,IF('Capacity summary'!AR223&lt;&gt;"",IF(LOWER('Capacity summary'!AR223)="x",$BI104*AR104,VALUE('Capacity summary'!AR223)),0),AR104*$BI104),AR104*$BI104),0)</f>
        <v>0</v>
      </c>
      <c r="CV104" s="314">
        <f>IF($BI104&lt;&gt;"",IF('Capacity summary'!$D$14="Yes",IF(COUNTBLANK('Capacity summary'!$H223:$BG223)&lt;52,IF('Capacity summary'!AS223&lt;&gt;"",IF(LOWER('Capacity summary'!AS223)="x",$BI104*AS104,VALUE('Capacity summary'!AS223)),0),AS104*$BI104),AS104*$BI104),0)</f>
        <v>0</v>
      </c>
      <c r="CW104" s="314">
        <f>IF($BI104&lt;&gt;"",IF('Capacity summary'!$D$14="Yes",IF(COUNTBLANK('Capacity summary'!$H223:$BG223)&lt;52,IF('Capacity summary'!AT223&lt;&gt;"",IF(LOWER('Capacity summary'!AT223)="x",$BI104*AT104,VALUE('Capacity summary'!AT223)),0),AT104*$BI104),AT104*$BI104),0)</f>
        <v>0</v>
      </c>
      <c r="CX104" s="314">
        <f>IF($BI104&lt;&gt;"",IF('Capacity summary'!$D$14="Yes",IF(COUNTBLANK('Capacity summary'!$H223:$BG223)&lt;52,IF('Capacity summary'!AU223&lt;&gt;"",IF(LOWER('Capacity summary'!AU223)="x",$BI104*AU104,VALUE('Capacity summary'!AU223)),0),AU104*$BI104),AU104*$BI104),0)</f>
        <v>0</v>
      </c>
      <c r="CY104" s="314">
        <f>IF($BI104&lt;&gt;"",IF('Capacity summary'!$D$14="Yes",IF(COUNTBLANK('Capacity summary'!$H223:$BG223)&lt;52,IF('Capacity summary'!AV223&lt;&gt;"",IF(LOWER('Capacity summary'!AV223)="x",$BI104*AV104,VALUE('Capacity summary'!AV223)),0),AV104*$BI104),AV104*$BI104),0)</f>
        <v>0</v>
      </c>
      <c r="CZ104" s="314">
        <f>IF($BI104&lt;&gt;"",IF('Capacity summary'!$D$14="Yes",IF(COUNTBLANK('Capacity summary'!$H223:$BG223)&lt;52,IF('Capacity summary'!AW223&lt;&gt;"",IF(LOWER('Capacity summary'!AW223)="x",$BI104*AW104,VALUE('Capacity summary'!AW223)),0),AW104*$BI104),AW104*$BI104),0)</f>
        <v>0</v>
      </c>
      <c r="DA104" s="314">
        <f>IF($BI104&lt;&gt;"",IF('Capacity summary'!$D$14="Yes",IF(COUNTBLANK('Capacity summary'!$H223:$BG223)&lt;52,IF('Capacity summary'!AX223&lt;&gt;"",IF(LOWER('Capacity summary'!AX223)="x",$BI104*AX104,VALUE('Capacity summary'!AX223)),0),AX104*$BI104),AX104*$BI104),0)</f>
        <v>0</v>
      </c>
      <c r="DB104" s="314">
        <f>IF($BI104&lt;&gt;"",IF('Capacity summary'!$D$14="Yes",IF(COUNTBLANK('Capacity summary'!$H223:$BG223)&lt;52,IF('Capacity summary'!AY223&lt;&gt;"",IF(LOWER('Capacity summary'!AY223)="x",$BI104*AY104,VALUE('Capacity summary'!AY223)),0),AY104*$BI104),AY104*$BI104),0)</f>
        <v>0</v>
      </c>
      <c r="DC104" s="314">
        <f>IF($BI104&lt;&gt;"",IF('Capacity summary'!$D$14="Yes",IF(COUNTBLANK('Capacity summary'!$H223:$BG223)&lt;52,IF('Capacity summary'!AZ223&lt;&gt;"",IF(LOWER('Capacity summary'!AZ223)="x",$BI104*AZ104,VALUE('Capacity summary'!AZ223)),0),AZ104*$BI104),AZ104*$BI104),0)</f>
        <v>0</v>
      </c>
      <c r="DD104" s="314">
        <f>IF($BI104&lt;&gt;"",IF('Capacity summary'!$D$14="Yes",IF(COUNTBLANK('Capacity summary'!$H223:$BG223)&lt;52,IF('Capacity summary'!BA223&lt;&gt;"",IF(LOWER('Capacity summary'!BA223)="x",$BI104*BA104,VALUE('Capacity summary'!BA223)),0),BA104*$BI104),BA104*$BI104),0)</f>
        <v>0</v>
      </c>
      <c r="DE104" s="314">
        <f>IF($BI104&lt;&gt;"",IF('Capacity summary'!$D$14="Yes",IF(COUNTBLANK('Capacity summary'!$H223:$BG223)&lt;52,IF('Capacity summary'!BB223&lt;&gt;"",IF(LOWER('Capacity summary'!BB223)="x",$BI104*BB104,VALUE('Capacity summary'!BB223)),0),BB104*$BI104),BB104*$BI104),0)</f>
        <v>0</v>
      </c>
      <c r="DF104" s="314">
        <f>IF($BI104&lt;&gt;"",IF('Capacity summary'!$D$14="Yes",IF(COUNTBLANK('Capacity summary'!$H223:$BG223)&lt;52,IF('Capacity summary'!BC223&lt;&gt;"",IF(LOWER('Capacity summary'!BC223)="x",$BI104*BC104,VALUE('Capacity summary'!BC223)),0),BC104*$BI104),BC104*$BI104),0)</f>
        <v>0</v>
      </c>
      <c r="DG104" s="314">
        <f>IF($BI104&lt;&gt;"",IF('Capacity summary'!$D$14="Yes",IF(COUNTBLANK('Capacity summary'!$H223:$BG223)&lt;52,IF('Capacity summary'!BD223&lt;&gt;"",IF(LOWER('Capacity summary'!BD223)="x",$BI104*BD104,VALUE('Capacity summary'!BD223)),0),BD104*$BI104),BD104*$BI104),0)</f>
        <v>0</v>
      </c>
      <c r="DH104" s="314">
        <f>IF($BI104&lt;&gt;"",IF('Capacity summary'!$D$14="Yes",IF(COUNTBLANK('Capacity summary'!$H223:$BG223)&lt;52,IF('Capacity summary'!BE223&lt;&gt;"",IF(LOWER('Capacity summary'!BE223)="x",$BI104*BE104,VALUE('Capacity summary'!BE223)),0),BE104*$BI104),BE104*$BI104),0)</f>
        <v>0</v>
      </c>
      <c r="DI104" s="314">
        <f>IF($BI104&lt;&gt;"",IF('Capacity summary'!$D$14="Yes",IF(COUNTBLANK('Capacity summary'!$H223:$BG223)&lt;52,IF('Capacity summary'!BF223&lt;&gt;"",IF(LOWER('Capacity summary'!BF223)="x",$BI104*BF104,VALUE('Capacity summary'!BF223)),0),BF104*$BI104),BF104*$BI104),0)</f>
        <v>0</v>
      </c>
      <c r="DJ104" s="314">
        <f>IF($BI104&lt;&gt;"",IF('Capacity summary'!$D$14="Yes",IF(COUNTBLANK('Capacity summary'!$H223:$BG223)&lt;52,IF('Capacity summary'!BG223&lt;&gt;"",IF(LOWER('Capacity summary'!BG223)="x",$BI104*BG104,VALUE('Capacity summary'!BG223)),0),BG104*$BI104),BG104*$BI104),0)</f>
        <v>0</v>
      </c>
      <c r="DK104" s="137">
        <f t="shared" si="3"/>
        <v>0</v>
      </c>
      <c r="DL104" s="314"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16</v>
      </c>
      <c r="BL110" s="67">
        <f t="shared" ref="BL110:DJ110" ca="1" si="4">BL3</f>
        <v>17</v>
      </c>
      <c r="BM110" s="67">
        <f t="shared" ca="1" si="4"/>
        <v>18</v>
      </c>
      <c r="BN110" s="67">
        <f t="shared" ca="1" si="4"/>
        <v>19</v>
      </c>
      <c r="BO110" s="67">
        <f t="shared" ca="1" si="4"/>
        <v>20</v>
      </c>
      <c r="BP110" s="67">
        <f t="shared" ca="1" si="4"/>
        <v>21</v>
      </c>
      <c r="BQ110" s="67">
        <f t="shared" ca="1" si="4"/>
        <v>22</v>
      </c>
      <c r="BR110" s="67">
        <f t="shared" ca="1" si="4"/>
        <v>23</v>
      </c>
      <c r="BS110" s="67">
        <f t="shared" ca="1" si="4"/>
        <v>24</v>
      </c>
      <c r="BT110" s="67">
        <f t="shared" ca="1" si="4"/>
        <v>25</v>
      </c>
      <c r="BU110" s="67">
        <f t="shared" ca="1" si="4"/>
        <v>26</v>
      </c>
      <c r="BV110" s="67">
        <f t="shared" ca="1" si="4"/>
        <v>27</v>
      </c>
      <c r="BW110" s="67">
        <f t="shared" ca="1" si="4"/>
        <v>28</v>
      </c>
      <c r="BX110" s="67">
        <f t="shared" ca="1" si="4"/>
        <v>29</v>
      </c>
      <c r="BY110" s="67">
        <f t="shared" ca="1" si="4"/>
        <v>30</v>
      </c>
      <c r="BZ110" s="67">
        <f t="shared" ca="1" si="4"/>
        <v>31</v>
      </c>
      <c r="CA110" s="67">
        <f t="shared" ca="1" si="4"/>
        <v>32</v>
      </c>
      <c r="CB110" s="67">
        <f t="shared" ca="1" si="4"/>
        <v>33</v>
      </c>
      <c r="CC110" s="67">
        <f t="shared" ca="1" si="4"/>
        <v>34</v>
      </c>
      <c r="CD110" s="67">
        <f t="shared" ca="1" si="4"/>
        <v>35</v>
      </c>
      <c r="CE110" s="67">
        <f t="shared" ca="1" si="4"/>
        <v>36</v>
      </c>
      <c r="CF110" s="67">
        <f t="shared" ca="1" si="4"/>
        <v>37</v>
      </c>
      <c r="CG110" s="67">
        <f t="shared" ca="1" si="4"/>
        <v>38</v>
      </c>
      <c r="CH110" s="67">
        <f t="shared" ca="1" si="4"/>
        <v>39</v>
      </c>
      <c r="CI110" s="67">
        <f t="shared" ca="1" si="4"/>
        <v>40</v>
      </c>
      <c r="CJ110" s="67">
        <f t="shared" ca="1" si="4"/>
        <v>41</v>
      </c>
      <c r="CK110" s="67">
        <f t="shared" ca="1" si="4"/>
        <v>42</v>
      </c>
      <c r="CL110" s="67">
        <f t="shared" ca="1" si="4"/>
        <v>43</v>
      </c>
      <c r="CM110" s="67">
        <f t="shared" ca="1" si="4"/>
        <v>44</v>
      </c>
      <c r="CN110" s="67">
        <f t="shared" ca="1" si="4"/>
        <v>45</v>
      </c>
      <c r="CO110" s="67">
        <f t="shared" ca="1" si="4"/>
        <v>46</v>
      </c>
      <c r="CP110" s="67">
        <f t="shared" ca="1" si="4"/>
        <v>47</v>
      </c>
      <c r="CQ110" s="67">
        <f t="shared" ca="1" si="4"/>
        <v>48</v>
      </c>
      <c r="CR110" s="67">
        <f t="shared" ca="1" si="4"/>
        <v>49</v>
      </c>
      <c r="CS110" s="67">
        <f t="shared" ca="1" si="4"/>
        <v>50</v>
      </c>
      <c r="CT110" s="67">
        <f t="shared" ca="1" si="4"/>
        <v>51</v>
      </c>
      <c r="CU110" s="67">
        <f t="shared" ca="1" si="4"/>
        <v>52</v>
      </c>
      <c r="CV110" s="67">
        <f t="shared" ca="1" si="4"/>
        <v>53</v>
      </c>
      <c r="CW110" s="67">
        <f t="shared" ca="1" si="4"/>
        <v>1</v>
      </c>
      <c r="CX110" s="67">
        <f t="shared" ca="1" si="4"/>
        <v>2</v>
      </c>
      <c r="CY110" s="67">
        <f t="shared" ca="1" si="4"/>
        <v>3</v>
      </c>
      <c r="CZ110" s="67">
        <f t="shared" ca="1" si="4"/>
        <v>4</v>
      </c>
      <c r="DA110" s="67">
        <f t="shared" ca="1" si="4"/>
        <v>5</v>
      </c>
      <c r="DB110" s="67">
        <f t="shared" ca="1" si="4"/>
        <v>6</v>
      </c>
      <c r="DC110" s="67">
        <f t="shared" ca="1" si="4"/>
        <v>7</v>
      </c>
      <c r="DD110" s="67">
        <f t="shared" ca="1" si="4"/>
        <v>8</v>
      </c>
      <c r="DE110" s="67">
        <f t="shared" ca="1" si="4"/>
        <v>9</v>
      </c>
      <c r="DF110" s="67">
        <f t="shared" ca="1" si="4"/>
        <v>10</v>
      </c>
      <c r="DG110" s="67">
        <f t="shared" ca="1" si="4"/>
        <v>11</v>
      </c>
      <c r="DH110" s="67">
        <f t="shared" ca="1" si="4"/>
        <v>12</v>
      </c>
      <c r="DI110" s="67">
        <f t="shared" ca="1" si="4"/>
        <v>13</v>
      </c>
      <c r="DJ110" s="67">
        <f t="shared" ca="1" si="4"/>
        <v>14</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K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10</v>
      </c>
      <c r="BX111" s="5">
        <f t="shared" si="5"/>
        <v>10</v>
      </c>
      <c r="BY111" s="5">
        <f t="shared" si="5"/>
        <v>10</v>
      </c>
      <c r="BZ111" s="5">
        <f t="shared" si="5"/>
        <v>0</v>
      </c>
      <c r="CA111" s="5">
        <f t="shared" si="5"/>
        <v>10</v>
      </c>
      <c r="CB111" s="5">
        <f t="shared" si="5"/>
        <v>10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si="5"/>
        <v>0</v>
      </c>
    </row>
    <row r="112" spans="2:116" x14ac:dyDescent="0.25">
      <c r="C112" t="str">
        <f>ROW(A1)&amp;". "&amp;Capacity!N17</f>
        <v>1. Ad hoc clinic 1</v>
      </c>
      <c r="D112">
        <f>'Capacity setup'!C118</f>
        <v>0</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5</v>
      </c>
      <c r="BI112">
        <f>IF(BH112&gt;0,IF(BH112&lt;Capacity!Q17,Capacity!R17,Capacity!T17/'Capacity calculation (hide)'!BH112),"")</f>
        <v>0</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10</v>
      </c>
      <c r="BX112" s="5">
        <f>IF($BI112&lt;&gt;"",IF('Capacity summary'!$C$14="Yes",IF(COUNTBLANK('Capacity summary'!$H24:$BG24)&lt;52,IF('Capacity summary'!U24&lt;&gt;"",IF(LOWER('Capacity summary'!U24)="x",$BI112*U112,VALUE('Capacity summary'!U24)),0),U112*$BI112),U112*$BI112),0)</f>
        <v>10</v>
      </c>
      <c r="BY112" s="5">
        <f>IF($BI112&lt;&gt;"",IF('Capacity summary'!$C$14="Yes",IF(COUNTBLANK('Capacity summary'!$H24:$BG24)&lt;52,IF('Capacity summary'!V24&lt;&gt;"",IF(LOWER('Capacity summary'!V24)="x",$BI112*V112,VALUE('Capacity summary'!V24)),0),V112*$BI112),V112*$BI112),0)</f>
        <v>10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10</v>
      </c>
      <c r="CB112" s="5">
        <f>IF($BI112&lt;&gt;"",IF('Capacity summary'!$C$14="Yes",IF(COUNTBLANK('Capacity summary'!$H24:$BG24)&lt;52,IF('Capacity summary'!Y24&lt;&gt;"",IF(LOWER('Capacity summary'!Y24)="x",$BI112*Y112,VALUE('Capacity summary'!Y24)),0),Y112*$BI112),Y112*$BI112),0)</f>
        <v>10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7" t="str">
        <f>ROW(A2)&amp;". "&amp;Capacity!N18</f>
        <v xml:space="preserve">2. </v>
      </c>
      <c r="D113" s="67">
        <f>'Capacity setup'!C119</f>
        <v>0</v>
      </c>
      <c r="E113" s="67">
        <f>'Capacity setup'!D119</f>
        <v>0</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7" t="str">
        <f>ROW(A3)&amp;". "&amp;Capacity!N19</f>
        <v xml:space="preserve">3. </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7" t="str">
        <f>ROW(A4)&amp;". "&amp;Capacity!N20</f>
        <v xml:space="preserve">4. </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7" t="str">
        <f>ROW(A5)&amp;". "&amp;Capacity!N21</f>
        <v xml:space="preserve">5. </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7" t="str">
        <f>ROW(A6)&amp;". "&amp;Capacity!N22</f>
        <v xml:space="preserve">6. </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7" t="str">
        <f>ROW(A7)&amp;". "&amp;Capacity!N23</f>
        <v xml:space="preserve">7. </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7" t="str">
        <f>ROW(A8)&amp;". "&amp;Capacity!N24</f>
        <v xml:space="preserve">8. </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7" t="str">
        <f>ROW(A9)&amp;". "&amp;Capacity!N25</f>
        <v xml:space="preserve">9. </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7" t="str">
        <f>ROW(A10)&amp;". "&amp;Capacity!N26</f>
        <v xml:space="preserve">10. </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7" t="str">
        <f>ROW(A11)&amp;". "&amp;Capacity!N27</f>
        <v xml:space="preserve">11. </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7" t="str">
        <f>ROW(A12)&amp;". "&amp;Capacity!N28</f>
        <v xml:space="preserve">12. </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7" t="str">
        <f>ROW(A13)&amp;". "&amp;Capacity!N29</f>
        <v xml:space="preserve">13. </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7" t="str">
        <f>ROW(A14)&amp;". "&amp;Capacity!N30</f>
        <v xml:space="preserve">14. </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7" t="s">
        <v>1118</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A12" sqref="A12"/>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80" t="s">
        <v>87</v>
      </c>
      <c r="D2" s="382"/>
      <c r="F2" s="241" t="str">
        <f ca="1">"On aggregate, 1 patient = "&amp;TEXT('Demand background (hide)'!$BN$16,"#.#")&amp;" "&amp;Setup!$I$17</f>
        <v>On aggregate, 1 patient = 2. Points</v>
      </c>
    </row>
    <row r="3" spans="1:12" x14ac:dyDescent="0.25">
      <c r="A3" t="s">
        <v>328</v>
      </c>
      <c r="C3" s="431">
        <v>52</v>
      </c>
      <c r="D3" s="382"/>
      <c r="F3" s="339" t="s">
        <v>326</v>
      </c>
    </row>
    <row r="4" spans="1:12" x14ac:dyDescent="0.25">
      <c r="A4" t="s">
        <v>14</v>
      </c>
      <c r="C4" s="380" t="s">
        <v>23</v>
      </c>
      <c r="D4" s="382"/>
    </row>
    <row r="5" spans="1:12" x14ac:dyDescent="0.25">
      <c r="K5" s="72"/>
    </row>
    <row r="6" spans="1:12" ht="14.4" thickBot="1" x14ac:dyDescent="0.3">
      <c r="A6" s="103" t="s">
        <v>309</v>
      </c>
      <c r="B6" s="104"/>
      <c r="C6" s="104"/>
      <c r="D6" s="9"/>
      <c r="E6" s="444" t="s">
        <v>346</v>
      </c>
      <c r="F6" s="444"/>
      <c r="G6" s="63" t="s">
        <v>87</v>
      </c>
      <c r="H6" s="9" t="s">
        <v>88</v>
      </c>
      <c r="I6" s="9"/>
      <c r="K6" s="72"/>
    </row>
    <row r="7" spans="1:12" ht="15" thickBot="1" x14ac:dyDescent="0.35">
      <c r="A7" s="10"/>
      <c r="B7" s="11"/>
      <c r="C7" s="11"/>
      <c r="D7" s="9"/>
      <c r="E7" s="445" t="s">
        <v>214</v>
      </c>
      <c r="F7" s="439"/>
      <c r="G7" s="426">
        <v>0.05</v>
      </c>
      <c r="H7" s="428">
        <f ca="1">'Parameters calculator (hide)'!B25</f>
        <v>369.20000000000005</v>
      </c>
      <c r="I7" s="9"/>
    </row>
    <row r="8" spans="1:12" ht="14.4" thickBot="1" x14ac:dyDescent="0.3">
      <c r="A8" s="11"/>
      <c r="B8" s="11"/>
      <c r="C8" s="11"/>
      <c r="D8" s="12"/>
      <c r="E8" s="13"/>
      <c r="F8" s="14"/>
      <c r="G8" s="427"/>
      <c r="H8" s="429"/>
      <c r="I8" s="9"/>
    </row>
    <row r="9" spans="1:12" ht="14.4" thickBot="1" x14ac:dyDescent="0.3">
      <c r="A9" s="85" t="s">
        <v>338</v>
      </c>
      <c r="B9" s="434" t="str">
        <f ca="1">TEXT('Parameters calculator (hide)'!B19,"#,#")</f>
        <v>7,384</v>
      </c>
      <c r="C9" s="11"/>
      <c r="D9" s="12"/>
      <c r="E9" s="9"/>
      <c r="F9" s="9"/>
      <c r="G9" s="9"/>
      <c r="H9" s="9"/>
      <c r="I9" s="9"/>
    </row>
    <row r="10" spans="1:12" ht="14.4" thickBot="1" x14ac:dyDescent="0.3">
      <c r="A10" s="243" t="str">
        <f>"("&amp;$C$4&amp;")"</f>
        <v>(Points)</v>
      </c>
      <c r="B10" s="435"/>
      <c r="C10" s="15"/>
      <c r="D10" s="16"/>
      <c r="E10" s="436" t="s">
        <v>348</v>
      </c>
      <c r="F10" s="437"/>
      <c r="G10" s="63" t="s">
        <v>87</v>
      </c>
      <c r="H10" s="9" t="s">
        <v>88</v>
      </c>
      <c r="I10" s="9"/>
      <c r="K10" s="5"/>
    </row>
    <row r="11" spans="1:12" ht="14.4" thickBot="1" x14ac:dyDescent="0.3">
      <c r="A11" s="91" t="str">
        <f>IF(LEFT(Demand!C8,1)="H","Based on selected baseline period in SPC sheet","Based on baseline forecast demand")</f>
        <v>Based on baseline forecast demand</v>
      </c>
      <c r="B11" s="11"/>
      <c r="C11" s="17"/>
      <c r="D11" s="12"/>
      <c r="E11" s="438" t="s">
        <v>89</v>
      </c>
      <c r="F11" s="439"/>
      <c r="G11" s="440">
        <v>1.0999999999999999E-2</v>
      </c>
      <c r="H11" s="428">
        <f ca="1">'Parameters calculator (hide)'!C25</f>
        <v>77.16279999999999</v>
      </c>
      <c r="I11" s="9"/>
    </row>
    <row r="12" spans="1:12" ht="14.4" thickBot="1" x14ac:dyDescent="0.3">
      <c r="A12" s="91" t="str">
        <f ca="1">"normalised to "&amp;TEXT('Parameters calculator (hide)'!$B$18,"#")&amp;" wks"</f>
        <v>normalised to 52 wks</v>
      </c>
      <c r="B12" s="11"/>
      <c r="C12" s="17"/>
      <c r="D12" s="9"/>
      <c r="E12" s="18"/>
      <c r="F12" s="14"/>
      <c r="G12" s="441"/>
      <c r="H12" s="429"/>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42" t="s">
        <v>373</v>
      </c>
      <c r="D15" s="443"/>
      <c r="E15" s="20"/>
      <c r="F15" s="412" t="s">
        <v>399</v>
      </c>
      <c r="G15" s="412"/>
      <c r="H15" s="20"/>
      <c r="I15" s="64" t="s">
        <v>87</v>
      </c>
      <c r="J15" s="20" t="s">
        <v>88</v>
      </c>
      <c r="K15" s="20"/>
      <c r="L15" s="20"/>
    </row>
    <row r="16" spans="1:12" ht="14.4" thickBot="1" x14ac:dyDescent="0.3">
      <c r="B16" s="20"/>
      <c r="C16" s="415">
        <f ca="1">IF(B9-H7-H11+J16&lt;0, 0, B9-H7-H11+J16)</f>
        <v>7386.5843999999997</v>
      </c>
      <c r="D16" s="416"/>
      <c r="E16" s="20"/>
      <c r="F16" s="20" t="s">
        <v>92</v>
      </c>
      <c r="G16" s="20"/>
      <c r="H16" s="20"/>
      <c r="I16" s="419">
        <f>'Parameters calculator (hide)'!$H$24</f>
        <v>0.8</v>
      </c>
      <c r="J16" s="421">
        <f ca="1">'Parameters calculator (hide)'!H25</f>
        <v>448.94719999999995</v>
      </c>
      <c r="K16" s="20"/>
      <c r="L16" s="20"/>
    </row>
    <row r="17" spans="1:13" ht="14.4" thickBot="1" x14ac:dyDescent="0.3">
      <c r="B17" s="20"/>
      <c r="C17" s="417"/>
      <c r="D17" s="418"/>
      <c r="E17" s="22"/>
      <c r="F17" s="23"/>
      <c r="G17" s="23"/>
      <c r="H17" s="23"/>
      <c r="I17" s="420"/>
      <c r="J17" s="422"/>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23" t="s">
        <v>347</v>
      </c>
      <c r="F20" s="423"/>
      <c r="G20" s="64" t="s">
        <v>87</v>
      </c>
      <c r="H20" s="25" t="s">
        <v>88</v>
      </c>
      <c r="I20" s="25"/>
      <c r="J20" s="25"/>
      <c r="K20" s="26"/>
      <c r="L20" s="20"/>
    </row>
    <row r="21" spans="1:13" ht="14.4" thickBot="1" x14ac:dyDescent="0.3">
      <c r="B21" s="20"/>
      <c r="C21" s="20"/>
      <c r="D21" s="28"/>
      <c r="E21" s="424" t="s">
        <v>93</v>
      </c>
      <c r="F21" s="425"/>
      <c r="G21" s="426">
        <v>0.08</v>
      </c>
      <c r="H21" s="428">
        <f ca="1">'Parameters calculator (hide)'!E25</f>
        <v>561.18399999999997</v>
      </c>
      <c r="I21" s="29"/>
      <c r="J21" s="29"/>
      <c r="K21" s="21"/>
      <c r="L21" s="20"/>
    </row>
    <row r="22" spans="1:13" ht="14.4" thickBot="1" x14ac:dyDescent="0.3">
      <c r="B22" s="90"/>
      <c r="C22" s="26"/>
      <c r="D22" s="23"/>
      <c r="E22" s="23"/>
      <c r="F22" s="24"/>
      <c r="G22" s="427"/>
      <c r="H22" s="429"/>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30" t="s">
        <v>372</v>
      </c>
      <c r="B25" s="31"/>
      <c r="C25" s="32"/>
      <c r="D25" s="31"/>
      <c r="E25" s="31"/>
      <c r="F25" s="31"/>
      <c r="G25" s="31"/>
      <c r="H25" s="31"/>
      <c r="I25" s="32"/>
      <c r="J25" s="31"/>
      <c r="K25" s="31"/>
    </row>
    <row r="26" spans="1:13" ht="14.4" thickBot="1" x14ac:dyDescent="0.3">
      <c r="A26" s="430"/>
      <c r="B26" s="432">
        <f ca="1">'Parameters calculator (hide)'!B27</f>
        <v>6825.4003999999995</v>
      </c>
      <c r="C26" s="33"/>
      <c r="D26" s="31"/>
      <c r="E26" s="31"/>
      <c r="F26" s="31"/>
      <c r="G26" s="92"/>
      <c r="H26" s="31"/>
      <c r="I26" s="32" t="s">
        <v>87</v>
      </c>
      <c r="J26" s="31" t="s">
        <v>88</v>
      </c>
      <c r="K26" s="31"/>
    </row>
    <row r="27" spans="1:13" ht="14.4" thickBot="1" x14ac:dyDescent="0.3">
      <c r="A27" s="244" t="str">
        <f>"("&amp;$C$4&amp;")"</f>
        <v>(Points)</v>
      </c>
      <c r="B27" s="433"/>
      <c r="C27" s="31"/>
      <c r="D27" s="31"/>
      <c r="E27" s="31"/>
      <c r="F27" s="83" t="s">
        <v>400</v>
      </c>
      <c r="G27" s="92"/>
      <c r="H27" s="31"/>
      <c r="I27" s="426">
        <v>0.2</v>
      </c>
      <c r="J27" s="413">
        <f ca="1">'Parameters calculator (hide)'!F25</f>
        <v>112.2368</v>
      </c>
      <c r="K27" s="31"/>
    </row>
    <row r="28" spans="1:13" ht="14.4" thickBot="1" x14ac:dyDescent="0.3">
      <c r="A28" s="83"/>
      <c r="B28" s="31"/>
      <c r="C28" s="31"/>
      <c r="D28" s="31"/>
      <c r="E28" s="31"/>
      <c r="F28" s="31" t="s">
        <v>95</v>
      </c>
      <c r="G28" s="31"/>
      <c r="H28" s="31"/>
      <c r="I28" s="427"/>
      <c r="J28" s="414"/>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3"/>
    </row>
    <row r="32" spans="1:13" ht="14.25" customHeight="1" x14ac:dyDescent="0.25">
      <c r="A32" t="s">
        <v>509</v>
      </c>
      <c r="B32" s="1"/>
      <c r="C32" s="1"/>
      <c r="D32" s="1"/>
      <c r="E32" s="1"/>
      <c r="F32" s="242" t="str">
        <f>'Parameters calculator (hide)'!E45</f>
        <v/>
      </c>
      <c r="G32" s="1"/>
      <c r="H32" s="150" t="str">
        <f>IF(F31&lt;&gt;"",IF(ABS(1-(F32/B9))&gt;0.05,"There appears to be some inconsistencies in your figures.",""),"")</f>
        <v/>
      </c>
      <c r="I32" s="150"/>
      <c r="J32" s="150"/>
      <c r="K32" s="150"/>
      <c r="L32" s="150"/>
      <c r="M32" s="150"/>
    </row>
    <row r="33" spans="1:8" x14ac:dyDescent="0.25">
      <c r="A33" s="2"/>
      <c r="H33" s="151"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3" t="s">
        <v>323</v>
      </c>
      <c r="B1" s="104"/>
      <c r="C1" s="104"/>
      <c r="D1" s="104"/>
      <c r="E1" s="104"/>
      <c r="F1" s="104"/>
      <c r="G1" s="104"/>
    </row>
    <row r="3" spans="1:7" x14ac:dyDescent="0.25">
      <c r="A3" t="s">
        <v>321</v>
      </c>
    </row>
    <row r="4" spans="1:7" s="67" customFormat="1" x14ac:dyDescent="0.25">
      <c r="A4" s="214">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Modality 1</v>
      </c>
      <c r="B9" s="215"/>
      <c r="C9" s="215"/>
      <c r="E9" s="215"/>
      <c r="G9" s="215"/>
    </row>
    <row r="10" spans="1:7" hidden="1" x14ac:dyDescent="0.25">
      <c r="A10" s="86" t="str">
        <f>IF(Setup!C28&lt;&gt;"",Setup!C28,"Modality "&amp;ROW(A2))</f>
        <v>Modality 2</v>
      </c>
      <c r="B10" s="215"/>
      <c r="C10" s="215"/>
      <c r="E10" s="215"/>
      <c r="G10" s="215"/>
    </row>
    <row r="11" spans="1:7" hidden="1" x14ac:dyDescent="0.25">
      <c r="A11" s="86" t="str">
        <f>IF(Setup!C29&lt;&gt;"",Setup!C29,"Modality "&amp;ROW(A3))</f>
        <v>Modality 3</v>
      </c>
      <c r="B11" s="215"/>
      <c r="C11" s="215"/>
      <c r="E11" s="215"/>
      <c r="G11" s="215"/>
    </row>
    <row r="12" spans="1:7" hidden="1" x14ac:dyDescent="0.25">
      <c r="A12" s="86" t="str">
        <f>IF(Setup!C30&lt;&gt;"",Setup!C30,"Modality "&amp;ROW(A8))</f>
        <v>Modality 4</v>
      </c>
      <c r="B12" s="215"/>
      <c r="C12" s="215"/>
      <c r="E12" s="215"/>
      <c r="G12" s="215"/>
    </row>
    <row r="13" spans="1:7" hidden="1" x14ac:dyDescent="0.25">
      <c r="A13" s="86" t="str">
        <f>IF(Setup!C31&lt;&gt;"",Setup!C31,"Modality "&amp;ROW(A9))</f>
        <v>Modality 5</v>
      </c>
      <c r="B13" s="215"/>
      <c r="C13" s="215"/>
      <c r="E13" s="215"/>
      <c r="G13" s="215"/>
    </row>
    <row r="14" spans="1:7" hidden="1" x14ac:dyDescent="0.25">
      <c r="A14" s="86" t="str">
        <f>IF(Setup!C32&lt;&gt;"",Setup!C32,"Modality "&amp;ROW(A10))</f>
        <v>Modality 6</v>
      </c>
      <c r="B14" s="215"/>
      <c r="C14" s="215"/>
      <c r="E14" s="215"/>
      <c r="G14" s="215"/>
    </row>
    <row r="15" spans="1:7" hidden="1" x14ac:dyDescent="0.25">
      <c r="A15" s="86" t="str">
        <f>IF(Setup!C33&lt;&gt;"",Setup!C33,"Modality "&amp;ROW(A11))</f>
        <v>Modality 7</v>
      </c>
      <c r="B15" s="215"/>
      <c r="C15" s="215"/>
      <c r="E15" s="215"/>
      <c r="G15" s="215"/>
    </row>
    <row r="16" spans="1:7" hidden="1" x14ac:dyDescent="0.25">
      <c r="A16" s="86" t="str">
        <f>IF(Setup!C34&lt;&gt;"",Setup!C34,"Modality "&amp;ROW(A12))</f>
        <v>Modality 8</v>
      </c>
      <c r="B16" s="215"/>
      <c r="C16" s="215"/>
      <c r="E16" s="215"/>
      <c r="G16" s="215"/>
    </row>
    <row r="17" spans="1:7" hidden="1" x14ac:dyDescent="0.25">
      <c r="A17" s="86" t="str">
        <f>IF(Setup!C35&lt;&gt;"",Setup!C35,"Modality "&amp;ROW(A13))</f>
        <v>Modality 9</v>
      </c>
      <c r="B17" s="215"/>
      <c r="C17" s="215"/>
      <c r="E17" s="215"/>
      <c r="G17" s="215"/>
    </row>
    <row r="18" spans="1:7" hidden="1" x14ac:dyDescent="0.25">
      <c r="A18" s="86" t="str">
        <f>IF(Setup!C36&lt;&gt;"",Setup!C36,"Modality "&amp;ROW(A14))</f>
        <v>Modality 10</v>
      </c>
      <c r="B18" s="215"/>
      <c r="C18" s="215"/>
      <c r="E18" s="215"/>
      <c r="G18" s="215"/>
    </row>
    <row r="19" spans="1:7" x14ac:dyDescent="0.25">
      <c r="A19" s="67"/>
    </row>
    <row r="20" spans="1:7" s="67" customFormat="1" x14ac:dyDescent="0.25">
      <c r="B20" s="96" t="s">
        <v>19</v>
      </c>
      <c r="C20" s="96" t="str">
        <f>Setup!I17</f>
        <v>Points</v>
      </c>
    </row>
    <row r="21" spans="1:7" s="67" customFormat="1" x14ac:dyDescent="0.25">
      <c r="A21" s="67" t="s">
        <v>395</v>
      </c>
      <c r="B21" s="95">
        <f ca="1">'Parameters calculator (hide)'!B19</f>
        <v>7384</v>
      </c>
      <c r="C21" s="95">
        <f ca="1">'Parameters calculator (hide)'!B19*'Parameters calculator (hide)'!E18</f>
        <v>14768</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Points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45D7+kYoT7QOgm5UPw6ukZbBUqwF+9fa+9PZV4Fnayuq3QSLgzFa/l4OrBYd2DOEQ3pKJthjiQaf85xMAeijLg==" saltValue="NrARdLHqClbiRQDdtEOKA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2</v>
      </c>
      <c r="G18" s="67" t="s">
        <v>394</v>
      </c>
      <c r="H18" s="51" t="s">
        <v>501</v>
      </c>
    </row>
    <row r="19" spans="1:13" x14ac:dyDescent="0.25">
      <c r="A19" t="s">
        <v>329</v>
      </c>
      <c r="B19">
        <f ca="1">'Demand background (hide)'!$BM$18*'Parameters calculator (hide)'!$B$18*IF(OR(Parameters!C4="Patients",B34=1),1/E18,1)</f>
        <v>7384</v>
      </c>
    </row>
    <row r="20" spans="1:13" x14ac:dyDescent="0.25">
      <c r="B20" t="s">
        <v>75</v>
      </c>
      <c r="C20" t="s">
        <v>336</v>
      </c>
      <c r="E20" t="s">
        <v>99</v>
      </c>
      <c r="F20" t="s">
        <v>337</v>
      </c>
      <c r="H20" t="s">
        <v>101</v>
      </c>
    </row>
    <row r="21" spans="1:13" s="67" customFormat="1" x14ac:dyDescent="0.25">
      <c r="A21" s="67" t="s">
        <v>334</v>
      </c>
      <c r="B21" s="84">
        <f>Parameters!$G$7</f>
        <v>0.05</v>
      </c>
      <c r="C21" s="84">
        <f>Parameters!$G$11</f>
        <v>1.0999999999999999E-2</v>
      </c>
      <c r="D21" s="47"/>
      <c r="E21" s="84">
        <f>Parameters!$G$21</f>
        <v>0.08</v>
      </c>
      <c r="F21" s="84">
        <f>Parameters!$I$27</f>
        <v>0.2</v>
      </c>
      <c r="G21" s="47"/>
      <c r="H21" s="84">
        <f>1-F21</f>
        <v>0.8</v>
      </c>
      <c r="M21" s="67" t="s">
        <v>393</v>
      </c>
    </row>
    <row r="22" spans="1:13" s="67" customFormat="1" x14ac:dyDescent="0.25">
      <c r="A22" s="67" t="s">
        <v>335</v>
      </c>
      <c r="B22" s="5">
        <f ca="1">Parameters!$H$7</f>
        <v>369.20000000000005</v>
      </c>
      <c r="C22" s="5">
        <f ca="1">Parameters!$H$11</f>
        <v>77.16279999999999</v>
      </c>
      <c r="E22" s="5">
        <f ca="1">Parameters!$H$21</f>
        <v>561.18399999999997</v>
      </c>
      <c r="F22" s="5">
        <f ca="1">Parameters!$J$27</f>
        <v>112.2368</v>
      </c>
      <c r="H22" s="5">
        <f ca="1">E22-F22</f>
        <v>448.94719999999995</v>
      </c>
    </row>
    <row r="23" spans="1:13" s="67" customFormat="1" x14ac:dyDescent="0.25"/>
    <row r="24" spans="1:13" x14ac:dyDescent="0.25">
      <c r="A24" s="67" t="s">
        <v>332</v>
      </c>
      <c r="B24" s="84">
        <f ca="1">IF($B$34=2,IFERROR(B22/B19,NA()),C16)</f>
        <v>0.05</v>
      </c>
      <c r="C24" s="84">
        <f ca="1">IF($B$34=2,IFERROR(C22/(B19-B22),NA()),E16)</f>
        <v>1.0999999999999998E-2</v>
      </c>
      <c r="D24" s="47"/>
      <c r="E24" s="84">
        <f ca="1">IF($B$34=2,IFERROR(E22/(B19-B22),NA()),G16)</f>
        <v>7.9999999999999988E-2</v>
      </c>
      <c r="F24" s="84">
        <f ca="1">IF($B$34=2,IF(E22=0,0,IFERROR(F22/E22,NA())),I16)</f>
        <v>0.2</v>
      </c>
      <c r="G24" s="47"/>
      <c r="H24" s="84">
        <f>IF(Parameters!$C$2="%",'Parameters calculator (hide)'!$H$21,1-F24)</f>
        <v>0.8</v>
      </c>
    </row>
    <row r="25" spans="1:13" x14ac:dyDescent="0.25">
      <c r="A25" t="s">
        <v>333</v>
      </c>
      <c r="B25" s="5">
        <f ca="1">IFERROR(B19*B21,NA())</f>
        <v>369.20000000000005</v>
      </c>
      <c r="C25" s="5">
        <f ca="1">IFERROR((B19*(1-B21)*C21),NA())</f>
        <v>77.16279999999999</v>
      </c>
      <c r="D25" s="67"/>
      <c r="E25" s="5">
        <f ca="1">IFERROR(B19*(1-B21)*E21,NA())</f>
        <v>561.18399999999997</v>
      </c>
      <c r="F25" s="5">
        <f ca="1">IFERROR(E25*F21,NA())</f>
        <v>112.2368</v>
      </c>
      <c r="G25" s="67"/>
      <c r="H25" s="5">
        <f ca="1">E25-F25</f>
        <v>448.94719999999995</v>
      </c>
    </row>
    <row r="27" spans="1:13" x14ac:dyDescent="0.25">
      <c r="A27" t="s">
        <v>340</v>
      </c>
      <c r="B27">
        <f ca="1">IF(Parameters!$C$2="Volume",B19-B22-C22+H22-E22,B19-B25-C25+H25-E25)</f>
        <v>6825.4003999999995</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7">
        <f>Parameters!F31</f>
        <v>0</v>
      </c>
    </row>
    <row r="43" spans="1:13" x14ac:dyDescent="0.25">
      <c r="A43" t="s">
        <v>75</v>
      </c>
      <c r="B43" s="100">
        <f ca="1">IF(B34=1,C16,B24)</f>
        <v>0.05</v>
      </c>
      <c r="C43" s="147">
        <f ca="1">(1-B43)</f>
        <v>0.95</v>
      </c>
      <c r="E43" s="149"/>
      <c r="G43" s="147"/>
    </row>
    <row r="44" spans="1:13" x14ac:dyDescent="0.25">
      <c r="A44" t="s">
        <v>336</v>
      </c>
      <c r="B44" s="100">
        <f ca="1">IF(B34=1,E16,C24)</f>
        <v>1.0999999999999998E-2</v>
      </c>
      <c r="C44" s="147">
        <f ca="1">B44</f>
        <v>1.0999999999999998E-2</v>
      </c>
      <c r="E44" s="147" t="s">
        <v>508</v>
      </c>
      <c r="G44" s="147"/>
      <c r="H44" s="67"/>
    </row>
    <row r="45" spans="1:13" x14ac:dyDescent="0.25">
      <c r="A45" t="s">
        <v>99</v>
      </c>
      <c r="B45" s="100">
        <f ca="1">IF(B34=1,G16,E24)</f>
        <v>7.9999999999999988E-2</v>
      </c>
      <c r="C45" s="147"/>
      <c r="E45" s="147" t="str">
        <f>IF(E42&gt;0,E42/(1-C44-(B45*B46))/C43,"")</f>
        <v/>
      </c>
      <c r="G45" s="147"/>
      <c r="H45" s="67"/>
    </row>
    <row r="46" spans="1:13" x14ac:dyDescent="0.25">
      <c r="A46" t="s">
        <v>337</v>
      </c>
      <c r="B46" s="100">
        <f ca="1">IF(B34=1,I16,F24)</f>
        <v>0.2</v>
      </c>
      <c r="C46" s="147">
        <f ca="1">B46*B45</f>
        <v>1.5999999999999997E-2</v>
      </c>
      <c r="E46" s="147"/>
      <c r="G46" s="147"/>
      <c r="H46" s="67"/>
    </row>
    <row r="47" spans="1:13" x14ac:dyDescent="0.25">
      <c r="A47" t="s">
        <v>406</v>
      </c>
      <c r="B47" s="100">
        <f ca="1">IF(B34=1,1-I16,1-F24)</f>
        <v>0.8</v>
      </c>
      <c r="C47" s="147">
        <f ca="1">B47*B45</f>
        <v>6.3999999999999987E-2</v>
      </c>
      <c r="D47" s="36"/>
      <c r="E47" s="147"/>
      <c r="F47" s="147"/>
      <c r="G47" s="147"/>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1</v>
      </c>
      <c r="F55" s="5">
        <f ca="1">('Demand background (hide)'!$BM$18*E55*(B55+((C55-B55)/2)))</f>
        <v>568</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1</v>
      </c>
      <c r="C56" s="67">
        <f>Pathway!C7/IF(Pathway!$E7="Weeks",1,7)</f>
        <v>3</v>
      </c>
      <c r="D56" s="67">
        <f>Pathway!D7/IF(Pathway!$E7="Weeks",1,7)</f>
        <v>0</v>
      </c>
      <c r="E56" s="67">
        <f ca="1">IF(AND(Pathway!$H$5="Override",Pathway!$I$6=""),Pathway!H7,Pathway!G7)</f>
        <v>0</v>
      </c>
      <c r="F56" s="5">
        <f ca="1">('Demand background (hide)'!$BM$18*E56*(B56+((C56-B56)/2)))</f>
        <v>0</v>
      </c>
      <c r="G56" s="67">
        <f ca="1">$C$47*E56*D56* 'Demand background (hide)'!$BM$18</f>
        <v>0</v>
      </c>
      <c r="L56" s="67">
        <f t="shared" si="0"/>
        <v>1</v>
      </c>
      <c r="M56" s="67">
        <f t="shared" si="1"/>
        <v>2</v>
      </c>
      <c r="N56" s="67">
        <f t="shared" ref="N56:N57" si="2">D56</f>
        <v>0</v>
      </c>
    </row>
    <row r="57" spans="1:14" x14ac:dyDescent="0.25">
      <c r="A57" t="str">
        <f>Setup!B22</f>
        <v>2WW</v>
      </c>
      <c r="B57">
        <f>Pathway!B6/IF(Pathway!$E6="Weeks",1,7)</f>
        <v>0</v>
      </c>
      <c r="C57" s="67">
        <f>Pathway!C6/IF(Pathway!$E6="Weeks",1,7)</f>
        <v>1.4285714285714286</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1.4285714285714286</v>
      </c>
      <c r="N57" s="67">
        <f t="shared" si="2"/>
        <v>0</v>
      </c>
    </row>
    <row r="61" spans="1:14" x14ac:dyDescent="0.25">
      <c r="F61" s="5"/>
      <c r="H61" t="s">
        <v>165</v>
      </c>
      <c r="I61" t="s">
        <v>166</v>
      </c>
    </row>
    <row r="62" spans="1:14" x14ac:dyDescent="0.25">
      <c r="A62" t="s">
        <v>415</v>
      </c>
      <c r="F62" s="5">
        <f ca="1">SUM(F55:G57)</f>
        <v>568</v>
      </c>
      <c r="H62" s="5">
        <f ca="1">F62*0.95</f>
        <v>539.6</v>
      </c>
      <c r="I62" s="5">
        <f ca="1">F62*1.05</f>
        <v>596.4</v>
      </c>
    </row>
    <row r="63" spans="1:14" x14ac:dyDescent="0.25">
      <c r="A63" t="s">
        <v>416</v>
      </c>
      <c r="F63" s="5">
        <f ca="1">F62/E18</f>
        <v>284</v>
      </c>
      <c r="H63" s="5">
        <f ca="1">F63*0.95</f>
        <v>269.8</v>
      </c>
      <c r="I63" s="5">
        <f ca="1">F63*1.05</f>
        <v>298.2</v>
      </c>
    </row>
    <row r="65" spans="1:10" x14ac:dyDescent="0.25">
      <c r="G65" t="str">
        <f>"Waiting list position ("&amp;LOWER(Summary!$C$8)&amp;")"</f>
        <v>Waiting list position (points)</v>
      </c>
    </row>
    <row r="66" spans="1:10" x14ac:dyDescent="0.25">
      <c r="A66" t="s">
        <v>417</v>
      </c>
      <c r="G66" t="s">
        <v>430</v>
      </c>
      <c r="H66" s="5">
        <f ca="1">IF(Summary!$C$8&lt;&gt;"Patients",H62,H63)</f>
        <v>539.6</v>
      </c>
      <c r="I66" s="5">
        <f ca="1">IF(Summary!$C$8&lt;&gt;"Patients",I62,I63)</f>
        <v>596.4</v>
      </c>
      <c r="J66" s="5">
        <f ca="1">I66-H66</f>
        <v>56.799999999999955</v>
      </c>
    </row>
    <row r="67" spans="1:10" x14ac:dyDescent="0.25">
      <c r="B67" t="s">
        <v>429</v>
      </c>
      <c r="C67" t="s">
        <v>313</v>
      </c>
      <c r="G67" t="s">
        <v>431</v>
      </c>
      <c r="H67" s="5">
        <f ca="1">IF(Summary!$C$8&lt;&gt;"Patients",C79,B79)</f>
        <v>152</v>
      </c>
    </row>
    <row r="68" spans="1:10" x14ac:dyDescent="0.25">
      <c r="A68" t="str">
        <f>Setup!C27</f>
        <v>Modality 1</v>
      </c>
      <c r="B68" s="5">
        <f>IF(ROW(A1)&lt;=Num_Modalities,Setup!G27,0)</f>
        <v>76</v>
      </c>
      <c r="C68" s="5">
        <f ca="1">Setup!G27*'Demand background (hide)'!BN6</f>
        <v>152</v>
      </c>
      <c r="D68" s="67"/>
      <c r="I68" s="5"/>
    </row>
    <row r="69" spans="1:10" x14ac:dyDescent="0.25">
      <c r="A69" s="67" t="str">
        <f>Setup!C28</f>
        <v>Modality 2</v>
      </c>
      <c r="B69" s="5">
        <f>IF(ROW(A2)&lt;=Num_Modalities,Setup!G28,0)</f>
        <v>0</v>
      </c>
      <c r="C69" s="5">
        <f ca="1">Setup!G28*'Demand background (hide)'!BN7</f>
        <v>0</v>
      </c>
      <c r="D69" s="67"/>
      <c r="G69" t="s">
        <v>307</v>
      </c>
      <c r="H69">
        <f ca="1">IF(AND(H66&gt;H67,I66&gt;H67),0,IF(H66&lt;I66,"0",TEXT(MAX(0,H67-I66),"#,#"))&amp;" - "&amp;TEXT(H67-H66,"#,#"))</f>
        <v>0</v>
      </c>
    </row>
    <row r="70" spans="1:10" x14ac:dyDescent="0.25">
      <c r="A70" s="67" t="str">
        <f>Setup!C29</f>
        <v>Modality 3</v>
      </c>
      <c r="B70" s="5">
        <f>IF(ROW(A3)&lt;=Num_Modalities,Setup!G29,0)</f>
        <v>0</v>
      </c>
      <c r="C70" s="5">
        <f ca="1">Setup!G29*'Demand background (hide)'!BN8</f>
        <v>0</v>
      </c>
      <c r="D70" s="67"/>
    </row>
    <row r="71" spans="1:10" x14ac:dyDescent="0.25">
      <c r="A71" s="67" t="str">
        <f>Setup!C30</f>
        <v>Modality 4</v>
      </c>
      <c r="B71" s="5">
        <f>IF(ROW(A4)&lt;=Num_Modalities,Setup!G30,0)</f>
        <v>0</v>
      </c>
      <c r="C71" s="5">
        <f ca="1">B71*'Demand background (hide)'!BN9</f>
        <v>0</v>
      </c>
      <c r="D71" s="67"/>
      <c r="H71" s="5">
        <f ca="1">H67-H66</f>
        <v>-387.6</v>
      </c>
      <c r="I71" s="5">
        <f ca="1">H67-I66</f>
        <v>-444.4</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76</v>
      </c>
      <c r="C79" s="5">
        <f ca="1">SUM(OFFSET($C$68,0,0,Num_Modalities,1))</f>
        <v>152</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31" sqref="I31"/>
    </sheetView>
  </sheetViews>
  <sheetFormatPr defaultRowHeight="13.8" x14ac:dyDescent="0.25"/>
  <cols>
    <col min="4" max="4" width="13.8984375" customWidth="1"/>
    <col min="8" max="8" width="11.59765625" bestFit="1" customWidth="1"/>
  </cols>
  <sheetData>
    <row r="3" spans="1:13" x14ac:dyDescent="0.25">
      <c r="A3" s="240" t="s">
        <v>407</v>
      </c>
      <c r="B3" s="239"/>
      <c r="C3" s="102"/>
      <c r="D3" s="102"/>
      <c r="E3" s="102"/>
      <c r="F3" s="102"/>
      <c r="G3" s="102"/>
      <c r="H3" s="102"/>
      <c r="I3" s="102"/>
      <c r="J3" s="102"/>
      <c r="K3" s="102"/>
      <c r="L3" s="102"/>
      <c r="M3" s="102"/>
    </row>
    <row r="4" spans="1:13" x14ac:dyDescent="0.25">
      <c r="F4" s="82"/>
    </row>
    <row r="5" spans="1:13" ht="27.6" x14ac:dyDescent="0.25">
      <c r="A5" s="232" t="s">
        <v>408</v>
      </c>
      <c r="B5" s="236" t="s">
        <v>148</v>
      </c>
      <c r="C5" s="237" t="s">
        <v>403</v>
      </c>
      <c r="D5" s="279" t="s">
        <v>882</v>
      </c>
      <c r="E5" s="280" t="s">
        <v>14</v>
      </c>
      <c r="F5" s="148"/>
      <c r="G5" s="238" t="s">
        <v>504</v>
      </c>
      <c r="H5" s="266" t="s">
        <v>875</v>
      </c>
      <c r="J5" s="67"/>
    </row>
    <row r="6" spans="1:13" x14ac:dyDescent="0.25">
      <c r="A6" s="233" t="str">
        <f>Setup!B22</f>
        <v>2WW</v>
      </c>
      <c r="B6" s="155">
        <v>0</v>
      </c>
      <c r="C6" s="155">
        <v>10</v>
      </c>
      <c r="D6" s="278"/>
      <c r="E6" s="161" t="s">
        <v>401</v>
      </c>
      <c r="G6" s="228">
        <f ca="1">IFERROR('Demand background (hide)'!BJ20,"")</f>
        <v>0</v>
      </c>
      <c r="H6" s="230"/>
      <c r="I6" s="229" t="str">
        <f>IF(AND(H5="Override",SUM(H6:H8)&lt;&gt;1),"Total values must equal 100%, defaulting to calculated value","")</f>
        <v/>
      </c>
      <c r="J6" s="67"/>
    </row>
    <row r="7" spans="1:13" x14ac:dyDescent="0.25">
      <c r="A7" s="234" t="str">
        <f>Setup!B23</f>
        <v>Urgent</v>
      </c>
      <c r="B7" s="155">
        <v>1</v>
      </c>
      <c r="C7" s="155">
        <v>3</v>
      </c>
      <c r="D7" s="278"/>
      <c r="E7" s="161" t="s">
        <v>402</v>
      </c>
      <c r="G7" s="228">
        <f ca="1">IFERROR('Demand background (hide)'!BK20,"")</f>
        <v>0</v>
      </c>
      <c r="H7" s="231"/>
      <c r="J7" s="67"/>
    </row>
    <row r="8" spans="1:13" x14ac:dyDescent="0.25">
      <c r="A8" s="235" t="str">
        <f>Setup!B24</f>
        <v>Routine</v>
      </c>
      <c r="B8" s="155">
        <v>2</v>
      </c>
      <c r="C8" s="155">
        <v>6</v>
      </c>
      <c r="D8" s="278"/>
      <c r="E8" s="161" t="s">
        <v>402</v>
      </c>
      <c r="G8" s="228">
        <f ca="1">IFERROR('Demand background (hide)'!BL20,"")</f>
        <v>1</v>
      </c>
      <c r="H8" s="231"/>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5" sqref="B15"/>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6" t="s">
        <v>249</v>
      </c>
      <c r="C1" s="31"/>
      <c r="D1" s="31"/>
      <c r="E1" s="31"/>
      <c r="F1" s="31"/>
      <c r="G1" s="31"/>
      <c r="H1" s="31"/>
      <c r="I1" s="31"/>
      <c r="J1" s="31"/>
      <c r="K1" s="31"/>
      <c r="L1" s="31"/>
      <c r="M1" s="31"/>
      <c r="N1" s="31"/>
      <c r="O1" s="31"/>
      <c r="P1" s="31"/>
      <c r="Q1" s="31"/>
      <c r="R1" s="31"/>
      <c r="S1" s="31"/>
      <c r="T1" s="31"/>
      <c r="U1" s="31"/>
    </row>
    <row r="4" spans="2:21" x14ac:dyDescent="0.25">
      <c r="B4" s="451" t="s">
        <v>884</v>
      </c>
      <c r="C4" s="451"/>
      <c r="D4" s="451"/>
      <c r="E4" s="451"/>
    </row>
    <row r="6" spans="2:21" x14ac:dyDescent="0.25">
      <c r="B6" s="2" t="s">
        <v>304</v>
      </c>
    </row>
    <row r="7" spans="2:21" x14ac:dyDescent="0.25">
      <c r="B7" t="s">
        <v>489</v>
      </c>
      <c r="C7" s="154" t="s">
        <v>421</v>
      </c>
    </row>
    <row r="8" spans="2:21" x14ac:dyDescent="0.25">
      <c r="B8" t="s">
        <v>490</v>
      </c>
      <c r="C8" s="154" t="s">
        <v>23</v>
      </c>
    </row>
    <row r="12" spans="2:21" x14ac:dyDescent="0.25">
      <c r="B12" s="331" t="s">
        <v>426</v>
      </c>
      <c r="C12" s="67"/>
    </row>
    <row r="13" spans="2:21" x14ac:dyDescent="0.25">
      <c r="B13" s="347">
        <f>Capacity!C3</f>
        <v>43934</v>
      </c>
    </row>
    <row r="17" spans="2:16" s="82" customFormat="1" x14ac:dyDescent="0.25">
      <c r="B17" s="335" t="s">
        <v>949</v>
      </c>
    </row>
    <row r="18" spans="2:16" x14ac:dyDescent="0.25">
      <c r="B18" s="336" t="s">
        <v>22</v>
      </c>
    </row>
    <row r="23" spans="2:16" x14ac:dyDescent="0.25">
      <c r="B23" s="2" t="s">
        <v>493</v>
      </c>
    </row>
    <row r="24" spans="2:16" x14ac:dyDescent="0.25">
      <c r="B24" s="162" t="s">
        <v>20</v>
      </c>
      <c r="D24" s="446" t="str">
        <f ca="1">"On aggregate, 1 patient = "&amp;TEXT('Demand background (hide)'!$BN$16,"#.#")&amp;" "&amp;Setup!$I$17</f>
        <v>On aggregate, 1 patient = 2. Points</v>
      </c>
      <c r="E24" s="446"/>
      <c r="F24" s="446"/>
      <c r="G24" s="446"/>
      <c r="H24" s="446"/>
      <c r="I24" s="446"/>
      <c r="J24" s="446"/>
      <c r="K24" s="446"/>
      <c r="P24" s="171" t="s">
        <v>500</v>
      </c>
    </row>
    <row r="26" spans="2:16" s="67" customFormat="1" x14ac:dyDescent="0.25"/>
    <row r="27" spans="2:16" s="67" customFormat="1" x14ac:dyDescent="0.25">
      <c r="B27" s="452" t="s">
        <v>302</v>
      </c>
      <c r="C27" s="452"/>
      <c r="D27" s="281" t="s">
        <v>497</v>
      </c>
      <c r="E27" s="281" t="s">
        <v>128</v>
      </c>
    </row>
    <row r="28" spans="2:16" s="67" customFormat="1" x14ac:dyDescent="0.25">
      <c r="B28" s="453" t="s">
        <v>1242</v>
      </c>
      <c r="C28" s="453"/>
      <c r="D28" s="276">
        <f ca="1">IFERROR('Summary Calculations (hide)'!N70,"")</f>
        <v>137.64627254716979</v>
      </c>
      <c r="E28" s="277" t="s">
        <v>499</v>
      </c>
      <c r="G28" s="229"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53" t="s">
        <v>1243</v>
      </c>
      <c r="C29" s="453"/>
      <c r="D29" s="276">
        <f ca="1">IFERROR('Summary Calculations (hide)'!M70,"")</f>
        <v>125.55336226415092</v>
      </c>
      <c r="E29" s="277" t="s">
        <v>499</v>
      </c>
      <c r="G29" s="275"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54" t="s">
        <v>503</v>
      </c>
      <c r="C30" s="455"/>
      <c r="D30" s="377">
        <f ca="1">IFERROR('Summary Calculations (hide)'!X70,"")</f>
        <v>142.0496999999998</v>
      </c>
      <c r="E30" s="377">
        <f ca="1">IFERROR('Summary Calculations (hide)'!X71,"")</f>
        <v>7528.6340999999902</v>
      </c>
    </row>
    <row r="31" spans="2:16" s="67" customFormat="1" x14ac:dyDescent="0.25">
      <c r="B31" s="145" t="s">
        <v>303</v>
      </c>
      <c r="C31" s="143"/>
    </row>
    <row r="32" spans="2:16" s="67" customFormat="1" x14ac:dyDescent="0.25">
      <c r="B32" s="456" t="s">
        <v>495</v>
      </c>
      <c r="C32" s="457"/>
      <c r="D32" s="276">
        <f ca="1">IFERROR('Summary Calculations (hide)'!R70,"")</f>
        <v>141.378809869376</v>
      </c>
      <c r="E32" s="276">
        <f ca="1">IFERROR('Summary Calculations (hide)'!R71,"")</f>
        <v>7493.0769230769283</v>
      </c>
      <c r="H32" s="5"/>
    </row>
    <row r="33" spans="2:21" s="67" customFormat="1" x14ac:dyDescent="0.25">
      <c r="B33" s="456" t="s">
        <v>496</v>
      </c>
      <c r="C33" s="457"/>
      <c r="D33" s="276">
        <f ca="1">IFERROR('Summary Calculations (hide)'!S70,"")</f>
        <v>0.94339622641509435</v>
      </c>
      <c r="E33" s="276">
        <f ca="1">IFERROR('Summary Calculations (hide)'!S71,"")</f>
        <v>50</v>
      </c>
    </row>
    <row r="34" spans="2:21" s="67" customFormat="1" x14ac:dyDescent="0.25">
      <c r="B34" s="145" t="s">
        <v>932</v>
      </c>
    </row>
    <row r="35" spans="2:21" s="67" customFormat="1" x14ac:dyDescent="0.25">
      <c r="B35" s="456" t="s">
        <v>931</v>
      </c>
      <c r="C35" s="457"/>
      <c r="D35" s="276">
        <f>IFERROR('Summary Calculations (hide)'!V70,"")</f>
        <v>0</v>
      </c>
      <c r="E35" s="276">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51" t="str">
        <f>"Current waiting list vs Estimated sustainable waiting list ("&amp;C8&amp;")"</f>
        <v>Current waiting list vs Estimated sustainable waiting list (Points)</v>
      </c>
      <c r="C38" s="451"/>
      <c r="D38" s="451"/>
      <c r="E38" s="451"/>
      <c r="F38" s="451"/>
      <c r="G38" s="451"/>
      <c r="H38" s="451"/>
    </row>
    <row r="40" spans="2:21" x14ac:dyDescent="0.25">
      <c r="B40" s="450" t="s">
        <v>489</v>
      </c>
      <c r="C40" s="450"/>
      <c r="D40" s="393" t="s">
        <v>249</v>
      </c>
      <c r="E40" s="394"/>
    </row>
    <row r="41" spans="2:21" x14ac:dyDescent="0.25">
      <c r="B41" s="378" t="str">
        <f>IF(AND(LEFT(Demand!C8,1)="H",'Demand adjustments for Covid'!F9="No"),"","WL predictions are disabled when forecast demand or Covid adjustments are enabled.")</f>
        <v>WL predictions are disabled when forecast demand or Covid adjustments are enabled.</v>
      </c>
    </row>
    <row r="42" spans="2:21" x14ac:dyDescent="0.25">
      <c r="B42" s="449" t="s">
        <v>1144</v>
      </c>
      <c r="C42" s="449"/>
      <c r="D42" s="337">
        <v>0</v>
      </c>
    </row>
    <row r="43" spans="2:21" x14ac:dyDescent="0.25">
      <c r="B43" s="449" t="s">
        <v>1145</v>
      </c>
      <c r="C43" s="449"/>
      <c r="D43" s="337">
        <v>0</v>
      </c>
    </row>
    <row r="49" spans="2:4" x14ac:dyDescent="0.25">
      <c r="B49" s="138" t="s">
        <v>305</v>
      </c>
      <c r="C49" s="447">
        <f ca="1">'Parameters calculator (hide)'!H67</f>
        <v>152</v>
      </c>
      <c r="D49" s="447"/>
    </row>
    <row r="50" spans="2:4" x14ac:dyDescent="0.25">
      <c r="B50" s="139" t="s">
        <v>306</v>
      </c>
      <c r="C50" s="448" t="str">
        <f ca="1">IFERROR(TEXT('Parameters calculator (hide)'!H66,"#,#")&amp;" - "&amp;TEXT('Parameters calculator (hide)'!I66,"#,#"),"")</f>
        <v>540 - 596</v>
      </c>
      <c r="D50" s="448"/>
    </row>
    <row r="53" spans="2:4" x14ac:dyDescent="0.25">
      <c r="B53" s="20" t="s">
        <v>307</v>
      </c>
      <c r="C53" s="448">
        <f ca="1">IFERROR('Parameters calculator (hide)'!H69,"")</f>
        <v>0</v>
      </c>
      <c r="D53" s="448"/>
    </row>
    <row r="55" spans="2:4" x14ac:dyDescent="0.25">
      <c r="B55" t="s">
        <v>933</v>
      </c>
    </row>
    <row r="57" spans="2:4" x14ac:dyDescent="0.25">
      <c r="B57" t="s">
        <v>934</v>
      </c>
    </row>
    <row r="58" spans="2:4" x14ac:dyDescent="0.25">
      <c r="B58" s="284"/>
      <c r="C58" t="s">
        <v>402</v>
      </c>
    </row>
    <row r="60" spans="2:4" x14ac:dyDescent="0.25">
      <c r="B60" t="s">
        <v>935</v>
      </c>
    </row>
    <row r="61" spans="2:4" x14ac:dyDescent="0.25">
      <c r="B61" s="282" t="str">
        <f ca="1">IF(OR(C53=0,B58=0,C53=""),"--",TEXT('Parameters calculator (hide)'!I71/B58,"#")&amp;" - "&amp;TEXT('Parameters calculator (hide)'!H71/B58,"#"))</f>
        <v>--</v>
      </c>
      <c r="C61" t="str">
        <f>LOWER(C8)&amp;" per week to clear in the time specified"</f>
        <v>points per week to clear in the time specified</v>
      </c>
    </row>
  </sheetData>
  <sheetProtection algorithmName="SHA-512" hashValue="8kBNrgvKSJdc/0LcqaDVESdCagxutJTuR/UN8QsmgefeRiUFQmSZ7v+SCAWf8kCJRBgqpvrsm9zjmCzh8ioTJA==" saltValue="wTjaN144mtboSQbWsB8CCA==" spinCount="100000" sheet="1" objects="1" scenarios="1"/>
  <mergeCells count="17">
    <mergeCell ref="B4:E4"/>
    <mergeCell ref="B38:H38"/>
    <mergeCell ref="B27:C27"/>
    <mergeCell ref="B28:C28"/>
    <mergeCell ref="B29:C29"/>
    <mergeCell ref="B30:C30"/>
    <mergeCell ref="B32:C32"/>
    <mergeCell ref="B33:C33"/>
    <mergeCell ref="B35:C35"/>
    <mergeCell ref="D40:E40"/>
    <mergeCell ref="D24:K24"/>
    <mergeCell ref="C49:D49"/>
    <mergeCell ref="C50:D50"/>
    <mergeCell ref="C53:D53"/>
    <mergeCell ref="B42:C42"/>
    <mergeCell ref="B43:C43"/>
    <mergeCell ref="B40:C40"/>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3.8" x14ac:dyDescent="0.25"/>
  <cols>
    <col min="1" max="1" width="32.8984375" customWidth="1"/>
  </cols>
  <sheetData>
    <row r="28" spans="1:12" x14ac:dyDescent="0.25">
      <c r="A28" t="s">
        <v>885</v>
      </c>
      <c r="J28" t="s">
        <v>942</v>
      </c>
    </row>
    <row r="30" spans="1:12" x14ac:dyDescent="0.25">
      <c r="A30" t="s">
        <v>392</v>
      </c>
      <c r="B30" t="s">
        <v>886</v>
      </c>
      <c r="J30" t="s">
        <v>943</v>
      </c>
      <c r="K30" t="s">
        <v>392</v>
      </c>
      <c r="L30" t="s">
        <v>886</v>
      </c>
    </row>
    <row r="31" spans="1:12" x14ac:dyDescent="0.25">
      <c r="A31" t="s">
        <v>11</v>
      </c>
      <c r="B31" t="s">
        <v>928</v>
      </c>
      <c r="J31" t="s">
        <v>944</v>
      </c>
      <c r="K31" t="s">
        <v>97</v>
      </c>
      <c r="L31" t="s">
        <v>938</v>
      </c>
    </row>
    <row r="32" spans="1:12" x14ac:dyDescent="0.25">
      <c r="A32" t="s">
        <v>51</v>
      </c>
      <c r="B32" t="s">
        <v>887</v>
      </c>
      <c r="J32" t="s">
        <v>946</v>
      </c>
      <c r="K32" t="s">
        <v>389</v>
      </c>
      <c r="L32" t="s">
        <v>939</v>
      </c>
    </row>
    <row r="33" spans="1:12" x14ac:dyDescent="0.25">
      <c r="A33" s="67" t="s">
        <v>51</v>
      </c>
      <c r="B33" t="s">
        <v>888</v>
      </c>
      <c r="J33" t="s">
        <v>945</v>
      </c>
      <c r="K33" t="s">
        <v>391</v>
      </c>
      <c r="L33" t="s">
        <v>940</v>
      </c>
    </row>
    <row r="34" spans="1:12" x14ac:dyDescent="0.25">
      <c r="A34" s="67" t="s">
        <v>51</v>
      </c>
      <c r="B34" t="s">
        <v>889</v>
      </c>
      <c r="J34" t="s">
        <v>947</v>
      </c>
      <c r="K34" t="s">
        <v>391</v>
      </c>
      <c r="L34" t="s">
        <v>941</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97</v>
      </c>
      <c r="B43" t="s">
        <v>898</v>
      </c>
    </row>
    <row r="44" spans="1:12" x14ac:dyDescent="0.25">
      <c r="A44" t="s">
        <v>900</v>
      </c>
      <c r="B44" t="s">
        <v>1179</v>
      </c>
    </row>
    <row r="45" spans="1:12" x14ac:dyDescent="0.25">
      <c r="A45" t="s">
        <v>388</v>
      </c>
      <c r="B45" t="s">
        <v>901</v>
      </c>
    </row>
    <row r="46" spans="1:12" x14ac:dyDescent="0.25">
      <c r="A46" t="s">
        <v>388</v>
      </c>
      <c r="B46" t="s">
        <v>902</v>
      </c>
    </row>
    <row r="47" spans="1:12" x14ac:dyDescent="0.25">
      <c r="A47" t="s">
        <v>388</v>
      </c>
      <c r="B47" t="s">
        <v>385</v>
      </c>
    </row>
    <row r="48" spans="1:12" x14ac:dyDescent="0.25">
      <c r="A48" t="s">
        <v>388</v>
      </c>
      <c r="B48" t="s">
        <v>903</v>
      </c>
    </row>
    <row r="49" spans="1:2" x14ac:dyDescent="0.25">
      <c r="A49" t="s">
        <v>388</v>
      </c>
      <c r="B49" t="s">
        <v>904</v>
      </c>
    </row>
    <row r="50" spans="1:2" x14ac:dyDescent="0.25">
      <c r="A50" t="s">
        <v>389</v>
      </c>
      <c r="B50" t="s">
        <v>897</v>
      </c>
    </row>
    <row r="51" spans="1:2" x14ac:dyDescent="0.25">
      <c r="A51" t="s">
        <v>389</v>
      </c>
      <c r="B51" t="s">
        <v>905</v>
      </c>
    </row>
    <row r="52" spans="1:2" x14ac:dyDescent="0.25">
      <c r="A52" t="s">
        <v>390</v>
      </c>
      <c r="B52" t="s">
        <v>906</v>
      </c>
    </row>
    <row r="53" spans="1:2" x14ac:dyDescent="0.25">
      <c r="A53" t="s">
        <v>390</v>
      </c>
      <c r="B53" t="s">
        <v>907</v>
      </c>
    </row>
    <row r="54" spans="1:2" x14ac:dyDescent="0.25">
      <c r="A54" t="s">
        <v>908</v>
      </c>
      <c r="B54" t="s">
        <v>909</v>
      </c>
    </row>
    <row r="55" spans="1:2" x14ac:dyDescent="0.25">
      <c r="A55" t="s">
        <v>910</v>
      </c>
      <c r="B55" t="s">
        <v>911</v>
      </c>
    </row>
    <row r="56" spans="1:2" x14ac:dyDescent="0.25">
      <c r="A56" s="67" t="s">
        <v>391</v>
      </c>
      <c r="B56" s="67" t="s">
        <v>913</v>
      </c>
    </row>
    <row r="57" spans="1:2" x14ac:dyDescent="0.25">
      <c r="A57" t="s">
        <v>391</v>
      </c>
      <c r="B57" t="s">
        <v>912</v>
      </c>
    </row>
    <row r="58" spans="1:2" x14ac:dyDescent="0.25">
      <c r="A58" t="s">
        <v>477</v>
      </c>
      <c r="B58" t="s">
        <v>906</v>
      </c>
    </row>
    <row r="59" spans="1:2" x14ac:dyDescent="0.25">
      <c r="A59" s="67" t="s">
        <v>477</v>
      </c>
      <c r="B59" t="s">
        <v>912</v>
      </c>
    </row>
    <row r="60" spans="1:2" x14ac:dyDescent="0.25">
      <c r="A60" s="67" t="s">
        <v>477</v>
      </c>
      <c r="B60" t="s">
        <v>914</v>
      </c>
    </row>
    <row r="61" spans="1:2" x14ac:dyDescent="0.25">
      <c r="A61" s="67" t="s">
        <v>477</v>
      </c>
      <c r="B61" t="s">
        <v>915</v>
      </c>
    </row>
    <row r="62" spans="1:2" x14ac:dyDescent="0.25">
      <c r="A62" t="s">
        <v>916</v>
      </c>
      <c r="B62" t="s">
        <v>917</v>
      </c>
    </row>
    <row r="63" spans="1:2" x14ac:dyDescent="0.25">
      <c r="A63" t="s">
        <v>916</v>
      </c>
      <c r="B63" t="s">
        <v>918</v>
      </c>
    </row>
    <row r="64" spans="1:2" x14ac:dyDescent="0.25">
      <c r="A64" t="s">
        <v>916</v>
      </c>
      <c r="B64" t="s">
        <v>919</v>
      </c>
    </row>
    <row r="65" spans="1:2" x14ac:dyDescent="0.25">
      <c r="A65" t="s">
        <v>249</v>
      </c>
      <c r="B65" t="s">
        <v>920</v>
      </c>
    </row>
    <row r="66" spans="1:2" x14ac:dyDescent="0.25">
      <c r="A66" t="s">
        <v>249</v>
      </c>
      <c r="B66" t="s">
        <v>922</v>
      </c>
    </row>
    <row r="67" spans="1:2" x14ac:dyDescent="0.25">
      <c r="A67" s="67" t="s">
        <v>249</v>
      </c>
      <c r="B67" t="s">
        <v>921</v>
      </c>
    </row>
    <row r="68" spans="1:2" x14ac:dyDescent="0.25">
      <c r="A68" t="s">
        <v>510</v>
      </c>
      <c r="B68" t="s">
        <v>926</v>
      </c>
    </row>
    <row r="69" spans="1:2" x14ac:dyDescent="0.25">
      <c r="A69" t="s">
        <v>510</v>
      </c>
      <c r="B69" t="s">
        <v>897</v>
      </c>
    </row>
    <row r="70" spans="1:2" x14ac:dyDescent="0.25">
      <c r="A70" t="s">
        <v>510</v>
      </c>
      <c r="B70" t="s">
        <v>927</v>
      </c>
    </row>
    <row r="71" spans="1:2" x14ac:dyDescent="0.25">
      <c r="A71" t="s">
        <v>510</v>
      </c>
      <c r="B71" t="s">
        <v>923</v>
      </c>
    </row>
    <row r="72" spans="1:2" x14ac:dyDescent="0.25">
      <c r="A72" t="s">
        <v>510</v>
      </c>
      <c r="B72" t="s">
        <v>924</v>
      </c>
    </row>
    <row r="73" spans="1:2" x14ac:dyDescent="0.25">
      <c r="A73" s="67" t="s">
        <v>510</v>
      </c>
      <c r="B73" t="s">
        <v>925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3" workbookViewId="0">
      <selection activeCell="K25" sqref="K25"/>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(Points)</v>
      </c>
    </row>
    <row r="3" spans="1:24" x14ac:dyDescent="0.25">
      <c r="E3" t="s">
        <v>244</v>
      </c>
      <c r="F3" t="s">
        <v>245</v>
      </c>
      <c r="H3" t="s">
        <v>250</v>
      </c>
      <c r="J3" t="s">
        <v>876</v>
      </c>
      <c r="L3" s="67" t="s">
        <v>1161</v>
      </c>
    </row>
    <row r="4" spans="1:24" x14ac:dyDescent="0.25">
      <c r="D4" t="s">
        <v>239</v>
      </c>
      <c r="E4">
        <f>IFERROR('SPC background (hide)'!C4,"")</f>
        <v>1</v>
      </c>
      <c r="F4">
        <f ca="1">'SPC background (hide)'!G5+'Summary Calculations (hide)'!E4-1</f>
        <v>10</v>
      </c>
      <c r="H4" t="s">
        <v>75</v>
      </c>
      <c r="I4" s="100">
        <f ca="1">'Parameters calculator (hide)'!B43</f>
        <v>0.05</v>
      </c>
      <c r="J4">
        <f ca="1">IF(Planning!C15="",'Summary Calculations (hide)'!I4,Planning!C15)</f>
        <v>0.05</v>
      </c>
      <c r="L4" s="67">
        <f ca="1">(1-J4)*(1-J5+(J6*J7))</f>
        <v>1.0003499999999999</v>
      </c>
    </row>
    <row r="5" spans="1:24" x14ac:dyDescent="0.25">
      <c r="D5" t="s">
        <v>240</v>
      </c>
      <c r="E5" t="str">
        <f ca="1">IFERROR('SPC background (hide)'!D6,"")</f>
        <v/>
      </c>
      <c r="F5" t="e">
        <f ca="1">'SPC background (hide)'!H7+'Summary Calculations (hide)'!E5-1</f>
        <v>#VALUE!</v>
      </c>
      <c r="H5" t="s">
        <v>251</v>
      </c>
      <c r="I5" s="100">
        <f ca="1">'Parameters calculator (hide)'!B44</f>
        <v>1.0999999999999998E-2</v>
      </c>
      <c r="J5" s="67">
        <f ca="1">IF(Planning!C16="",'Summary Calculations (hide)'!I5,Planning!C16)</f>
        <v>1.0999999999999998E-2</v>
      </c>
    </row>
    <row r="6" spans="1:24" x14ac:dyDescent="0.25">
      <c r="D6" t="s">
        <v>241</v>
      </c>
      <c r="E6" t="str">
        <f ca="1">IFERROR('SPC background (hide)'!D8,"")</f>
        <v/>
      </c>
      <c r="F6" t="str">
        <f ca="1">IFERROR('SPC background (hide)'!H9-'Summary Calculations (hide)'!E6-1,"")</f>
        <v/>
      </c>
      <c r="H6" t="s">
        <v>99</v>
      </c>
      <c r="I6" s="100">
        <f ca="1">'Parameters calculator (hide)'!B45</f>
        <v>7.9999999999999988E-2</v>
      </c>
      <c r="J6" s="67">
        <f ca="1">IF(Planning!C17="",'Summary Calculations (hide)'!I6,Planning!C17)</f>
        <v>7.9999999999999988E-2</v>
      </c>
    </row>
    <row r="7" spans="1:24" x14ac:dyDescent="0.25">
      <c r="D7" t="s">
        <v>242</v>
      </c>
      <c r="E7" t="str">
        <f ca="1">IFERROR('SPC background (hide)'!D10,"")</f>
        <v/>
      </c>
      <c r="F7" t="str">
        <f ca="1">IFERROR('SPC background (hide)'!H11-'Summary Calculations (hide)'!E7-1,"")</f>
        <v/>
      </c>
      <c r="H7" t="s">
        <v>418</v>
      </c>
      <c r="I7" s="100">
        <f ca="1">'Parameters calculator (hide)'!B47</f>
        <v>0.8</v>
      </c>
      <c r="J7" s="67">
        <f ca="1">IF(Planning!C18="",'Summary Calculations (hide)'!I7,1-Planning!C18)</f>
        <v>0.8</v>
      </c>
    </row>
    <row r="9" spans="1:24" x14ac:dyDescent="0.25">
      <c r="H9" t="s">
        <v>422</v>
      </c>
      <c r="I9" s="5">
        <f ca="1">'Demand background (hide)'!BN16</f>
        <v>2</v>
      </c>
    </row>
    <row r="11" spans="1:24" x14ac:dyDescent="0.25">
      <c r="D11" t="s">
        <v>243</v>
      </c>
      <c r="E11" s="87">
        <f>IF(Summary!$B$13="",'Critical resources (hide)'!B6,Summary!$B$13)</f>
        <v>43934</v>
      </c>
    </row>
    <row r="12" spans="1:24" x14ac:dyDescent="0.25">
      <c r="E12" s="322"/>
      <c r="P12" t="s">
        <v>411</v>
      </c>
      <c r="R12" t="str">
        <f>"Required vs available capacity ("&amp;LOWER(Summary!$C$8)&amp;")"</f>
        <v>Required vs available capacity (points)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43934</v>
      </c>
      <c r="B15">
        <f>YEAR(A15)</f>
        <v>2020</v>
      </c>
      <c r="C15" s="67" t="str">
        <f>TEXT(A15,"MMM")</f>
        <v>Apr</v>
      </c>
      <c r="D15">
        <f>WEEKNUM(A15,21)</f>
        <v>16</v>
      </c>
      <c r="E15" s="5">
        <f ca="1">IF(LEFT(Demand!$C$8,1)="H",VLOOKUP($D15,'SPC background (hide)'!$AG$2:$AS$54,12,0),'Demand background (hide)'!X4)</f>
        <v>122</v>
      </c>
      <c r="F15" s="5">
        <f ca="1">IF(LEFT(Demand!$C$8,1)="H",VLOOKUP($D15,'SPC background (hide)'!$AG$2:$AS$54,13,0),E15*1.1)</f>
        <v>134.20000000000002</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20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20</v>
      </c>
      <c r="L15" s="5">
        <f ca="1">J15</f>
        <v>0</v>
      </c>
      <c r="M15" s="5">
        <f ca="1">(IF('Demand adjustments for Covid'!$F$9="No",E15,SUM('Demand background (hide)'!DS4,'Demand background (hide)'!DV4:DW4))*(1-'Parameters calculator (hide)'!$B$43))*(1-'Parameters calculator (hide)'!$B$44+('Parameters calculator (hide)'!$B$45*'Parameters calculator (hide)'!$B$47))</f>
        <v>10.003499999999999</v>
      </c>
      <c r="N15" s="5">
        <f ca="1">(IF('Demand adjustments for Covid'!$F$9="No",F15,SUM('Demand background (hide)'!DT4,'Demand background (hide)'!DV4:DW4))*(1-'Parameters calculator (hide)'!$B$43))*(1-'Parameters calculator (hide)'!$B$44+('Parameters calculator (hide)'!$B$45*'Parameters calculator (hide)'!$B$47))</f>
        <v>13.004549999999998</v>
      </c>
      <c r="P15" s="5">
        <f ca="1">I15</f>
        <v>20</v>
      </c>
      <c r="Q15" s="5">
        <f ca="1">J15</f>
        <v>0</v>
      </c>
      <c r="R15" s="5">
        <f ca="1">IF(P15-V15&lt;0,0,P15-V15)</f>
        <v>20</v>
      </c>
      <c r="S15" s="5">
        <f ca="1">IF(R15=0,IF(P15+Q15-V15&lt;0,0,P15+Q15-V15),Q15)</f>
        <v>0</v>
      </c>
      <c r="T15" s="5">
        <f ca="1">M15/IF(Summary!$C$8&lt;&gt;"Patients",1,$I$9)</f>
        <v>10.003499999999999</v>
      </c>
      <c r="U15" s="5">
        <f ca="1">((N15-M15)/IF(Summary!$C$8&lt;&gt;"Patients",1,$I$9))</f>
        <v>3.0010499999999993</v>
      </c>
      <c r="V15" s="5">
        <f>SUM(G15:H15)</f>
        <v>0</v>
      </c>
      <c r="X15" s="5">
        <f ca="1">(VLOOKUP(D15,'SPC background (hide)'!$AG$2:$AN$54,8,0)/IF(Summary!$C$8&lt;&gt;"Patients",1,$I$9))*(1-$I$4)*(1-$I$5+($I$6*$I$7))</f>
        <v>142.0497</v>
      </c>
    </row>
    <row r="16" spans="1:24" x14ac:dyDescent="0.25">
      <c r="A16" s="87">
        <f>A15+7</f>
        <v>43941</v>
      </c>
      <c r="B16" s="67" t="str">
        <f t="shared" ref="B16:B47" si="0">IF(YEAR(A16)&lt;&gt;YEAR(A15),YEAR(A16),"")</f>
        <v/>
      </c>
      <c r="C16" s="67" t="str">
        <f>IF(TEXT(A16,"MMM")&lt;&gt;TEXT(A15,"MMM"),TEXT(A16,"MMM"),"")</f>
        <v/>
      </c>
      <c r="D16" s="67">
        <f t="shared" ref="D16:D66" si="1">WEEKNUM(A16,21)</f>
        <v>17</v>
      </c>
      <c r="E16" s="5">
        <f ca="1">IF(LEFT(Demand!$C$8,1)="H",VLOOKUP($D16,'SPC background (hide)'!$AG$2:$AS$54,12,0),'Demand background (hide)'!X5)</f>
        <v>124</v>
      </c>
      <c r="F16" s="5">
        <f ca="1">IF(LEFT(Demand!$C$8,1)="H",VLOOKUP($D16,'SPC background (hide)'!$AG$2:$AS$54,13,0),E16*1.1)</f>
        <v>136.4</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20</v>
      </c>
      <c r="J16" s="5">
        <f ca="1">HLOOKUP(D16,'Capacity calculation (hide)'!$BK$110:$DJ$111,2,0)</f>
        <v>0</v>
      </c>
      <c r="K16" s="5">
        <f ca="1">IF(I16-IF(Setup!$I$15="Yes",$G16,0)-IF(Setup!$I$13="Yes",$H16,0)&lt;0,0,I16-IF(Setup!$I$15="Yes",$G16,0)-IF(Setup!$I$13="Yes",$H16,0))</f>
        <v>20</v>
      </c>
      <c r="L16" s="5">
        <f t="shared" ref="L16:L66" ca="1" si="2">J16</f>
        <v>0</v>
      </c>
      <c r="M16" s="5">
        <f ca="1">(IF('Demand adjustments for Covid'!$F$9="No",E16,SUM('Demand background (hide)'!DS5,'Demand background (hide)'!DV5:DW5))*(1-'Parameters calculator (hide)'!$B$43))*(1-'Parameters calculator (hide)'!$B$44+('Parameters calculator (hide)'!$B$45*'Parameters calculator (hide)'!$B$47))</f>
        <v>10.003499999999999</v>
      </c>
      <c r="N16" s="5">
        <f ca="1">(IF('Demand adjustments for Covid'!$F$9="No",F16,SUM('Demand background (hide)'!DT5,'Demand background (hide)'!DV5:DW5))*(1-'Parameters calculator (hide)'!$B$43))*(1-'Parameters calculator (hide)'!$B$44+('Parameters calculator (hide)'!$B$45*'Parameters calculator (hide)'!$B$47))</f>
        <v>13.004549999999998</v>
      </c>
      <c r="P16" s="5">
        <f t="shared" ref="P16:P66" ca="1" si="3">I16</f>
        <v>20</v>
      </c>
      <c r="Q16" s="5">
        <f t="shared" ref="Q16:Q66" ca="1" si="4">J16</f>
        <v>0</v>
      </c>
      <c r="R16" s="5">
        <f t="shared" ref="R16:R66" ca="1" si="5">IF(P16-V16&lt;0,0,P16-V16)</f>
        <v>20</v>
      </c>
      <c r="S16" s="5">
        <f t="shared" ref="S16:S66" ca="1" si="6">IF(R16=0,IF(P16+Q16-V16&lt;0,0,P16+Q16-V16),Q16)</f>
        <v>0</v>
      </c>
      <c r="T16" s="5">
        <f ca="1">M16/IF(Summary!$C$8&lt;&gt;"Patients",1,$I$9)</f>
        <v>10.003499999999999</v>
      </c>
      <c r="U16" s="5">
        <f ca="1">((N16-M16)/IF(Summary!$C$8&lt;&gt;"Patients",1,$I$9))</f>
        <v>3.0010499999999993</v>
      </c>
      <c r="V16" s="5">
        <f t="shared" ref="V16:V66" si="7">SUM(G16:H16)</f>
        <v>0</v>
      </c>
      <c r="X16" s="5">
        <f ca="1">(VLOOKUP(D16,'SPC background (hide)'!$AG$2:$AN$54,8,0)/IF(Summary!$C$8&lt;&gt;"Patients",1,$I$9))*(1-$I$4)*(1-$I$5+($I$6*$I$7))</f>
        <v>142.0497</v>
      </c>
    </row>
    <row r="17" spans="1:24" x14ac:dyDescent="0.25">
      <c r="A17" s="87">
        <f t="shared" ref="A17:A67" si="8">A16+7</f>
        <v>43948</v>
      </c>
      <c r="B17" s="67" t="str">
        <f t="shared" si="0"/>
        <v/>
      </c>
      <c r="C17" s="67" t="str">
        <f t="shared" ref="C17:C65" si="9">IF(TEXT(A17,"MMM")&lt;&gt;TEXT(A16,"MMM"),TEXT(A17,"MMM"),"")</f>
        <v/>
      </c>
      <c r="D17" s="67">
        <f t="shared" si="1"/>
        <v>18</v>
      </c>
      <c r="E17" s="5">
        <f ca="1">IF(LEFT(Demand!$C$8,1)="H",VLOOKUP($D17,'SPC background (hide)'!$AG$2:$AS$54,12,0),'Demand background (hide)'!X6)</f>
        <v>138</v>
      </c>
      <c r="F17" s="5">
        <f ca="1">IF(LEFT(Demand!$C$8,1)="H",VLOOKUP($D17,'SPC background (hide)'!$AG$2:$AS$54,13,0),E17*1.1)</f>
        <v>151.80000000000001</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20</v>
      </c>
      <c r="J17" s="5">
        <f ca="1">HLOOKUP(D17,'Capacity calculation (hide)'!$BK$110:$DJ$111,2,0)</f>
        <v>0</v>
      </c>
      <c r="K17" s="5">
        <f ca="1">IF(I17-IF(Setup!$I$15="Yes",$G17,0)-IF(Setup!$I$13="Yes",$H17,0)&lt;0,0,I17-IF(Setup!$I$15="Yes",$G17,0)-IF(Setup!$I$13="Yes",$H17,0))</f>
        <v>20</v>
      </c>
      <c r="L17" s="5">
        <f t="shared" ca="1" si="2"/>
        <v>0</v>
      </c>
      <c r="M17" s="5">
        <f ca="1">(IF('Demand adjustments for Covid'!$F$9="No",E17,SUM('Demand background (hide)'!DS6,'Demand background (hide)'!DV6:DW6))*(1-'Parameters calculator (hide)'!$B$43))*(1-'Parameters calculator (hide)'!$B$44+('Parameters calculator (hide)'!$B$45*'Parameters calculator (hide)'!$B$47))</f>
        <v>10.003499999999999</v>
      </c>
      <c r="N17" s="5">
        <f ca="1">(IF('Demand adjustments for Covid'!$F$9="No",F17,SUM('Demand background (hide)'!DT6,'Demand background (hide)'!DV6:DW6))*(1-'Parameters calculator (hide)'!$B$43))*(1-'Parameters calculator (hide)'!$B$44+('Parameters calculator (hide)'!$B$45*'Parameters calculator (hide)'!$B$47))</f>
        <v>13.004549999999998</v>
      </c>
      <c r="P17" s="5">
        <f t="shared" ca="1" si="3"/>
        <v>20</v>
      </c>
      <c r="Q17" s="5">
        <f t="shared" ca="1" si="4"/>
        <v>0</v>
      </c>
      <c r="R17" s="5">
        <f t="shared" ca="1" si="5"/>
        <v>20</v>
      </c>
      <c r="S17" s="5">
        <f t="shared" ca="1" si="6"/>
        <v>0</v>
      </c>
      <c r="T17" s="5">
        <f ca="1">M17/IF(Summary!$C$8&lt;&gt;"Patients",1,$I$9)</f>
        <v>10.003499999999999</v>
      </c>
      <c r="U17" s="5">
        <f ca="1">((N17-M17)/IF(Summary!$C$8&lt;&gt;"Patients",1,$I$9))</f>
        <v>3.0010499999999993</v>
      </c>
      <c r="V17" s="5">
        <f t="shared" si="7"/>
        <v>0</v>
      </c>
      <c r="X17" s="5">
        <f ca="1">(VLOOKUP(D17,'SPC background (hide)'!$AG$2:$AN$54,8,0)/IF(Summary!$C$8&lt;&gt;"Patients",1,$I$9))*(1-$I$4)*(1-$I$5+($I$6*$I$7))</f>
        <v>142.0497</v>
      </c>
    </row>
    <row r="18" spans="1:24" x14ac:dyDescent="0.25">
      <c r="A18" s="87">
        <f t="shared" si="8"/>
        <v>43955</v>
      </c>
      <c r="B18" s="67" t="str">
        <f t="shared" si="0"/>
        <v/>
      </c>
      <c r="C18" s="67" t="str">
        <f t="shared" si="9"/>
        <v>May</v>
      </c>
      <c r="D18" s="67">
        <f t="shared" si="1"/>
        <v>19</v>
      </c>
      <c r="E18" s="5">
        <f ca="1">IF(LEFT(Demand!$C$8,1)="H",VLOOKUP($D18,'SPC background (hide)'!$AG$2:$AS$54,12,0),'Demand background (hide)'!X7)</f>
        <v>142</v>
      </c>
      <c r="F18" s="5">
        <f ca="1">IF(LEFT(Demand!$C$8,1)="H",VLOOKUP($D18,'SPC background (hide)'!$AG$2:$AS$54,13,0),E18*1.1)</f>
        <v>156.20000000000002</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20</v>
      </c>
      <c r="J18" s="5">
        <f ca="1">HLOOKUP(D18,'Capacity calculation (hide)'!$BK$110:$DJ$111,2,0)</f>
        <v>0</v>
      </c>
      <c r="K18" s="5">
        <f ca="1">IF(I18-IF(Setup!$I$15="Yes",$G18,0)-IF(Setup!$I$13="Yes",$H18,0)&lt;0,0,I18-IF(Setup!$I$15="Yes",$G18,0)-IF(Setup!$I$13="Yes",$H18,0))</f>
        <v>20</v>
      </c>
      <c r="L18" s="5">
        <f t="shared" ca="1" si="2"/>
        <v>0</v>
      </c>
      <c r="M18" s="5">
        <f ca="1">(IF('Demand adjustments for Covid'!$F$9="No",E18,SUM('Demand background (hide)'!DS7,'Demand background (hide)'!DV7:DW7))*(1-'Parameters calculator (hide)'!$B$43))*(1-'Parameters calculator (hide)'!$B$44+('Parameters calculator (hide)'!$B$45*'Parameters calculator (hide)'!$B$47))</f>
        <v>10.003499999999999</v>
      </c>
      <c r="N18" s="5">
        <f ca="1">(IF('Demand adjustments for Covid'!$F$9="No",F18,SUM('Demand background (hide)'!DT7,'Demand background (hide)'!DV7:DW7))*(1-'Parameters calculator (hide)'!$B$43))*(1-'Parameters calculator (hide)'!$B$44+('Parameters calculator (hide)'!$B$45*'Parameters calculator (hide)'!$B$47))</f>
        <v>13.004549999999998</v>
      </c>
      <c r="P18" s="5">
        <f t="shared" ca="1" si="3"/>
        <v>20</v>
      </c>
      <c r="Q18" s="5">
        <f t="shared" ca="1" si="4"/>
        <v>0</v>
      </c>
      <c r="R18" s="5">
        <f t="shared" ca="1" si="5"/>
        <v>20</v>
      </c>
      <c r="S18" s="5">
        <f t="shared" ca="1" si="6"/>
        <v>0</v>
      </c>
      <c r="T18" s="5">
        <f ca="1">M18/IF(Summary!$C$8&lt;&gt;"Patients",1,$I$9)</f>
        <v>10.003499999999999</v>
      </c>
      <c r="U18" s="5">
        <f ca="1">((N18-M18)/IF(Summary!$C$8&lt;&gt;"Patients",1,$I$9))</f>
        <v>3.0010499999999993</v>
      </c>
      <c r="V18" s="5">
        <f t="shared" si="7"/>
        <v>0</v>
      </c>
      <c r="X18" s="5">
        <f ca="1">(VLOOKUP(D18,'SPC background (hide)'!$AG$2:$AN$54,8,0)/IF(Summary!$C$8&lt;&gt;"Patients",1,$I$9))*(1-$I$4)*(1-$I$5+($I$6*$I$7))</f>
        <v>142.0497</v>
      </c>
    </row>
    <row r="19" spans="1:24" x14ac:dyDescent="0.25">
      <c r="A19" s="87">
        <f t="shared" si="8"/>
        <v>43962</v>
      </c>
      <c r="B19" s="67" t="str">
        <f t="shared" si="0"/>
        <v/>
      </c>
      <c r="C19" s="67" t="str">
        <f t="shared" si="9"/>
        <v/>
      </c>
      <c r="D19" s="67">
        <f t="shared" si="1"/>
        <v>20</v>
      </c>
      <c r="E19" s="5">
        <f ca="1">IF(LEFT(Demand!$C$8,1)="H",VLOOKUP($D19,'SPC background (hide)'!$AG$2:$AS$54,12,0),'Demand background (hide)'!X8)</f>
        <v>160</v>
      </c>
      <c r="F19" s="5">
        <f ca="1">IF(LEFT(Demand!$C$8,1)="H",VLOOKUP($D19,'SPC background (hide)'!$AG$2:$AS$54,13,0),E19*1.1)</f>
        <v>176</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20</v>
      </c>
      <c r="J19" s="5">
        <f ca="1">HLOOKUP(D19,'Capacity calculation (hide)'!$BK$110:$DJ$111,2,0)</f>
        <v>0</v>
      </c>
      <c r="K19" s="5">
        <f ca="1">IF(I19-IF(Setup!$I$15="Yes",$G19,0)-IF(Setup!$I$13="Yes",$H19,0)&lt;0,0,I19-IF(Setup!$I$15="Yes",$G19,0)-IF(Setup!$I$13="Yes",$H19,0))</f>
        <v>20</v>
      </c>
      <c r="L19" s="5">
        <f t="shared" ca="1" si="2"/>
        <v>0</v>
      </c>
      <c r="M19" s="5">
        <f ca="1">(IF('Demand adjustments for Covid'!$F$9="No",E19,SUM('Demand background (hide)'!DS8,'Demand background (hide)'!DV8:DW8))*(1-'Parameters calculator (hide)'!$B$43))*(1-'Parameters calculator (hide)'!$B$44+('Parameters calculator (hide)'!$B$45*'Parameters calculator (hide)'!$B$47))</f>
        <v>10.003499999999999</v>
      </c>
      <c r="N19" s="5">
        <f ca="1">(IF('Demand adjustments for Covid'!$F$9="No",F19,SUM('Demand background (hide)'!DT8,'Demand background (hide)'!DV8:DW8))*(1-'Parameters calculator (hide)'!$B$43))*(1-'Parameters calculator (hide)'!$B$44+('Parameters calculator (hide)'!$B$45*'Parameters calculator (hide)'!$B$47))</f>
        <v>13.004549999999998</v>
      </c>
      <c r="P19" s="5">
        <f t="shared" ca="1" si="3"/>
        <v>20</v>
      </c>
      <c r="Q19" s="5">
        <f t="shared" ca="1" si="4"/>
        <v>0</v>
      </c>
      <c r="R19" s="5">
        <f t="shared" ca="1" si="5"/>
        <v>20</v>
      </c>
      <c r="S19" s="5">
        <f t="shared" ca="1" si="6"/>
        <v>0</v>
      </c>
      <c r="T19" s="5">
        <f ca="1">M19/IF(Summary!$C$8&lt;&gt;"Patients",1,$I$9)</f>
        <v>10.003499999999999</v>
      </c>
      <c r="U19" s="5">
        <f ca="1">((N19-M19)/IF(Summary!$C$8&lt;&gt;"Patients",1,$I$9))</f>
        <v>3.0010499999999993</v>
      </c>
      <c r="V19" s="5">
        <f t="shared" si="7"/>
        <v>0</v>
      </c>
      <c r="X19" s="5">
        <f ca="1">(VLOOKUP(D19,'SPC background (hide)'!$AG$2:$AN$54,8,0)/IF(Summary!$C$8&lt;&gt;"Patients",1,$I$9))*(1-$I$4)*(1-$I$5+($I$6*$I$7))</f>
        <v>142.0497</v>
      </c>
    </row>
    <row r="20" spans="1:24" x14ac:dyDescent="0.25">
      <c r="A20" s="87">
        <f t="shared" si="8"/>
        <v>43969</v>
      </c>
      <c r="B20" s="67" t="str">
        <f t="shared" si="0"/>
        <v/>
      </c>
      <c r="C20" s="67" t="str">
        <f t="shared" si="9"/>
        <v/>
      </c>
      <c r="D20" s="67">
        <f t="shared" si="1"/>
        <v>21</v>
      </c>
      <c r="E20" s="5">
        <f ca="1">IF(LEFT(Demand!$C$8,1)="H",VLOOKUP($D20,'SPC background (hide)'!$AG$2:$AS$54,12,0),'Demand background (hide)'!X9)</f>
        <v>156</v>
      </c>
      <c r="F20" s="5">
        <f ca="1">IF(LEFT(Demand!$C$8,1)="H",VLOOKUP($D20,'SPC background (hide)'!$AG$2:$AS$54,13,0),E20*1.1)</f>
        <v>171.60000000000002</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20</v>
      </c>
      <c r="J20" s="5">
        <f ca="1">HLOOKUP(D20,'Capacity calculation (hide)'!$BK$110:$DJ$111,2,0)</f>
        <v>0</v>
      </c>
      <c r="K20" s="5">
        <f ca="1">IF(I20-IF(Setup!$I$15="Yes",$G20,0)-IF(Setup!$I$13="Yes",$H20,0)&lt;0,0,I20-IF(Setup!$I$15="Yes",$G20,0)-IF(Setup!$I$13="Yes",$H20,0))</f>
        <v>20</v>
      </c>
      <c r="L20" s="5">
        <f t="shared" ca="1" si="2"/>
        <v>0</v>
      </c>
      <c r="M20" s="5">
        <f ca="1">(IF('Demand adjustments for Covid'!$F$9="No",E20,SUM('Demand background (hide)'!DS9,'Demand background (hide)'!DV9:DW9))*(1-'Parameters calculator (hide)'!$B$43))*(1-'Parameters calculator (hide)'!$B$44+('Parameters calculator (hide)'!$B$45*'Parameters calculator (hide)'!$B$47))</f>
        <v>43.015050000000002</v>
      </c>
      <c r="N20" s="5">
        <f ca="1">(IF('Demand adjustments for Covid'!$F$9="No",F20,SUM('Demand background (hide)'!DT9,'Demand background (hide)'!DV9:DW9))*(1-'Parameters calculator (hide)'!$B$43))*(1-'Parameters calculator (hide)'!$B$44+('Parameters calculator (hide)'!$B$45*'Parameters calculator (hide)'!$B$47))</f>
        <v>46.016099999999994</v>
      </c>
      <c r="P20" s="5">
        <f t="shared" ca="1" si="3"/>
        <v>20</v>
      </c>
      <c r="Q20" s="5">
        <f t="shared" ca="1" si="4"/>
        <v>0</v>
      </c>
      <c r="R20" s="5">
        <f t="shared" ca="1" si="5"/>
        <v>20</v>
      </c>
      <c r="S20" s="5">
        <f t="shared" ca="1" si="6"/>
        <v>0</v>
      </c>
      <c r="T20" s="5">
        <f ca="1">M20/IF(Summary!$C$8&lt;&gt;"Patients",1,$I$9)</f>
        <v>43.015050000000002</v>
      </c>
      <c r="U20" s="5">
        <f ca="1">((N20-M20)/IF(Summary!$C$8&lt;&gt;"Patients",1,$I$9))</f>
        <v>3.0010499999999922</v>
      </c>
      <c r="V20" s="5">
        <f t="shared" si="7"/>
        <v>0</v>
      </c>
      <c r="X20" s="5">
        <f ca="1">(VLOOKUP(D20,'SPC background (hide)'!$AG$2:$AN$54,8,0)/IF(Summary!$C$8&lt;&gt;"Patients",1,$I$9))*(1-$I$4)*(1-$I$5+($I$6*$I$7))</f>
        <v>142.0497</v>
      </c>
    </row>
    <row r="21" spans="1:24" x14ac:dyDescent="0.25">
      <c r="A21" s="87">
        <f t="shared" si="8"/>
        <v>43976</v>
      </c>
      <c r="B21" s="67" t="str">
        <f t="shared" si="0"/>
        <v/>
      </c>
      <c r="C21" s="67" t="str">
        <f t="shared" si="9"/>
        <v/>
      </c>
      <c r="D21" s="67">
        <f t="shared" si="1"/>
        <v>22</v>
      </c>
      <c r="E21" s="5">
        <f ca="1">IF(LEFT(Demand!$C$8,1)="H",VLOOKUP($D21,'SPC background (hide)'!$AG$2:$AS$54,12,0),'Demand background (hide)'!X10)</f>
        <v>154</v>
      </c>
      <c r="F21" s="5">
        <f ca="1">IF(LEFT(Demand!$C$8,1)="H",VLOOKUP($D21,'SPC background (hide)'!$AG$2:$AS$54,13,0),E21*1.1)</f>
        <v>169.4</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40</v>
      </c>
      <c r="J21" s="5">
        <f ca="1">HLOOKUP(D21,'Capacity calculation (hide)'!$BK$110:$DJ$111,2,0)</f>
        <v>0</v>
      </c>
      <c r="K21" s="5">
        <f ca="1">IF(I21-IF(Setup!$I$15="Yes",$G21,0)-IF(Setup!$I$13="Yes",$H21,0)&lt;0,0,I21-IF(Setup!$I$15="Yes",$G21,0)-IF(Setup!$I$13="Yes",$H21,0))</f>
        <v>40</v>
      </c>
      <c r="L21" s="5">
        <f t="shared" ca="1" si="2"/>
        <v>0</v>
      </c>
      <c r="M21" s="5">
        <f ca="1">(IF('Demand adjustments for Covid'!$F$9="No",E21,SUM('Demand background (hide)'!DS10,'Demand background (hide)'!DV10:DW10))*(1-'Parameters calculator (hide)'!$B$43))*(1-'Parameters calculator (hide)'!$B$44+('Parameters calculator (hide)'!$B$45*'Parameters calculator (hide)'!$B$47))</f>
        <v>76.026600000000002</v>
      </c>
      <c r="N21" s="5">
        <f ca="1">(IF('Demand adjustments for Covid'!$F$9="No",F21,SUM('Demand background (hide)'!DT10,'Demand background (hide)'!DV10:DW10))*(1-'Parameters calculator (hide)'!$B$43))*(1-'Parameters calculator (hide)'!$B$44+('Parameters calculator (hide)'!$B$45*'Parameters calculator (hide)'!$B$47))</f>
        <v>79.027649999999994</v>
      </c>
      <c r="P21" s="5">
        <f t="shared" ca="1" si="3"/>
        <v>40</v>
      </c>
      <c r="Q21" s="5">
        <f t="shared" ca="1" si="4"/>
        <v>0</v>
      </c>
      <c r="R21" s="5">
        <f t="shared" ca="1" si="5"/>
        <v>40</v>
      </c>
      <c r="S21" s="5">
        <f t="shared" ca="1" si="6"/>
        <v>0</v>
      </c>
      <c r="T21" s="5">
        <f ca="1">M21/IF(Summary!$C$8&lt;&gt;"Patients",1,$I$9)</f>
        <v>76.026600000000002</v>
      </c>
      <c r="U21" s="5">
        <f ca="1">((N21-M21)/IF(Summary!$C$8&lt;&gt;"Patients",1,$I$9))</f>
        <v>3.0010499999999922</v>
      </c>
      <c r="V21" s="5">
        <f t="shared" si="7"/>
        <v>0</v>
      </c>
      <c r="X21" s="5">
        <f ca="1">(VLOOKUP(D21,'SPC background (hide)'!$AG$2:$AN$54,8,0)/IF(Summary!$C$8&lt;&gt;"Patients",1,$I$9))*(1-$I$4)*(1-$I$5+($I$6*$I$7))</f>
        <v>142.0497</v>
      </c>
    </row>
    <row r="22" spans="1:24" x14ac:dyDescent="0.25">
      <c r="A22" s="87">
        <f t="shared" si="8"/>
        <v>43983</v>
      </c>
      <c r="B22" s="67" t="str">
        <f t="shared" si="0"/>
        <v/>
      </c>
      <c r="C22" s="67" t="str">
        <f t="shared" si="9"/>
        <v>Jun</v>
      </c>
      <c r="D22" s="67">
        <f t="shared" si="1"/>
        <v>23</v>
      </c>
      <c r="E22" s="5">
        <f ca="1">IF(LEFT(Demand!$C$8,1)="H",VLOOKUP($D22,'SPC background (hide)'!$AG$2:$AS$54,12,0),'Demand background (hide)'!X11)</f>
        <v>142</v>
      </c>
      <c r="F22" s="5">
        <f ca="1">IF(LEFT(Demand!$C$8,1)="H",VLOOKUP($D22,'SPC background (hide)'!$AG$2:$AS$54,13,0),E22*1.1)</f>
        <v>156.20000000000002</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80</v>
      </c>
      <c r="J22" s="5">
        <f ca="1">HLOOKUP(D22,'Capacity calculation (hide)'!$BK$110:$DJ$111,2,0)</f>
        <v>0</v>
      </c>
      <c r="K22" s="5">
        <f ca="1">IF(I22-IF(Setup!$I$15="Yes",$G22,0)-IF(Setup!$I$13="Yes",$H22,0)&lt;0,0,I22-IF(Setup!$I$15="Yes",$G22,0)-IF(Setup!$I$13="Yes",$H22,0))</f>
        <v>80</v>
      </c>
      <c r="L22" s="5">
        <f t="shared" ca="1" si="2"/>
        <v>0</v>
      </c>
      <c r="M22" s="5">
        <f ca="1">(IF('Demand adjustments for Covid'!$F$9="No",E22,SUM('Demand background (hide)'!DS11,'Demand background (hide)'!DV11:DW11))*(1-'Parameters calculator (hide)'!$B$43))*(1-'Parameters calculator (hide)'!$B$44+('Parameters calculator (hide)'!$B$45*'Parameters calculator (hide)'!$B$47))</f>
        <v>109.03814999999999</v>
      </c>
      <c r="N22" s="5">
        <f ca="1">(IF('Demand adjustments for Covid'!$F$9="No",F22,SUM('Demand background (hide)'!DT11,'Demand background (hide)'!DV11:DW11))*(1-'Parameters calculator (hide)'!$B$43))*(1-'Parameters calculator (hide)'!$B$44+('Parameters calculator (hide)'!$B$45*'Parameters calculator (hide)'!$B$47))</f>
        <v>112.03919999999998</v>
      </c>
      <c r="P22" s="5">
        <f t="shared" ca="1" si="3"/>
        <v>80</v>
      </c>
      <c r="Q22" s="5">
        <f t="shared" ca="1" si="4"/>
        <v>0</v>
      </c>
      <c r="R22" s="5">
        <f t="shared" ca="1" si="5"/>
        <v>80</v>
      </c>
      <c r="S22" s="5">
        <f t="shared" ca="1" si="6"/>
        <v>0</v>
      </c>
      <c r="T22" s="5">
        <f ca="1">M22/IF(Summary!$C$8&lt;&gt;"Patients",1,$I$9)</f>
        <v>109.03814999999999</v>
      </c>
      <c r="U22" s="5">
        <f ca="1">((N22-M22)/IF(Summary!$C$8&lt;&gt;"Patients",1,$I$9))</f>
        <v>3.0010499999999922</v>
      </c>
      <c r="V22" s="5">
        <f t="shared" si="7"/>
        <v>0</v>
      </c>
      <c r="X22" s="5">
        <f ca="1">(VLOOKUP(D22,'SPC background (hide)'!$AG$2:$AN$54,8,0)/IF(Summary!$C$8&lt;&gt;"Patients",1,$I$9))*(1-$I$4)*(1-$I$5+($I$6*$I$7))</f>
        <v>142.0497</v>
      </c>
    </row>
    <row r="23" spans="1:24" x14ac:dyDescent="0.25">
      <c r="A23" s="87">
        <f t="shared" si="8"/>
        <v>43990</v>
      </c>
      <c r="B23" s="67" t="str">
        <f t="shared" si="0"/>
        <v/>
      </c>
      <c r="C23" s="67" t="str">
        <f t="shared" si="9"/>
        <v/>
      </c>
      <c r="D23" s="67">
        <f t="shared" si="1"/>
        <v>24</v>
      </c>
      <c r="E23" s="5">
        <f ca="1">IF(LEFT(Demand!$C$8,1)="H",VLOOKUP($D23,'SPC background (hide)'!$AG$2:$AS$54,12,0),'Demand background (hide)'!X12)</f>
        <v>142</v>
      </c>
      <c r="F23" s="5">
        <f ca="1">IF(LEFT(Demand!$C$8,1)="H",VLOOKUP($D23,'SPC background (hide)'!$AG$2:$AS$54,13,0),E23*1.1)</f>
        <v>156.20000000000002</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120</v>
      </c>
      <c r="J23" s="5">
        <f ca="1">HLOOKUP(D23,'Capacity calculation (hide)'!$BK$110:$DJ$111,2,0)</f>
        <v>0</v>
      </c>
      <c r="K23" s="5">
        <f ca="1">IF(I23-IF(Setup!$I$15="Yes",$G23,0)-IF(Setup!$I$13="Yes",$H23,0)&lt;0,0,I23-IF(Setup!$I$15="Yes",$G23,0)-IF(Setup!$I$13="Yes",$H23,0))</f>
        <v>120</v>
      </c>
      <c r="L23" s="5">
        <f t="shared" ca="1" si="2"/>
        <v>0</v>
      </c>
      <c r="M23" s="5">
        <f ca="1">(IF('Demand adjustments for Covid'!$F$9="No",E23,SUM('Demand background (hide)'!DS12,'Demand background (hide)'!DV12:DW12))*(1-'Parameters calculator (hide)'!$B$43))*(1-'Parameters calculator (hide)'!$B$44+('Parameters calculator (hide)'!$B$45*'Parameters calculator (hide)'!$B$47))</f>
        <v>142.0497</v>
      </c>
      <c r="N23" s="5">
        <f ca="1">(IF('Demand adjustments for Covid'!$F$9="No",F23,SUM('Demand background (hide)'!DT12,'Demand background (hide)'!DV12:DW12))*(1-'Parameters calculator (hide)'!$B$43))*(1-'Parameters calculator (hide)'!$B$44+('Parameters calculator (hide)'!$B$45*'Parameters calculator (hide)'!$B$47))</f>
        <v>145.05074999999999</v>
      </c>
      <c r="P23" s="5">
        <f t="shared" ca="1" si="3"/>
        <v>120</v>
      </c>
      <c r="Q23" s="5">
        <f t="shared" ca="1" si="4"/>
        <v>0</v>
      </c>
      <c r="R23" s="5">
        <f t="shared" ca="1" si="5"/>
        <v>120</v>
      </c>
      <c r="S23" s="5">
        <f t="shared" ca="1" si="6"/>
        <v>0</v>
      </c>
      <c r="T23" s="5">
        <f ca="1">M23/IF(Summary!$C$8&lt;&gt;"Patients",1,$I$9)</f>
        <v>142.0497</v>
      </c>
      <c r="U23" s="5">
        <f ca="1">((N23-M23)/IF(Summary!$C$8&lt;&gt;"Patients",1,$I$9))</f>
        <v>3.0010499999999922</v>
      </c>
      <c r="V23" s="5">
        <f t="shared" si="7"/>
        <v>0</v>
      </c>
      <c r="X23" s="5">
        <f ca="1">(VLOOKUP(D23,'SPC background (hide)'!$AG$2:$AN$54,8,0)/IF(Summary!$C$8&lt;&gt;"Patients",1,$I$9))*(1-$I$4)*(1-$I$5+($I$6*$I$7))</f>
        <v>142.0497</v>
      </c>
    </row>
    <row r="24" spans="1:24" x14ac:dyDescent="0.25">
      <c r="A24" s="87">
        <f t="shared" si="8"/>
        <v>43997</v>
      </c>
      <c r="B24" s="67" t="str">
        <f t="shared" si="0"/>
        <v/>
      </c>
      <c r="C24" s="67" t="str">
        <f t="shared" si="9"/>
        <v/>
      </c>
      <c r="D24" s="67">
        <f t="shared" si="1"/>
        <v>25</v>
      </c>
      <c r="E24" s="5">
        <f ca="1">IF(LEFT(Demand!$C$8,1)="H",VLOOKUP($D24,'SPC background (hide)'!$AG$2:$AS$54,12,0),'Demand background (hide)'!X13)</f>
        <v>140</v>
      </c>
      <c r="F24" s="5">
        <f ca="1">IF(LEFT(Demand!$C$8,1)="H",VLOOKUP($D24,'SPC background (hide)'!$AG$2:$AS$54,13,0),E24*1.1)</f>
        <v>154</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150</v>
      </c>
      <c r="J24" s="5">
        <f ca="1">HLOOKUP(D24,'Capacity calculation (hide)'!$BK$110:$DJ$111,2,0)</f>
        <v>0</v>
      </c>
      <c r="K24" s="5">
        <f ca="1">IF(I24-IF(Setup!$I$15="Yes",$G24,0)-IF(Setup!$I$13="Yes",$H24,0)&lt;0,0,I24-IF(Setup!$I$15="Yes",$G24,0)-IF(Setup!$I$13="Yes",$H24,0))</f>
        <v>150</v>
      </c>
      <c r="L24" s="5">
        <f t="shared" ca="1" si="2"/>
        <v>0</v>
      </c>
      <c r="M24" s="5">
        <f ca="1">(IF('Demand adjustments for Covid'!$F$9="No",E24,SUM('Demand background (hide)'!DS13,'Demand background (hide)'!DV13:DW13))*(1-'Parameters calculator (hide)'!$B$43))*(1-'Parameters calculator (hide)'!$B$44+('Parameters calculator (hide)'!$B$45*'Parameters calculator (hide)'!$B$47))</f>
        <v>162.05670000000001</v>
      </c>
      <c r="N24" s="5">
        <f ca="1">(IF('Demand adjustments for Covid'!$F$9="No",F24,SUM('Demand background (hide)'!DT13,'Demand background (hide)'!DV13:DW13))*(1-'Parameters calculator (hide)'!$B$43))*(1-'Parameters calculator (hide)'!$B$44+('Parameters calculator (hide)'!$B$45*'Parameters calculator (hide)'!$B$47))</f>
        <v>176.06159999999997</v>
      </c>
      <c r="P24" s="5">
        <f t="shared" ca="1" si="3"/>
        <v>150</v>
      </c>
      <c r="Q24" s="5">
        <f t="shared" ca="1" si="4"/>
        <v>0</v>
      </c>
      <c r="R24" s="5">
        <f t="shared" ca="1" si="5"/>
        <v>150</v>
      </c>
      <c r="S24" s="5">
        <f t="shared" ca="1" si="6"/>
        <v>0</v>
      </c>
      <c r="T24" s="5">
        <f ca="1">M24/IF(Summary!$C$8&lt;&gt;"Patients",1,$I$9)</f>
        <v>162.05670000000001</v>
      </c>
      <c r="U24" s="5">
        <f ca="1">((N24-M24)/IF(Summary!$C$8&lt;&gt;"Patients",1,$I$9))</f>
        <v>14.004899999999964</v>
      </c>
      <c r="V24" s="5">
        <f t="shared" si="7"/>
        <v>0</v>
      </c>
      <c r="X24" s="5">
        <f ca="1">(VLOOKUP(D24,'SPC background (hide)'!$AG$2:$AN$54,8,0)/IF(Summary!$C$8&lt;&gt;"Patients",1,$I$9))*(1-$I$4)*(1-$I$5+($I$6*$I$7))</f>
        <v>142.0497</v>
      </c>
    </row>
    <row r="25" spans="1:24" x14ac:dyDescent="0.25">
      <c r="A25" s="87">
        <f t="shared" si="8"/>
        <v>44004</v>
      </c>
      <c r="B25" s="67" t="str">
        <f t="shared" si="0"/>
        <v/>
      </c>
      <c r="C25" s="67" t="str">
        <f t="shared" si="9"/>
        <v/>
      </c>
      <c r="D25" s="67">
        <f t="shared" si="1"/>
        <v>26</v>
      </c>
      <c r="E25" s="5">
        <f ca="1">IF(LEFT(Demand!$C$8,1)="H",VLOOKUP($D25,'SPC background (hide)'!$AG$2:$AS$54,12,0),'Demand background (hide)'!X14)</f>
        <v>152</v>
      </c>
      <c r="F25" s="5">
        <f ca="1">IF(LEFT(Demand!$C$8,1)="H",VLOOKUP($D25,'SPC background (hide)'!$AG$2:$AS$54,13,0),E25*1.1)</f>
        <v>167.20000000000002</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180</v>
      </c>
      <c r="J25" s="5">
        <f ca="1">HLOOKUP(D25,'Capacity calculation (hide)'!$BK$110:$DJ$111,2,0)</f>
        <v>0</v>
      </c>
      <c r="K25" s="5">
        <f ca="1">IF(I25-IF(Setup!$I$15="Yes",$G25,0)-IF(Setup!$I$13="Yes",$H25,0)&lt;0,0,I25-IF(Setup!$I$15="Yes",$G25,0)-IF(Setup!$I$13="Yes",$H25,0))</f>
        <v>180</v>
      </c>
      <c r="L25" s="5">
        <f t="shared" ca="1" si="2"/>
        <v>0</v>
      </c>
      <c r="M25" s="5">
        <f ca="1">(IF('Demand adjustments for Covid'!$F$9="No",E25,SUM('Demand background (hide)'!DS14,'Demand background (hide)'!DV14:DW14))*(1-'Parameters calculator (hide)'!$B$43))*(1-'Parameters calculator (hide)'!$B$44+('Parameters calculator (hide)'!$B$45*'Parameters calculator (hide)'!$B$47))</f>
        <v>174.06089999999998</v>
      </c>
      <c r="N25" s="5">
        <f ca="1">(IF('Demand adjustments for Covid'!$F$9="No",F25,SUM('Demand background (hide)'!DT14,'Demand background (hide)'!DV14:DW14))*(1-'Parameters calculator (hide)'!$B$43))*(1-'Parameters calculator (hide)'!$B$44+('Parameters calculator (hide)'!$B$45*'Parameters calculator (hide)'!$B$47))</f>
        <v>189.26622</v>
      </c>
      <c r="P25" s="5">
        <f t="shared" ca="1" si="3"/>
        <v>180</v>
      </c>
      <c r="Q25" s="5">
        <f t="shared" ca="1" si="4"/>
        <v>0</v>
      </c>
      <c r="R25" s="5">
        <f t="shared" ca="1" si="5"/>
        <v>180</v>
      </c>
      <c r="S25" s="5">
        <f t="shared" ca="1" si="6"/>
        <v>0</v>
      </c>
      <c r="T25" s="5">
        <f ca="1">M25/IF(Summary!$C$8&lt;&gt;"Patients",1,$I$9)</f>
        <v>174.06089999999998</v>
      </c>
      <c r="U25" s="5">
        <f ca="1">((N25-M25)/IF(Summary!$C$8&lt;&gt;"Patients",1,$I$9))</f>
        <v>15.205320000000029</v>
      </c>
      <c r="V25" s="5">
        <f t="shared" si="7"/>
        <v>0</v>
      </c>
      <c r="X25" s="5">
        <f ca="1">(VLOOKUP(D25,'SPC background (hide)'!$AG$2:$AN$54,8,0)/IF(Summary!$C$8&lt;&gt;"Patients",1,$I$9))*(1-$I$4)*(1-$I$5+($I$6*$I$7))</f>
        <v>142.0497</v>
      </c>
    </row>
    <row r="26" spans="1:24" x14ac:dyDescent="0.25">
      <c r="A26" s="87">
        <f t="shared" si="8"/>
        <v>44011</v>
      </c>
      <c r="B26" s="67" t="str">
        <f t="shared" si="0"/>
        <v/>
      </c>
      <c r="C26" s="67" t="str">
        <f t="shared" si="9"/>
        <v/>
      </c>
      <c r="D26" s="67">
        <f t="shared" si="1"/>
        <v>27</v>
      </c>
      <c r="E26" s="5">
        <f ca="1">IF(LEFT(Demand!$C$8,1)="H",VLOOKUP($D26,'SPC background (hide)'!$AG$2:$AS$54,12,0),'Demand background (hide)'!X15)</f>
        <v>138</v>
      </c>
      <c r="F26" s="5">
        <f ca="1">IF(LEFT(Demand!$C$8,1)="H",VLOOKUP($D26,'SPC background (hide)'!$AG$2:$AS$54,13,0),E26*1.1)</f>
        <v>151.80000000000001</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180</v>
      </c>
      <c r="J26" s="5">
        <f ca="1">HLOOKUP(D26,'Capacity calculation (hide)'!$BK$110:$DJ$111,2,0)</f>
        <v>0</v>
      </c>
      <c r="K26" s="5">
        <f ca="1">IF(I26-IF(Setup!$I$15="Yes",$G26,0)-IF(Setup!$I$13="Yes",$H26,0)&lt;0,0,I26-IF(Setup!$I$15="Yes",$G26,0)-IF(Setup!$I$13="Yes",$H26,0))</f>
        <v>180</v>
      </c>
      <c r="L26" s="5">
        <f t="shared" ca="1" si="2"/>
        <v>0</v>
      </c>
      <c r="M26" s="5">
        <f ca="1">(IF('Demand adjustments for Covid'!$F$9="No",E26,SUM('Demand background (hide)'!DS15,'Demand background (hide)'!DV15:DW15))*(1-'Parameters calculator (hide)'!$B$43))*(1-'Parameters calculator (hide)'!$B$44+('Parameters calculator (hide)'!$B$45*'Parameters calculator (hide)'!$B$47))</f>
        <v>160.05599999999998</v>
      </c>
      <c r="N26" s="5">
        <f ca="1">(IF('Demand adjustments for Covid'!$F$9="No",F26,SUM('Demand background (hide)'!DT15,'Demand background (hide)'!DV15:DW15))*(1-'Parameters calculator (hide)'!$B$43))*(1-'Parameters calculator (hide)'!$B$44+('Parameters calculator (hide)'!$B$45*'Parameters calculator (hide)'!$B$47))</f>
        <v>173.86082999999999</v>
      </c>
      <c r="P26" s="5">
        <f t="shared" ca="1" si="3"/>
        <v>180</v>
      </c>
      <c r="Q26" s="5">
        <f t="shared" ca="1" si="4"/>
        <v>0</v>
      </c>
      <c r="R26" s="5">
        <f t="shared" ca="1" si="5"/>
        <v>180</v>
      </c>
      <c r="S26" s="5">
        <f t="shared" ca="1" si="6"/>
        <v>0</v>
      </c>
      <c r="T26" s="5">
        <f ca="1">M26/IF(Summary!$C$8&lt;&gt;"Patients",1,$I$9)</f>
        <v>160.05599999999998</v>
      </c>
      <c r="U26" s="5">
        <f ca="1">((N26-M26)/IF(Summary!$C$8&lt;&gt;"Patients",1,$I$9))</f>
        <v>13.80483000000001</v>
      </c>
      <c r="V26" s="5">
        <f t="shared" si="7"/>
        <v>0</v>
      </c>
      <c r="X26" s="5">
        <f ca="1">(VLOOKUP(D26,'SPC background (hide)'!$AG$2:$AN$54,8,0)/IF(Summary!$C$8&lt;&gt;"Patients",1,$I$9))*(1-$I$4)*(1-$I$5+($I$6*$I$7))</f>
        <v>142.0497</v>
      </c>
    </row>
    <row r="27" spans="1:24" x14ac:dyDescent="0.25">
      <c r="A27" s="87">
        <f t="shared" si="8"/>
        <v>44018</v>
      </c>
      <c r="B27" s="67" t="str">
        <f t="shared" si="0"/>
        <v/>
      </c>
      <c r="C27" s="67" t="str">
        <f t="shared" si="9"/>
        <v>Jul</v>
      </c>
      <c r="D27" s="67">
        <f t="shared" si="1"/>
        <v>28</v>
      </c>
      <c r="E27" s="5">
        <f ca="1">IF(LEFT(Demand!$C$8,1)="H",VLOOKUP($D27,'SPC background (hide)'!$AG$2:$AS$54,12,0),'Demand background (hide)'!X16)</f>
        <v>120</v>
      </c>
      <c r="F27" s="5">
        <f ca="1">IF(LEFT(Demand!$C$8,1)="H",VLOOKUP($D27,'SPC background (hide)'!$AG$2:$AS$54,13,0),E27*1.1)</f>
        <v>132</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161.53846153846155</v>
      </c>
      <c r="J27" s="5">
        <f ca="1">HLOOKUP(D27,'Capacity calculation (hide)'!$BK$110:$DJ$111,2,0)</f>
        <v>10</v>
      </c>
      <c r="K27" s="5">
        <f ca="1">IF(I27-IF(Setup!$I$15="Yes",$G27,0)-IF(Setup!$I$13="Yes",$H27,0)&lt;0,0,I27-IF(Setup!$I$15="Yes",$G27,0)-IF(Setup!$I$13="Yes",$H27,0))</f>
        <v>161.53846153846155</v>
      </c>
      <c r="L27" s="5">
        <f t="shared" ca="1" si="2"/>
        <v>10</v>
      </c>
      <c r="M27" s="5">
        <f ca="1">(IF('Demand adjustments for Covid'!$F$9="No",E27,SUM('Demand background (hide)'!DS16,'Demand background (hide)'!DV16:DW16))*(1-'Parameters calculator (hide)'!$B$43))*(1-'Parameters calculator (hide)'!$B$44+('Parameters calculator (hide)'!$B$45*'Parameters calculator (hide)'!$B$47))</f>
        <v>130.0455</v>
      </c>
      <c r="N27" s="5">
        <f ca="1">(IF('Demand adjustments for Covid'!$F$9="No",F27,SUM('Demand background (hide)'!DT16,'Demand background (hide)'!DV16:DW16))*(1-'Parameters calculator (hide)'!$B$43))*(1-'Parameters calculator (hide)'!$B$44+('Parameters calculator (hide)'!$B$45*'Parameters calculator (hide)'!$B$47))</f>
        <v>142.0497</v>
      </c>
      <c r="P27" s="5">
        <f t="shared" ca="1" si="3"/>
        <v>161.53846153846155</v>
      </c>
      <c r="Q27" s="5">
        <f t="shared" ca="1" si="4"/>
        <v>10</v>
      </c>
      <c r="R27" s="5">
        <f t="shared" ca="1" si="5"/>
        <v>161.53846153846155</v>
      </c>
      <c r="S27" s="5">
        <f t="shared" ca="1" si="6"/>
        <v>10</v>
      </c>
      <c r="T27" s="5">
        <f ca="1">M27/IF(Summary!$C$8&lt;&gt;"Patients",1,$I$9)</f>
        <v>130.0455</v>
      </c>
      <c r="U27" s="5">
        <f ca="1">((N27-M27)/IF(Summary!$C$8&lt;&gt;"Patients",1,$I$9))</f>
        <v>12.004199999999997</v>
      </c>
      <c r="V27" s="5">
        <f t="shared" si="7"/>
        <v>0</v>
      </c>
      <c r="X27" s="5">
        <f ca="1">(VLOOKUP(D27,'SPC background (hide)'!$AG$2:$AN$54,8,0)/IF(Summary!$C$8&lt;&gt;"Patients",1,$I$9))*(1-$I$4)*(1-$I$5+($I$6*$I$7))</f>
        <v>142.0497</v>
      </c>
    </row>
    <row r="28" spans="1:24" x14ac:dyDescent="0.25">
      <c r="A28" s="87">
        <f t="shared" si="8"/>
        <v>44025</v>
      </c>
      <c r="B28" s="67" t="str">
        <f t="shared" si="0"/>
        <v/>
      </c>
      <c r="C28" s="67" t="str">
        <f t="shared" si="9"/>
        <v/>
      </c>
      <c r="D28" s="67">
        <f t="shared" si="1"/>
        <v>29</v>
      </c>
      <c r="E28" s="5">
        <f ca="1">IF(LEFT(Demand!$C$8,1)="H",VLOOKUP($D28,'SPC background (hide)'!$AG$2:$AS$54,12,0),'Demand background (hide)'!X17)</f>
        <v>136</v>
      </c>
      <c r="F28" s="5">
        <f ca="1">IF(LEFT(Demand!$C$8,1)="H",VLOOKUP($D28,'SPC background (hide)'!$AG$2:$AS$54,13,0),E28*1.1)</f>
        <v>149.60000000000002</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161.53846153846155</v>
      </c>
      <c r="J28" s="5">
        <f ca="1">HLOOKUP(D28,'Capacity calculation (hide)'!$BK$110:$DJ$111,2,0)</f>
        <v>10</v>
      </c>
      <c r="K28" s="5">
        <f ca="1">IF(I28-IF(Setup!$I$15="Yes",$G28,0)-IF(Setup!$I$13="Yes",$H28,0)&lt;0,0,I28-IF(Setup!$I$15="Yes",$G28,0)-IF(Setup!$I$13="Yes",$H28,0))</f>
        <v>161.53846153846155</v>
      </c>
      <c r="L28" s="5">
        <f t="shared" ca="1" si="2"/>
        <v>10</v>
      </c>
      <c r="M28" s="5">
        <f ca="1">(IF('Demand adjustments for Covid'!$F$9="No",E28,SUM('Demand background (hide)'!DS17,'Demand background (hide)'!DV17:DW17))*(1-'Parameters calculator (hide)'!$B$43))*(1-'Parameters calculator (hide)'!$B$44+('Parameters calculator (hide)'!$B$45*'Parameters calculator (hide)'!$B$47))</f>
        <v>146.05109999999999</v>
      </c>
      <c r="N28" s="5">
        <f ca="1">(IF('Demand adjustments for Covid'!$F$9="No",F28,SUM('Demand background (hide)'!DT17,'Demand background (hide)'!DV17:DW17))*(1-'Parameters calculator (hide)'!$B$43))*(1-'Parameters calculator (hide)'!$B$44+('Parameters calculator (hide)'!$B$45*'Parameters calculator (hide)'!$B$47))</f>
        <v>159.65585999999999</v>
      </c>
      <c r="P28" s="5">
        <f t="shared" ca="1" si="3"/>
        <v>161.53846153846155</v>
      </c>
      <c r="Q28" s="5">
        <f t="shared" ca="1" si="4"/>
        <v>10</v>
      </c>
      <c r="R28" s="5">
        <f t="shared" ca="1" si="5"/>
        <v>161.53846153846155</v>
      </c>
      <c r="S28" s="5">
        <f t="shared" ca="1" si="6"/>
        <v>10</v>
      </c>
      <c r="T28" s="5">
        <f ca="1">M28/IF(Summary!$C$8&lt;&gt;"Patients",1,$I$9)</f>
        <v>146.05109999999999</v>
      </c>
      <c r="U28" s="5">
        <f ca="1">((N28-M28)/IF(Summary!$C$8&lt;&gt;"Patients",1,$I$9))</f>
        <v>13.604759999999999</v>
      </c>
      <c r="V28" s="5">
        <f t="shared" si="7"/>
        <v>0</v>
      </c>
      <c r="X28" s="5">
        <f ca="1">(VLOOKUP(D28,'SPC background (hide)'!$AG$2:$AN$54,8,0)/IF(Summary!$C$8&lt;&gt;"Patients",1,$I$9))*(1-$I$4)*(1-$I$5+($I$6*$I$7))</f>
        <v>142.0497</v>
      </c>
    </row>
    <row r="29" spans="1:24" x14ac:dyDescent="0.25">
      <c r="A29" s="87">
        <f t="shared" si="8"/>
        <v>44032</v>
      </c>
      <c r="B29" s="67" t="str">
        <f t="shared" si="0"/>
        <v/>
      </c>
      <c r="C29" s="67" t="str">
        <f t="shared" si="9"/>
        <v/>
      </c>
      <c r="D29" s="67">
        <f t="shared" si="1"/>
        <v>30</v>
      </c>
      <c r="E29" s="5">
        <f ca="1">IF(LEFT(Demand!$C$8,1)="H",VLOOKUP($D29,'SPC background (hide)'!$AG$2:$AS$54,12,0),'Demand background (hide)'!X18)</f>
        <v>138</v>
      </c>
      <c r="F29" s="5">
        <f ca="1">IF(LEFT(Demand!$C$8,1)="H",VLOOKUP($D29,'SPC background (hide)'!$AG$2:$AS$54,13,0),E29*1.1)</f>
        <v>151.80000000000001</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161.53846153846155</v>
      </c>
      <c r="J29" s="5">
        <f ca="1">HLOOKUP(D29,'Capacity calculation (hide)'!$BK$110:$DJ$111,2,0)</f>
        <v>10</v>
      </c>
      <c r="K29" s="5">
        <f ca="1">IF(I29-IF(Setup!$I$15="Yes",$G29,0)-IF(Setup!$I$13="Yes",$H29,0)&lt;0,0,I29-IF(Setup!$I$15="Yes",$G29,0)-IF(Setup!$I$13="Yes",$H29,0))</f>
        <v>161.53846153846155</v>
      </c>
      <c r="L29" s="5">
        <f t="shared" ca="1" si="2"/>
        <v>10</v>
      </c>
      <c r="M29" s="5">
        <f ca="1">(IF('Demand adjustments for Covid'!$F$9="No",E29,SUM('Demand background (hide)'!DS18,'Demand background (hide)'!DV18:DW18))*(1-'Parameters calculator (hide)'!$B$43))*(1-'Parameters calculator (hide)'!$B$44+('Parameters calculator (hide)'!$B$45*'Parameters calculator (hide)'!$B$47))</f>
        <v>138.04829999999998</v>
      </c>
      <c r="N29" s="5">
        <f ca="1">(IF('Demand adjustments for Covid'!$F$9="No",F29,SUM('Demand background (hide)'!DT18,'Demand background (hide)'!DV18:DW18))*(1-'Parameters calculator (hide)'!$B$43))*(1-'Parameters calculator (hide)'!$B$44+('Parameters calculator (hide)'!$B$45*'Parameters calculator (hide)'!$B$47))</f>
        <v>151.85312999999999</v>
      </c>
      <c r="P29" s="5">
        <f t="shared" ca="1" si="3"/>
        <v>161.53846153846155</v>
      </c>
      <c r="Q29" s="5">
        <f t="shared" ca="1" si="4"/>
        <v>10</v>
      </c>
      <c r="R29" s="5">
        <f t="shared" ca="1" si="5"/>
        <v>161.53846153846155</v>
      </c>
      <c r="S29" s="5">
        <f t="shared" ca="1" si="6"/>
        <v>10</v>
      </c>
      <c r="T29" s="5">
        <f ca="1">M29/IF(Summary!$C$8&lt;&gt;"Patients",1,$I$9)</f>
        <v>138.04829999999998</v>
      </c>
      <c r="U29" s="5">
        <f ca="1">((N29-M29)/IF(Summary!$C$8&lt;&gt;"Patients",1,$I$9))</f>
        <v>13.80483000000001</v>
      </c>
      <c r="V29" s="5">
        <f t="shared" si="7"/>
        <v>0</v>
      </c>
      <c r="X29" s="5">
        <f ca="1">(VLOOKUP(D29,'SPC background (hide)'!$AG$2:$AN$54,8,0)/IF(Summary!$C$8&lt;&gt;"Patients",1,$I$9))*(1-$I$4)*(1-$I$5+($I$6*$I$7))</f>
        <v>142.0497</v>
      </c>
    </row>
    <row r="30" spans="1:24" x14ac:dyDescent="0.25">
      <c r="A30" s="87">
        <f t="shared" si="8"/>
        <v>44039</v>
      </c>
      <c r="B30" s="67" t="str">
        <f t="shared" si="0"/>
        <v/>
      </c>
      <c r="C30" s="67" t="str">
        <f t="shared" si="9"/>
        <v/>
      </c>
      <c r="D30" s="67">
        <f t="shared" si="1"/>
        <v>31</v>
      </c>
      <c r="E30" s="5">
        <f ca="1">IF(LEFT(Demand!$C$8,1)="H",VLOOKUP($D30,'SPC background (hide)'!$AG$2:$AS$54,12,0),'Demand background (hide)'!X19)</f>
        <v>126</v>
      </c>
      <c r="F30" s="5">
        <f ca="1">IF(LEFT(Demand!$C$8,1)="H",VLOOKUP($D30,'SPC background (hide)'!$AG$2:$AS$54,13,0),E30*1.1)</f>
        <v>138.60000000000002</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161.53846153846155</v>
      </c>
      <c r="J30" s="5">
        <f ca="1">HLOOKUP(D30,'Capacity calculation (hide)'!$BK$110:$DJ$111,2,0)</f>
        <v>0</v>
      </c>
      <c r="K30" s="5">
        <f ca="1">IF(I30-IF(Setup!$I$15="Yes",$G30,0)-IF(Setup!$I$13="Yes",$H30,0)&lt;0,0,I30-IF(Setup!$I$15="Yes",$G30,0)-IF(Setup!$I$13="Yes",$H30,0))</f>
        <v>161.53846153846155</v>
      </c>
      <c r="L30" s="5">
        <f t="shared" ca="1" si="2"/>
        <v>0</v>
      </c>
      <c r="M30" s="5">
        <f ca="1">(IF('Demand adjustments for Covid'!$F$9="No",E30,SUM('Demand background (hide)'!DS19,'Demand background (hide)'!DV19:DW19))*(1-'Parameters calculator (hide)'!$B$43))*(1-'Parameters calculator (hide)'!$B$44+('Parameters calculator (hide)'!$B$45*'Parameters calculator (hide)'!$B$47))</f>
        <v>126.04409999999999</v>
      </c>
      <c r="N30" s="5">
        <f ca="1">(IF('Demand adjustments for Covid'!$F$9="No",F30,SUM('Demand background (hide)'!DT19,'Demand background (hide)'!DV19:DW19))*(1-'Parameters calculator (hide)'!$B$43))*(1-'Parameters calculator (hide)'!$B$44+('Parameters calculator (hide)'!$B$45*'Parameters calculator (hide)'!$B$47))</f>
        <v>138.64851000000002</v>
      </c>
      <c r="P30" s="5">
        <f t="shared" ca="1" si="3"/>
        <v>161.53846153846155</v>
      </c>
      <c r="Q30" s="5">
        <f t="shared" ca="1" si="4"/>
        <v>0</v>
      </c>
      <c r="R30" s="5">
        <f t="shared" ca="1" si="5"/>
        <v>161.53846153846155</v>
      </c>
      <c r="S30" s="5">
        <f t="shared" ca="1" si="6"/>
        <v>0</v>
      </c>
      <c r="T30" s="5">
        <f ca="1">M30/IF(Summary!$C$8&lt;&gt;"Patients",1,$I$9)</f>
        <v>126.04409999999999</v>
      </c>
      <c r="U30" s="5">
        <f ca="1">((N30-M30)/IF(Summary!$C$8&lt;&gt;"Patients",1,$I$9))</f>
        <v>12.60441000000003</v>
      </c>
      <c r="V30" s="5">
        <f t="shared" si="7"/>
        <v>0</v>
      </c>
      <c r="X30" s="5">
        <f ca="1">(VLOOKUP(D30,'SPC background (hide)'!$AG$2:$AN$54,8,0)/IF(Summary!$C$8&lt;&gt;"Patients",1,$I$9))*(1-$I$4)*(1-$I$5+($I$6*$I$7))</f>
        <v>142.0497</v>
      </c>
    </row>
    <row r="31" spans="1:24" x14ac:dyDescent="0.25">
      <c r="A31" s="87">
        <f t="shared" si="8"/>
        <v>44046</v>
      </c>
      <c r="B31" s="67" t="str">
        <f t="shared" si="0"/>
        <v/>
      </c>
      <c r="C31" s="67" t="str">
        <f t="shared" si="9"/>
        <v>Aug</v>
      </c>
      <c r="D31" s="67">
        <f t="shared" si="1"/>
        <v>32</v>
      </c>
      <c r="E31" s="5">
        <f ca="1">IF(LEFT(Demand!$C$8,1)="H",VLOOKUP($D31,'SPC background (hide)'!$AG$2:$AS$54,12,0),'Demand background (hide)'!X20)</f>
        <v>152</v>
      </c>
      <c r="F31" s="5">
        <f ca="1">IF(LEFT(Demand!$C$8,1)="H",VLOOKUP($D31,'SPC background (hide)'!$AG$2:$AS$54,13,0),E31*1.1)</f>
        <v>167.20000000000002</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161.53846153846155</v>
      </c>
      <c r="J31" s="5">
        <f ca="1">HLOOKUP(D31,'Capacity calculation (hide)'!$BK$110:$DJ$111,2,0)</f>
        <v>10</v>
      </c>
      <c r="K31" s="5">
        <f ca="1">IF(I31-IF(Setup!$I$15="Yes",$G31,0)-IF(Setup!$I$13="Yes",$H31,0)&lt;0,0,I31-IF(Setup!$I$15="Yes",$G31,0)-IF(Setup!$I$13="Yes",$H31,0))</f>
        <v>161.53846153846155</v>
      </c>
      <c r="L31" s="5">
        <f t="shared" ca="1" si="2"/>
        <v>10</v>
      </c>
      <c r="M31" s="5">
        <f ca="1">(IF('Demand adjustments for Covid'!$F$9="No",E31,SUM('Demand background (hide)'!DS20,'Demand background (hide)'!DV20:DW20))*(1-'Parameters calculator (hide)'!$B$43))*(1-'Parameters calculator (hide)'!$B$44+('Parameters calculator (hide)'!$B$45*'Parameters calculator (hide)'!$B$47))</f>
        <v>152.0532</v>
      </c>
      <c r="N31" s="5">
        <f ca="1">(IF('Demand adjustments for Covid'!$F$9="No",F31,SUM('Demand background (hide)'!DT20,'Demand background (hide)'!DV20:DW20))*(1-'Parameters calculator (hide)'!$B$43))*(1-'Parameters calculator (hide)'!$B$44+('Parameters calculator (hide)'!$B$45*'Parameters calculator (hide)'!$B$47))</f>
        <v>167.25852</v>
      </c>
      <c r="P31" s="5">
        <f t="shared" ca="1" si="3"/>
        <v>161.53846153846155</v>
      </c>
      <c r="Q31" s="5">
        <f t="shared" ca="1" si="4"/>
        <v>10</v>
      </c>
      <c r="R31" s="5">
        <f t="shared" ca="1" si="5"/>
        <v>161.53846153846155</v>
      </c>
      <c r="S31" s="5">
        <f t="shared" ca="1" si="6"/>
        <v>10</v>
      </c>
      <c r="T31" s="5">
        <f ca="1">M31/IF(Summary!$C$8&lt;&gt;"Patients",1,$I$9)</f>
        <v>152.0532</v>
      </c>
      <c r="U31" s="5">
        <f ca="1">((N31-M31)/IF(Summary!$C$8&lt;&gt;"Patients",1,$I$9))</f>
        <v>15.20532</v>
      </c>
      <c r="V31" s="5">
        <f t="shared" si="7"/>
        <v>0</v>
      </c>
      <c r="X31" s="5">
        <f ca="1">(VLOOKUP(D31,'SPC background (hide)'!$AG$2:$AN$54,8,0)/IF(Summary!$C$8&lt;&gt;"Patients",1,$I$9))*(1-$I$4)*(1-$I$5+($I$6*$I$7))</f>
        <v>142.0497</v>
      </c>
    </row>
    <row r="32" spans="1:24" x14ac:dyDescent="0.25">
      <c r="A32" s="87">
        <f t="shared" si="8"/>
        <v>44053</v>
      </c>
      <c r="B32" s="67" t="str">
        <f t="shared" si="0"/>
        <v/>
      </c>
      <c r="C32" s="67" t="str">
        <f t="shared" si="9"/>
        <v/>
      </c>
      <c r="D32" s="67">
        <f t="shared" si="1"/>
        <v>33</v>
      </c>
      <c r="E32" s="5">
        <f ca="1">IF(LEFT(Demand!$C$8,1)="H",VLOOKUP($D32,'SPC background (hide)'!$AG$2:$AS$54,12,0),'Demand background (hide)'!X21)</f>
        <v>128</v>
      </c>
      <c r="F32" s="5">
        <f ca="1">IF(LEFT(Demand!$C$8,1)="H",VLOOKUP($D32,'SPC background (hide)'!$AG$2:$AS$54,13,0),E32*1.1)</f>
        <v>140.80000000000001</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161.53846153846155</v>
      </c>
      <c r="J32" s="5">
        <f ca="1">HLOOKUP(D32,'Capacity calculation (hide)'!$BK$110:$DJ$111,2,0)</f>
        <v>10</v>
      </c>
      <c r="K32" s="5">
        <f ca="1">IF(I32-IF(Setup!$I$15="Yes",$G32,0)-IF(Setup!$I$13="Yes",$H32,0)&lt;0,0,I32-IF(Setup!$I$15="Yes",$G32,0)-IF(Setup!$I$13="Yes",$H32,0))</f>
        <v>161.53846153846155</v>
      </c>
      <c r="L32" s="5">
        <f t="shared" ca="1" si="2"/>
        <v>10</v>
      </c>
      <c r="M32" s="5">
        <f ca="1">(IF('Demand adjustments for Covid'!$F$9="No",E32,SUM('Demand background (hide)'!DS21,'Demand background (hide)'!DV21:DW21))*(1-'Parameters calculator (hide)'!$B$43))*(1-'Parameters calculator (hide)'!$B$44+('Parameters calculator (hide)'!$B$45*'Parameters calculator (hide)'!$B$47))</f>
        <v>128.04479999999998</v>
      </c>
      <c r="N32" s="5">
        <f ca="1">(IF('Demand adjustments for Covid'!$F$9="No",F32,SUM('Demand background (hide)'!DT21,'Demand background (hide)'!DV21:DW21))*(1-'Parameters calculator (hide)'!$B$43))*(1-'Parameters calculator (hide)'!$B$44+('Parameters calculator (hide)'!$B$45*'Parameters calculator (hide)'!$B$47))</f>
        <v>140.84927999999999</v>
      </c>
      <c r="P32" s="5">
        <f t="shared" ca="1" si="3"/>
        <v>161.53846153846155</v>
      </c>
      <c r="Q32" s="5">
        <f t="shared" ca="1" si="4"/>
        <v>10</v>
      </c>
      <c r="R32" s="5">
        <f t="shared" ca="1" si="5"/>
        <v>161.53846153846155</v>
      </c>
      <c r="S32" s="5">
        <f t="shared" ca="1" si="6"/>
        <v>10</v>
      </c>
      <c r="T32" s="5">
        <f ca="1">M32/IF(Summary!$C$8&lt;&gt;"Patients",1,$I$9)</f>
        <v>128.04479999999998</v>
      </c>
      <c r="U32" s="5">
        <f ca="1">((N32-M32)/IF(Summary!$C$8&lt;&gt;"Patients",1,$I$9))</f>
        <v>12.804480000000012</v>
      </c>
      <c r="V32" s="5">
        <f t="shared" si="7"/>
        <v>0</v>
      </c>
      <c r="X32" s="5">
        <f ca="1">(VLOOKUP(D32,'SPC background (hide)'!$AG$2:$AN$54,8,0)/IF(Summary!$C$8&lt;&gt;"Patients",1,$I$9))*(1-$I$4)*(1-$I$5+($I$6*$I$7))</f>
        <v>142.0497</v>
      </c>
    </row>
    <row r="33" spans="1:24" x14ac:dyDescent="0.25">
      <c r="A33" s="87">
        <f t="shared" si="8"/>
        <v>44060</v>
      </c>
      <c r="B33" s="67" t="str">
        <f t="shared" si="0"/>
        <v/>
      </c>
      <c r="C33" s="67" t="str">
        <f t="shared" si="9"/>
        <v/>
      </c>
      <c r="D33" s="67">
        <f t="shared" si="1"/>
        <v>34</v>
      </c>
      <c r="E33" s="5">
        <f ca="1">IF(LEFT(Demand!$C$8,1)="H",VLOOKUP($D33,'SPC background (hide)'!$AG$2:$AS$54,12,0),'Demand background (hide)'!X22)</f>
        <v>152</v>
      </c>
      <c r="F33" s="5">
        <f ca="1">IF(LEFT(Demand!$C$8,1)="H",VLOOKUP($D33,'SPC background (hide)'!$AG$2:$AS$54,13,0),E33*1.1)</f>
        <v>167.20000000000002</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161.53846153846155</v>
      </c>
      <c r="J33" s="5">
        <f ca="1">HLOOKUP(D33,'Capacity calculation (hide)'!$BK$110:$DJ$111,2,0)</f>
        <v>0</v>
      </c>
      <c r="K33" s="5">
        <f ca="1">IF(I33-IF(Setup!$I$15="Yes",$G33,0)-IF(Setup!$I$13="Yes",$H33,0)&lt;0,0,I33-IF(Setup!$I$15="Yes",$G33,0)-IF(Setup!$I$13="Yes",$H33,0))</f>
        <v>161.53846153846155</v>
      </c>
      <c r="L33" s="5">
        <f t="shared" ca="1" si="2"/>
        <v>0</v>
      </c>
      <c r="M33" s="5">
        <f ca="1">(IF('Demand adjustments for Covid'!$F$9="No",E33,SUM('Demand background (hide)'!DS22,'Demand background (hide)'!DV22:DW22))*(1-'Parameters calculator (hide)'!$B$43))*(1-'Parameters calculator (hide)'!$B$44+('Parameters calculator (hide)'!$B$45*'Parameters calculator (hide)'!$B$47))</f>
        <v>152.0532</v>
      </c>
      <c r="N33" s="5">
        <f ca="1">(IF('Demand adjustments for Covid'!$F$9="No",F33,SUM('Demand background (hide)'!DT22,'Demand background (hide)'!DV22:DW22))*(1-'Parameters calculator (hide)'!$B$43))*(1-'Parameters calculator (hide)'!$B$44+('Parameters calculator (hide)'!$B$45*'Parameters calculator (hide)'!$B$47))</f>
        <v>167.25852</v>
      </c>
      <c r="P33" s="5">
        <f t="shared" ca="1" si="3"/>
        <v>161.53846153846155</v>
      </c>
      <c r="Q33" s="5">
        <f t="shared" ca="1" si="4"/>
        <v>0</v>
      </c>
      <c r="R33" s="5">
        <f t="shared" ca="1" si="5"/>
        <v>161.53846153846155</v>
      </c>
      <c r="S33" s="5">
        <f t="shared" ca="1" si="6"/>
        <v>0</v>
      </c>
      <c r="T33" s="5">
        <f ca="1">M33/IF(Summary!$C$8&lt;&gt;"Patients",1,$I$9)</f>
        <v>152.0532</v>
      </c>
      <c r="U33" s="5">
        <f ca="1">((N33-M33)/IF(Summary!$C$8&lt;&gt;"Patients",1,$I$9))</f>
        <v>15.20532</v>
      </c>
      <c r="V33" s="5">
        <f t="shared" si="7"/>
        <v>0</v>
      </c>
      <c r="X33" s="5">
        <f ca="1">(VLOOKUP(D33,'SPC background (hide)'!$AG$2:$AN$54,8,0)/IF(Summary!$C$8&lt;&gt;"Patients",1,$I$9))*(1-$I$4)*(1-$I$5+($I$6*$I$7))</f>
        <v>142.0497</v>
      </c>
    </row>
    <row r="34" spans="1:24" x14ac:dyDescent="0.25">
      <c r="A34" s="87">
        <f t="shared" si="8"/>
        <v>44067</v>
      </c>
      <c r="B34" s="67" t="str">
        <f t="shared" si="0"/>
        <v/>
      </c>
      <c r="C34" s="67" t="str">
        <f t="shared" si="9"/>
        <v/>
      </c>
      <c r="D34" s="67">
        <f t="shared" si="1"/>
        <v>35</v>
      </c>
      <c r="E34" s="5">
        <f ca="1">IF(LEFT(Demand!$C$8,1)="H",VLOOKUP($D34,'SPC background (hide)'!$AG$2:$AS$54,12,0),'Demand background (hide)'!X23)</f>
        <v>138</v>
      </c>
      <c r="F34" s="5">
        <f ca="1">IF(LEFT(Demand!$C$8,1)="H",VLOOKUP($D34,'SPC background (hide)'!$AG$2:$AS$54,13,0),E34*1.1)</f>
        <v>151.80000000000001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161.53846153846155</v>
      </c>
      <c r="J34" s="5">
        <f ca="1">HLOOKUP(D34,'Capacity calculation (hide)'!$BK$110:$DJ$111,2,0)</f>
        <v>0</v>
      </c>
      <c r="K34" s="5">
        <f ca="1">IF(I34-IF(Setup!$I$15="Yes",$G34,0)-IF(Setup!$I$13="Yes",$H34,0)&lt;0,0,I34-IF(Setup!$I$15="Yes",$G34,0)-IF(Setup!$I$13="Yes",$H34,0))</f>
        <v>161.53846153846155</v>
      </c>
      <c r="L34" s="5">
        <f t="shared" ca="1" si="2"/>
        <v>0</v>
      </c>
      <c r="M34" s="5">
        <f ca="1">(IF('Demand adjustments for Covid'!$F$9="No",E34,SUM('Demand background (hide)'!DS23,'Demand background (hide)'!DV23:DW23))*(1-'Parameters calculator (hide)'!$B$43))*(1-'Parameters calculator (hide)'!$B$44+('Parameters calculator (hide)'!$B$45*'Parameters calculator (hide)'!$B$47))</f>
        <v>138.04829999999998</v>
      </c>
      <c r="N34" s="5">
        <f ca="1">(IF('Demand adjustments for Covid'!$F$9="No",F34,SUM('Demand background (hide)'!DT23,'Demand background (hide)'!DV23:DW23))*(1-'Parameters calculator (hide)'!$B$43))*(1-'Parameters calculator (hide)'!$B$44+('Parameters calculator (hide)'!$B$45*'Parameters calculator (hide)'!$B$47))</f>
        <v>151.85312999999999</v>
      </c>
      <c r="P34" s="5">
        <f t="shared" ca="1" si="3"/>
        <v>161.53846153846155</v>
      </c>
      <c r="Q34" s="5">
        <f t="shared" ca="1" si="4"/>
        <v>0</v>
      </c>
      <c r="R34" s="5">
        <f t="shared" ca="1" si="5"/>
        <v>161.53846153846155</v>
      </c>
      <c r="S34" s="5">
        <f t="shared" ca="1" si="6"/>
        <v>0</v>
      </c>
      <c r="T34" s="5">
        <f ca="1">M34/IF(Summary!$C$8&lt;&gt;"Patients",1,$I$9)</f>
        <v>138.04829999999998</v>
      </c>
      <c r="U34" s="5">
        <f ca="1">((N34-M34)/IF(Summary!$C$8&lt;&gt;"Patients",1,$I$9))</f>
        <v>13.80483000000001</v>
      </c>
      <c r="V34" s="5">
        <f t="shared" si="7"/>
        <v>0</v>
      </c>
      <c r="X34" s="5">
        <f ca="1">(VLOOKUP(D34,'SPC background (hide)'!$AG$2:$AN$54,8,0)/IF(Summary!$C$8&lt;&gt;"Patients",1,$I$9))*(1-$I$4)*(1-$I$5+($I$6*$I$7))</f>
        <v>142.0497</v>
      </c>
    </row>
    <row r="35" spans="1:24" x14ac:dyDescent="0.25">
      <c r="A35" s="87">
        <f t="shared" si="8"/>
        <v>44074</v>
      </c>
      <c r="B35" s="67" t="str">
        <f t="shared" si="0"/>
        <v/>
      </c>
      <c r="C35" s="67" t="str">
        <f t="shared" si="9"/>
        <v/>
      </c>
      <c r="D35" s="67">
        <f t="shared" si="1"/>
        <v>36</v>
      </c>
      <c r="E35" s="5">
        <f ca="1">IF(LEFT(Demand!$C$8,1)="H",VLOOKUP($D35,'SPC background (hide)'!$AG$2:$AS$54,12,0),'Demand background (hide)'!X24)</f>
        <v>160</v>
      </c>
      <c r="F35" s="5">
        <f ca="1">IF(LEFT(Demand!$C$8,1)="H",VLOOKUP($D35,'SPC background (hide)'!$AG$2:$AS$54,13,0),E35*1.1)</f>
        <v>176</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161.53846153846155</v>
      </c>
      <c r="J35" s="5">
        <f ca="1">HLOOKUP(D35,'Capacity calculation (hide)'!$BK$110:$DJ$111,2,0)</f>
        <v>0</v>
      </c>
      <c r="K35" s="5">
        <f ca="1">IF(I35-IF(Setup!$I$15="Yes",$G35,0)-IF(Setup!$I$13="Yes",$H35,0)&lt;0,0,I35-IF(Setup!$I$15="Yes",$G35,0)-IF(Setup!$I$13="Yes",$H35,0))</f>
        <v>161.53846153846155</v>
      </c>
      <c r="L35" s="5">
        <f t="shared" ca="1" si="2"/>
        <v>0</v>
      </c>
      <c r="M35" s="5">
        <f ca="1">(IF('Demand adjustments for Covid'!$F$9="No",E35,SUM('Demand background (hide)'!DS24,'Demand background (hide)'!DV24:DW24))*(1-'Parameters calculator (hide)'!$B$43))*(1-'Parameters calculator (hide)'!$B$44+('Parameters calculator (hide)'!$B$45*'Parameters calculator (hide)'!$B$47))</f>
        <v>160.05599999999998</v>
      </c>
      <c r="N35" s="5">
        <f ca="1">(IF('Demand adjustments for Covid'!$F$9="No",F35,SUM('Demand background (hide)'!DT24,'Demand background (hide)'!DV24:DW24))*(1-'Parameters calculator (hide)'!$B$43))*(1-'Parameters calculator (hide)'!$B$44+('Parameters calculator (hide)'!$B$45*'Parameters calculator (hide)'!$B$47))</f>
        <v>176.06159999999997</v>
      </c>
      <c r="P35" s="5">
        <f t="shared" ca="1" si="3"/>
        <v>161.53846153846155</v>
      </c>
      <c r="Q35" s="5">
        <f t="shared" ca="1" si="4"/>
        <v>0</v>
      </c>
      <c r="R35" s="5">
        <f t="shared" ca="1" si="5"/>
        <v>161.53846153846155</v>
      </c>
      <c r="S35" s="5">
        <f t="shared" ca="1" si="6"/>
        <v>0</v>
      </c>
      <c r="T35" s="5">
        <f ca="1">M35/IF(Summary!$C$8&lt;&gt;"Patients",1,$I$9)</f>
        <v>160.05599999999998</v>
      </c>
      <c r="U35" s="5">
        <f ca="1">((N35-M35)/IF(Summary!$C$8&lt;&gt;"Patients",1,$I$9))</f>
        <v>16.005599999999987</v>
      </c>
      <c r="V35" s="5">
        <f t="shared" si="7"/>
        <v>0</v>
      </c>
      <c r="X35" s="5">
        <f ca="1">(VLOOKUP(D35,'SPC background (hide)'!$AG$2:$AN$54,8,0)/IF(Summary!$C$8&lt;&gt;"Patients",1,$I$9))*(1-$I$4)*(1-$I$5+($I$6*$I$7))</f>
        <v>142.0497</v>
      </c>
    </row>
    <row r="36" spans="1:24" x14ac:dyDescent="0.25">
      <c r="A36" s="87">
        <f t="shared" si="8"/>
        <v>44081</v>
      </c>
      <c r="B36" s="67" t="str">
        <f t="shared" si="0"/>
        <v/>
      </c>
      <c r="C36" s="67" t="str">
        <f t="shared" si="9"/>
        <v>Sep</v>
      </c>
      <c r="D36" s="67">
        <f t="shared" si="1"/>
        <v>37</v>
      </c>
      <c r="E36" s="5">
        <f ca="1">IF(LEFT(Demand!$C$8,1)="H",VLOOKUP($D36,'SPC background (hide)'!$AG$2:$AS$54,12,0),'Demand background (hide)'!X25)</f>
        <v>146</v>
      </c>
      <c r="F36" s="5">
        <f ca="1">IF(LEFT(Demand!$C$8,1)="H",VLOOKUP($D36,'SPC background (hide)'!$AG$2:$AS$54,13,0),E36*1.1)</f>
        <v>160.60000000000002</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161.53846153846155</v>
      </c>
      <c r="J36" s="5">
        <f ca="1">HLOOKUP(D36,'Capacity calculation (hide)'!$BK$110:$DJ$111,2,0)</f>
        <v>0</v>
      </c>
      <c r="K36" s="5">
        <f ca="1">IF(I36-IF(Setup!$I$15="Yes",$G36,0)-IF(Setup!$I$13="Yes",$H36,0)&lt;0,0,I36-IF(Setup!$I$15="Yes",$G36,0)-IF(Setup!$I$13="Yes",$H36,0))</f>
        <v>161.53846153846155</v>
      </c>
      <c r="L36" s="5">
        <f t="shared" ca="1" si="2"/>
        <v>0</v>
      </c>
      <c r="M36" s="5">
        <f ca="1">(IF('Demand adjustments for Covid'!$F$9="No",E36,SUM('Demand background (hide)'!DS25,'Demand background (hide)'!DV25:DW25))*(1-'Parameters calculator (hide)'!$B$43))*(1-'Parameters calculator (hide)'!$B$44+('Parameters calculator (hide)'!$B$45*'Parameters calculator (hide)'!$B$47))</f>
        <v>146.05109999999999</v>
      </c>
      <c r="N36" s="5">
        <f ca="1">(IF('Demand adjustments for Covid'!$F$9="No",F36,SUM('Demand background (hide)'!DT25,'Demand background (hide)'!DV25:DW25))*(1-'Parameters calculator (hide)'!$B$43))*(1-'Parameters calculator (hide)'!$B$44+('Parameters calculator (hide)'!$B$45*'Parameters calculator (hide)'!$B$47))</f>
        <v>160.65621000000002</v>
      </c>
      <c r="P36" s="5">
        <f t="shared" ca="1" si="3"/>
        <v>161.53846153846155</v>
      </c>
      <c r="Q36" s="5">
        <f t="shared" ca="1" si="4"/>
        <v>0</v>
      </c>
      <c r="R36" s="5">
        <f t="shared" ca="1" si="5"/>
        <v>161.53846153846155</v>
      </c>
      <c r="S36" s="5">
        <f t="shared" ca="1" si="6"/>
        <v>0</v>
      </c>
      <c r="T36" s="5">
        <f ca="1">M36/IF(Summary!$C$8&lt;&gt;"Patients",1,$I$9)</f>
        <v>146.05109999999999</v>
      </c>
      <c r="U36" s="5">
        <f ca="1">((N36-M36)/IF(Summary!$C$8&lt;&gt;"Patients",1,$I$9))</f>
        <v>14.605110000000025</v>
      </c>
      <c r="V36" s="5">
        <f t="shared" si="7"/>
        <v>0</v>
      </c>
      <c r="X36" s="5">
        <f ca="1">(VLOOKUP(D36,'SPC background (hide)'!$AG$2:$AN$54,8,0)/IF(Summary!$C$8&lt;&gt;"Patients",1,$I$9))*(1-$I$4)*(1-$I$5+($I$6*$I$7))</f>
        <v>142.0497</v>
      </c>
    </row>
    <row r="37" spans="1:24" x14ac:dyDescent="0.25">
      <c r="A37" s="87">
        <f t="shared" si="8"/>
        <v>44088</v>
      </c>
      <c r="B37" s="67" t="str">
        <f t="shared" si="0"/>
        <v/>
      </c>
      <c r="C37" s="67" t="str">
        <f t="shared" si="9"/>
        <v/>
      </c>
      <c r="D37" s="67">
        <f t="shared" si="1"/>
        <v>38</v>
      </c>
      <c r="E37" s="5">
        <f ca="1">IF(LEFT(Demand!$C$8,1)="H",VLOOKUP($D37,'SPC background (hide)'!$AG$2:$AS$54,12,0),'Demand background (hide)'!X26)</f>
        <v>148</v>
      </c>
      <c r="F37" s="5">
        <f ca="1">IF(LEFT(Demand!$C$8,1)="H",VLOOKUP($D37,'SPC background (hide)'!$AG$2:$AS$54,13,0),E37*1.1)</f>
        <v>162.80000000000001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161.53846153846155</v>
      </c>
      <c r="J37" s="5">
        <f ca="1">HLOOKUP(D37,'Capacity calculation (hide)'!$BK$110:$DJ$111,2,0)</f>
        <v>0</v>
      </c>
      <c r="K37" s="5">
        <f ca="1">IF(I37-IF(Setup!$I$15="Yes",$G37,0)-IF(Setup!$I$13="Yes",$H37,0)&lt;0,0,I37-IF(Setup!$I$15="Yes",$G37,0)-IF(Setup!$I$13="Yes",$H37,0))</f>
        <v>161.53846153846155</v>
      </c>
      <c r="L37" s="5">
        <f t="shared" ca="1" si="2"/>
        <v>0</v>
      </c>
      <c r="M37" s="5">
        <f ca="1">(IF('Demand adjustments for Covid'!$F$9="No",E37,SUM('Demand background (hide)'!DS26,'Demand background (hide)'!DV26:DW26))*(1-'Parameters calculator (hide)'!$B$43))*(1-'Parameters calculator (hide)'!$B$44+('Parameters calculator (hide)'!$B$45*'Parameters calculator (hide)'!$B$47))</f>
        <v>148.05179999999999</v>
      </c>
      <c r="N37" s="5">
        <f ca="1">(IF('Demand adjustments for Covid'!$F$9="No",F37,SUM('Demand background (hide)'!DT26,'Demand background (hide)'!DV26:DW26))*(1-'Parameters calculator (hide)'!$B$43))*(1-'Parameters calculator (hide)'!$B$44+('Parameters calculator (hide)'!$B$45*'Parameters calculator (hide)'!$B$47))</f>
        <v>162.85697999999999</v>
      </c>
      <c r="P37" s="5">
        <f t="shared" ca="1" si="3"/>
        <v>161.53846153846155</v>
      </c>
      <c r="Q37" s="5">
        <f t="shared" ca="1" si="4"/>
        <v>0</v>
      </c>
      <c r="R37" s="5">
        <f t="shared" ca="1" si="5"/>
        <v>161.53846153846155</v>
      </c>
      <c r="S37" s="5">
        <f t="shared" ca="1" si="6"/>
        <v>0</v>
      </c>
      <c r="T37" s="5">
        <f ca="1">M37/IF(Summary!$C$8&lt;&gt;"Patients",1,$I$9)</f>
        <v>148.05179999999999</v>
      </c>
      <c r="U37" s="5">
        <f ca="1">((N37-M37)/IF(Summary!$C$8&lt;&gt;"Patients",1,$I$9))</f>
        <v>14.805180000000007</v>
      </c>
      <c r="V37" s="5">
        <f t="shared" si="7"/>
        <v>0</v>
      </c>
      <c r="X37" s="5">
        <f ca="1">(VLOOKUP(D37,'SPC background (hide)'!$AG$2:$AN$54,8,0)/IF(Summary!$C$8&lt;&gt;"Patients",1,$I$9))*(1-$I$4)*(1-$I$5+($I$6*$I$7))</f>
        <v>142.0497</v>
      </c>
    </row>
    <row r="38" spans="1:24" x14ac:dyDescent="0.25">
      <c r="A38" s="87">
        <f t="shared" si="8"/>
        <v>44095</v>
      </c>
      <c r="B38" s="67" t="str">
        <f t="shared" si="0"/>
        <v/>
      </c>
      <c r="C38" s="67" t="str">
        <f t="shared" si="9"/>
        <v/>
      </c>
      <c r="D38" s="67">
        <f t="shared" si="1"/>
        <v>39</v>
      </c>
      <c r="E38" s="5">
        <f ca="1">IF(LEFT(Demand!$C$8,1)="H",VLOOKUP($D38,'SPC background (hide)'!$AG$2:$AS$54,12,0),'Demand background (hide)'!X27)</f>
        <v>130</v>
      </c>
      <c r="F38" s="5">
        <f ca="1">IF(LEFT(Demand!$C$8,1)="H",VLOOKUP($D38,'SPC background (hide)'!$AG$2:$AS$54,13,0),E38*1.1)</f>
        <v>143</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161.53846153846155</v>
      </c>
      <c r="J38" s="5">
        <f ca="1">HLOOKUP(D38,'Capacity calculation (hide)'!$BK$110:$DJ$111,2,0)</f>
        <v>0</v>
      </c>
      <c r="K38" s="5">
        <f ca="1">IF(I38-IF(Setup!$I$15="Yes",$G38,0)-IF(Setup!$I$13="Yes",$H38,0)&lt;0,0,I38-IF(Setup!$I$15="Yes",$G38,0)-IF(Setup!$I$13="Yes",$H38,0))</f>
        <v>161.53846153846155</v>
      </c>
      <c r="L38" s="5">
        <f t="shared" ca="1" si="2"/>
        <v>0</v>
      </c>
      <c r="M38" s="5">
        <f ca="1">(IF('Demand adjustments for Covid'!$F$9="No",E38,SUM('Demand background (hide)'!DS27,'Demand background (hide)'!DV27:DW27))*(1-'Parameters calculator (hide)'!$B$43))*(1-'Parameters calculator (hide)'!$B$44+('Parameters calculator (hide)'!$B$45*'Parameters calculator (hide)'!$B$47))</f>
        <v>130.0455</v>
      </c>
      <c r="N38" s="5">
        <f ca="1">(IF('Demand adjustments for Covid'!$F$9="No",F38,SUM('Demand background (hide)'!DT27,'Demand background (hide)'!DV27:DW27))*(1-'Parameters calculator (hide)'!$B$43))*(1-'Parameters calculator (hide)'!$B$44+('Parameters calculator (hide)'!$B$45*'Parameters calculator (hide)'!$B$47))</f>
        <v>143.05005</v>
      </c>
      <c r="P38" s="5">
        <f t="shared" ca="1" si="3"/>
        <v>161.53846153846155</v>
      </c>
      <c r="Q38" s="5">
        <f t="shared" ca="1" si="4"/>
        <v>0</v>
      </c>
      <c r="R38" s="5">
        <f t="shared" ca="1" si="5"/>
        <v>161.53846153846155</v>
      </c>
      <c r="S38" s="5">
        <f t="shared" ca="1" si="6"/>
        <v>0</v>
      </c>
      <c r="T38" s="5">
        <f ca="1">M38/IF(Summary!$C$8&lt;&gt;"Patients",1,$I$9)</f>
        <v>130.0455</v>
      </c>
      <c r="U38" s="5">
        <f ca="1">((N38-M38)/IF(Summary!$C$8&lt;&gt;"Patients",1,$I$9))</f>
        <v>13.004549999999995</v>
      </c>
      <c r="V38" s="5">
        <f t="shared" si="7"/>
        <v>0</v>
      </c>
      <c r="X38" s="5">
        <f ca="1">(VLOOKUP(D38,'SPC background (hide)'!$AG$2:$AN$54,8,0)/IF(Summary!$C$8&lt;&gt;"Patients",1,$I$9))*(1-$I$4)*(1-$I$5+($I$6*$I$7))</f>
        <v>142.0497</v>
      </c>
    </row>
    <row r="39" spans="1:24" x14ac:dyDescent="0.25">
      <c r="A39" s="87">
        <f t="shared" si="8"/>
        <v>44102</v>
      </c>
      <c r="B39" s="67" t="str">
        <f t="shared" si="0"/>
        <v/>
      </c>
      <c r="C39" s="67" t="str">
        <f t="shared" si="9"/>
        <v/>
      </c>
      <c r="D39" s="67">
        <f t="shared" si="1"/>
        <v>40</v>
      </c>
      <c r="E39" s="5">
        <f ca="1">IF(LEFT(Demand!$C$8,1)="H",VLOOKUP($D39,'SPC background (hide)'!$AG$2:$AS$54,12,0),'Demand background (hide)'!X28)</f>
        <v>130</v>
      </c>
      <c r="F39" s="5">
        <f ca="1">IF(LEFT(Demand!$C$8,1)="H",VLOOKUP($D39,'SPC background (hide)'!$AG$2:$AS$54,13,0),E39*1.1)</f>
        <v>143</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161.53846153846155</v>
      </c>
      <c r="J39" s="5">
        <f ca="1">HLOOKUP(D39,'Capacity calculation (hide)'!$BK$110:$DJ$111,2,0)</f>
        <v>0</v>
      </c>
      <c r="K39" s="5">
        <f ca="1">IF(I39-IF(Setup!$I$15="Yes",$G39,0)-IF(Setup!$I$13="Yes",$H39,0)&lt;0,0,I39-IF(Setup!$I$15="Yes",$G39,0)-IF(Setup!$I$13="Yes",$H39,0))</f>
        <v>161.53846153846155</v>
      </c>
      <c r="L39" s="5">
        <f t="shared" ca="1" si="2"/>
        <v>0</v>
      </c>
      <c r="M39" s="5">
        <f ca="1">(IF('Demand adjustments for Covid'!$F$9="No",E39,SUM('Demand background (hide)'!DS28,'Demand background (hide)'!DV28:DW28))*(1-'Parameters calculator (hide)'!$B$43))*(1-'Parameters calculator (hide)'!$B$44+('Parameters calculator (hide)'!$B$45*'Parameters calculator (hide)'!$B$47))</f>
        <v>130.0455</v>
      </c>
      <c r="N39" s="5">
        <f ca="1">(IF('Demand adjustments for Covid'!$F$9="No",F39,SUM('Demand background (hide)'!DT28,'Demand background (hide)'!DV28:DW28))*(1-'Parameters calculator (hide)'!$B$43))*(1-'Parameters calculator (hide)'!$B$44+('Parameters calculator (hide)'!$B$45*'Parameters calculator (hide)'!$B$47))</f>
        <v>143.05005</v>
      </c>
      <c r="P39" s="5">
        <f t="shared" ca="1" si="3"/>
        <v>161.53846153846155</v>
      </c>
      <c r="Q39" s="5">
        <f t="shared" ca="1" si="4"/>
        <v>0</v>
      </c>
      <c r="R39" s="5">
        <f t="shared" ca="1" si="5"/>
        <v>161.53846153846155</v>
      </c>
      <c r="S39" s="5">
        <f t="shared" ca="1" si="6"/>
        <v>0</v>
      </c>
      <c r="T39" s="5">
        <f ca="1">M39/IF(Summary!$C$8&lt;&gt;"Patients",1,$I$9)</f>
        <v>130.0455</v>
      </c>
      <c r="U39" s="5">
        <f ca="1">((N39-M39)/IF(Summary!$C$8&lt;&gt;"Patients",1,$I$9))</f>
        <v>13.004549999999995</v>
      </c>
      <c r="V39" s="5">
        <f t="shared" si="7"/>
        <v>0</v>
      </c>
      <c r="X39" s="5">
        <f ca="1">(VLOOKUP(D39,'SPC background (hide)'!$AG$2:$AN$54,8,0)/IF(Summary!$C$8&lt;&gt;"Patients",1,$I$9))*(1-$I$4)*(1-$I$5+($I$6*$I$7))</f>
        <v>142.0497</v>
      </c>
    </row>
    <row r="40" spans="1:24" x14ac:dyDescent="0.25">
      <c r="A40" s="87">
        <f t="shared" si="8"/>
        <v>44109</v>
      </c>
      <c r="B40" s="67" t="str">
        <f t="shared" si="0"/>
        <v/>
      </c>
      <c r="C40" s="67" t="str">
        <f t="shared" si="9"/>
        <v>Oct</v>
      </c>
      <c r="D40" s="67">
        <f t="shared" si="1"/>
        <v>41</v>
      </c>
      <c r="E40" s="5">
        <f ca="1">IF(LEFT(Demand!$C$8,1)="H",VLOOKUP($D40,'SPC background (hide)'!$AG$2:$AS$54,12,0),'Demand background (hide)'!X29)</f>
        <v>120</v>
      </c>
      <c r="F40" s="5">
        <f ca="1">IF(LEFT(Demand!$C$8,1)="H",VLOOKUP($D40,'SPC background (hide)'!$AG$2:$AS$54,13,0),E40*1.1)</f>
        <v>132</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161.53846153846155</v>
      </c>
      <c r="J40" s="5">
        <f ca="1">HLOOKUP(D40,'Capacity calculation (hide)'!$BK$110:$DJ$111,2,0)</f>
        <v>0</v>
      </c>
      <c r="K40" s="5">
        <f ca="1">IF(I40-IF(Setup!$I$15="Yes",$G40,0)-IF(Setup!$I$13="Yes",$H40,0)&lt;0,0,I40-IF(Setup!$I$15="Yes",$G40,0)-IF(Setup!$I$13="Yes",$H40,0))</f>
        <v>161.53846153846155</v>
      </c>
      <c r="L40" s="5">
        <f t="shared" ca="1" si="2"/>
        <v>0</v>
      </c>
      <c r="M40" s="5">
        <f ca="1">(IF('Demand adjustments for Covid'!$F$9="No",E40,SUM('Demand background (hide)'!DS29,'Demand background (hide)'!DV29:DW29))*(1-'Parameters calculator (hide)'!$B$43))*(1-'Parameters calculator (hide)'!$B$44+('Parameters calculator (hide)'!$B$45*'Parameters calculator (hide)'!$B$47))</f>
        <v>120.04199999999999</v>
      </c>
      <c r="N40" s="5">
        <f ca="1">(IF('Demand adjustments for Covid'!$F$9="No",F40,SUM('Demand background (hide)'!DT29,'Demand background (hide)'!DV29:DW29))*(1-'Parameters calculator (hide)'!$B$43))*(1-'Parameters calculator (hide)'!$B$44+('Parameters calculator (hide)'!$B$45*'Parameters calculator (hide)'!$B$47))</f>
        <v>132.04619999999997</v>
      </c>
      <c r="P40" s="5">
        <f t="shared" ca="1" si="3"/>
        <v>161.53846153846155</v>
      </c>
      <c r="Q40" s="5">
        <f t="shared" ca="1" si="4"/>
        <v>0</v>
      </c>
      <c r="R40" s="5">
        <f t="shared" ca="1" si="5"/>
        <v>161.53846153846155</v>
      </c>
      <c r="S40" s="5">
        <f t="shared" ca="1" si="6"/>
        <v>0</v>
      </c>
      <c r="T40" s="5">
        <f ca="1">M40/IF(Summary!$C$8&lt;&gt;"Patients",1,$I$9)</f>
        <v>120.04199999999999</v>
      </c>
      <c r="U40" s="5">
        <f ca="1">((N40-M40)/IF(Summary!$C$8&lt;&gt;"Patients",1,$I$9))</f>
        <v>12.004199999999983</v>
      </c>
      <c r="V40" s="5">
        <f t="shared" si="7"/>
        <v>0</v>
      </c>
      <c r="X40" s="5">
        <f ca="1">(VLOOKUP(D40,'SPC background (hide)'!$AG$2:$AN$54,8,0)/IF(Summary!$C$8&lt;&gt;"Patients",1,$I$9))*(1-$I$4)*(1-$I$5+($I$6*$I$7))</f>
        <v>142.0497</v>
      </c>
    </row>
    <row r="41" spans="1:24" x14ac:dyDescent="0.25">
      <c r="A41" s="87">
        <f t="shared" si="8"/>
        <v>44116</v>
      </c>
      <c r="B41" s="67" t="str">
        <f t="shared" si="0"/>
        <v/>
      </c>
      <c r="C41" s="67" t="str">
        <f t="shared" si="9"/>
        <v/>
      </c>
      <c r="D41" s="67">
        <f t="shared" si="1"/>
        <v>42</v>
      </c>
      <c r="E41" s="5">
        <f ca="1">IF(LEFT(Demand!$C$8,1)="H",VLOOKUP($D41,'SPC background (hide)'!$AG$2:$AS$54,12,0),'Demand background (hide)'!X30)</f>
        <v>124</v>
      </c>
      <c r="F41" s="5">
        <f ca="1">IF(LEFT(Demand!$C$8,1)="H",VLOOKUP($D41,'SPC background (hide)'!$AG$2:$AS$54,13,0),E41*1.1)</f>
        <v>136.4</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161.53846153846155</v>
      </c>
      <c r="J41" s="5">
        <f ca="1">HLOOKUP(D41,'Capacity calculation (hide)'!$BK$110:$DJ$111,2,0)</f>
        <v>0</v>
      </c>
      <c r="K41" s="5">
        <f ca="1">IF(I41-IF(Setup!$I$15="Yes",$G41,0)-IF(Setup!$I$13="Yes",$H41,0)&lt;0,0,I41-IF(Setup!$I$15="Yes",$G41,0)-IF(Setup!$I$13="Yes",$H41,0))</f>
        <v>161.53846153846155</v>
      </c>
      <c r="L41" s="5">
        <f t="shared" ca="1" si="2"/>
        <v>0</v>
      </c>
      <c r="M41" s="5">
        <f ca="1">(IF('Demand adjustments for Covid'!$F$9="No",E41,SUM('Demand background (hide)'!DS30,'Demand background (hide)'!DV30:DW30))*(1-'Parameters calculator (hide)'!$B$43))*(1-'Parameters calculator (hide)'!$B$44+('Parameters calculator (hide)'!$B$45*'Parameters calculator (hide)'!$B$47))</f>
        <v>124.04339999999999</v>
      </c>
      <c r="N41" s="5">
        <f ca="1">(IF('Demand adjustments for Covid'!$F$9="No",F41,SUM('Demand background (hide)'!DT30,'Demand background (hide)'!DV30:DW30))*(1-'Parameters calculator (hide)'!$B$43))*(1-'Parameters calculator (hide)'!$B$44+('Parameters calculator (hide)'!$B$45*'Parameters calculator (hide)'!$B$47))</f>
        <v>136.44774000000001</v>
      </c>
      <c r="P41" s="5">
        <f t="shared" ca="1" si="3"/>
        <v>161.53846153846155</v>
      </c>
      <c r="Q41" s="5">
        <f t="shared" ca="1" si="4"/>
        <v>0</v>
      </c>
      <c r="R41" s="5">
        <f t="shared" ca="1" si="5"/>
        <v>161.53846153846155</v>
      </c>
      <c r="S41" s="5">
        <f t="shared" ca="1" si="6"/>
        <v>0</v>
      </c>
      <c r="T41" s="5">
        <f ca="1">M41/IF(Summary!$C$8&lt;&gt;"Patients",1,$I$9)</f>
        <v>124.04339999999999</v>
      </c>
      <c r="U41" s="5">
        <f ca="1">((N41-M41)/IF(Summary!$C$8&lt;&gt;"Patients",1,$I$9))</f>
        <v>12.404340000000019</v>
      </c>
      <c r="V41" s="5">
        <f t="shared" si="7"/>
        <v>0</v>
      </c>
      <c r="X41" s="5">
        <f ca="1">(VLOOKUP(D41,'SPC background (hide)'!$AG$2:$AN$54,8,0)/IF(Summary!$C$8&lt;&gt;"Patients",1,$I$9))*(1-$I$4)*(1-$I$5+($I$6*$I$7))</f>
        <v>142.0497</v>
      </c>
    </row>
    <row r="42" spans="1:24" x14ac:dyDescent="0.25">
      <c r="A42" s="87">
        <f t="shared" si="8"/>
        <v>44123</v>
      </c>
      <c r="B42" s="67" t="str">
        <f t="shared" si="0"/>
        <v/>
      </c>
      <c r="C42" s="67" t="str">
        <f t="shared" si="9"/>
        <v/>
      </c>
      <c r="D42" s="67">
        <f t="shared" si="1"/>
        <v>43</v>
      </c>
      <c r="E42" s="5">
        <f ca="1">IF(LEFT(Demand!$C$8,1)="H",VLOOKUP($D42,'SPC background (hide)'!$AG$2:$AS$54,12,0),'Demand background (hide)'!X31)</f>
        <v>140</v>
      </c>
      <c r="F42" s="5">
        <f ca="1">IF(LEFT(Demand!$C$8,1)="H",VLOOKUP($D42,'SPC background (hide)'!$AG$2:$AS$54,13,0),E42*1.1)</f>
        <v>154</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161.53846153846155</v>
      </c>
      <c r="J42" s="5">
        <f ca="1">HLOOKUP(D42,'Capacity calculation (hide)'!$BK$110:$DJ$111,2,0)</f>
        <v>0</v>
      </c>
      <c r="K42" s="5">
        <f ca="1">IF(I42-IF(Setup!$I$15="Yes",$G42,0)-IF(Setup!$I$13="Yes",$H42,0)&lt;0,0,I42-IF(Setup!$I$15="Yes",$G42,0)-IF(Setup!$I$13="Yes",$H42,0))</f>
        <v>161.53846153846155</v>
      </c>
      <c r="L42" s="5">
        <f t="shared" ca="1" si="2"/>
        <v>0</v>
      </c>
      <c r="M42" s="5">
        <f ca="1">(IF('Demand adjustments for Covid'!$F$9="No",E42,SUM('Demand background (hide)'!DS31,'Demand background (hide)'!DV31:DW31))*(1-'Parameters calculator (hide)'!$B$43))*(1-'Parameters calculator (hide)'!$B$44+('Parameters calculator (hide)'!$B$45*'Parameters calculator (hide)'!$B$47))</f>
        <v>140.04899999999998</v>
      </c>
      <c r="N42" s="5">
        <f ca="1">(IF('Demand adjustments for Covid'!$F$9="No",F42,SUM('Demand background (hide)'!DT31,'Demand background (hide)'!DV31:DW31))*(1-'Parameters calculator (hide)'!$B$43))*(1-'Parameters calculator (hide)'!$B$44+('Parameters calculator (hide)'!$B$45*'Parameters calculator (hide)'!$B$47))</f>
        <v>154.05389999999997</v>
      </c>
      <c r="P42" s="5">
        <f t="shared" ca="1" si="3"/>
        <v>161.53846153846155</v>
      </c>
      <c r="Q42" s="5">
        <f t="shared" ca="1" si="4"/>
        <v>0</v>
      </c>
      <c r="R42" s="5">
        <f t="shared" ca="1" si="5"/>
        <v>161.53846153846155</v>
      </c>
      <c r="S42" s="5">
        <f t="shared" ca="1" si="6"/>
        <v>0</v>
      </c>
      <c r="T42" s="5">
        <f ca="1">M42/IF(Summary!$C$8&lt;&gt;"Patients",1,$I$9)</f>
        <v>140.04899999999998</v>
      </c>
      <c r="U42" s="5">
        <f ca="1">((N42-M42)/IF(Summary!$C$8&lt;&gt;"Patients",1,$I$9))</f>
        <v>14.004899999999992</v>
      </c>
      <c r="V42" s="5">
        <f t="shared" si="7"/>
        <v>0</v>
      </c>
      <c r="X42" s="5">
        <f ca="1">(VLOOKUP(D42,'SPC background (hide)'!$AG$2:$AN$54,8,0)/IF(Summary!$C$8&lt;&gt;"Patients",1,$I$9))*(1-$I$4)*(1-$I$5+($I$6*$I$7))</f>
        <v>142.0497</v>
      </c>
    </row>
    <row r="43" spans="1:24" x14ac:dyDescent="0.25">
      <c r="A43" s="87">
        <f t="shared" si="8"/>
        <v>44130</v>
      </c>
      <c r="B43" s="67" t="str">
        <f t="shared" si="0"/>
        <v/>
      </c>
      <c r="C43" s="67" t="str">
        <f t="shared" si="9"/>
        <v/>
      </c>
      <c r="D43" s="67">
        <f t="shared" si="1"/>
        <v>44</v>
      </c>
      <c r="E43" s="5">
        <f ca="1">IF(LEFT(Demand!$C$8,1)="H",VLOOKUP($D43,'SPC background (hide)'!$AG$2:$AS$54,12,0),'Demand background (hide)'!X32)</f>
        <v>148</v>
      </c>
      <c r="F43" s="5">
        <f ca="1">IF(LEFT(Demand!$C$8,1)="H",VLOOKUP($D43,'SPC background (hide)'!$AG$2:$AS$54,13,0),E43*1.1)</f>
        <v>162.80000000000001</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161.53846153846155</v>
      </c>
      <c r="J43" s="5">
        <f ca="1">HLOOKUP(D43,'Capacity calculation (hide)'!$BK$110:$DJ$111,2,0)</f>
        <v>0</v>
      </c>
      <c r="K43" s="5">
        <f ca="1">IF(I43-IF(Setup!$I$15="Yes",$G43,0)-IF(Setup!$I$13="Yes",$H43,0)&lt;0,0,I43-IF(Setup!$I$15="Yes",$G43,0)-IF(Setup!$I$13="Yes",$H43,0))</f>
        <v>161.53846153846155</v>
      </c>
      <c r="L43" s="5">
        <f t="shared" ca="1" si="2"/>
        <v>0</v>
      </c>
      <c r="M43" s="5">
        <f ca="1">(IF('Demand adjustments for Covid'!$F$9="No",E43,SUM('Demand background (hide)'!DS32,'Demand background (hide)'!DV32:DW32))*(1-'Parameters calculator (hide)'!$B$43))*(1-'Parameters calculator (hide)'!$B$44+('Parameters calculator (hide)'!$B$45*'Parameters calculator (hide)'!$B$47))</f>
        <v>148.05179999999999</v>
      </c>
      <c r="N43" s="5">
        <f ca="1">(IF('Demand adjustments for Covid'!$F$9="No",F43,SUM('Demand background (hide)'!DT32,'Demand background (hide)'!DV32:DW32))*(1-'Parameters calculator (hide)'!$B$43))*(1-'Parameters calculator (hide)'!$B$44+('Parameters calculator (hide)'!$B$45*'Parameters calculator (hide)'!$B$47))</f>
        <v>162.85697999999999</v>
      </c>
      <c r="P43" s="5">
        <f t="shared" ca="1" si="3"/>
        <v>161.53846153846155</v>
      </c>
      <c r="Q43" s="5">
        <f t="shared" ca="1" si="4"/>
        <v>0</v>
      </c>
      <c r="R43" s="5">
        <f t="shared" ca="1" si="5"/>
        <v>161.53846153846155</v>
      </c>
      <c r="S43" s="5">
        <f t="shared" ca="1" si="6"/>
        <v>0</v>
      </c>
      <c r="T43" s="5">
        <f ca="1">M43/IF(Summary!$C$8&lt;&gt;"Patients",1,$I$9)</f>
        <v>148.05179999999999</v>
      </c>
      <c r="U43" s="5">
        <f ca="1">((N43-M43)/IF(Summary!$C$8&lt;&gt;"Patients",1,$I$9))</f>
        <v>14.805180000000007</v>
      </c>
      <c r="V43" s="5">
        <f t="shared" si="7"/>
        <v>0</v>
      </c>
      <c r="X43" s="5">
        <f ca="1">(VLOOKUP(D43,'SPC background (hide)'!$AG$2:$AN$54,8,0)/IF(Summary!$C$8&lt;&gt;"Patients",1,$I$9))*(1-$I$4)*(1-$I$5+($I$6*$I$7))</f>
        <v>142.0497</v>
      </c>
    </row>
    <row r="44" spans="1:24" x14ac:dyDescent="0.25">
      <c r="A44" s="87">
        <f t="shared" si="8"/>
        <v>44137</v>
      </c>
      <c r="B44" s="67" t="str">
        <f t="shared" si="0"/>
        <v/>
      </c>
      <c r="C44" s="67" t="str">
        <f t="shared" si="9"/>
        <v>Nov</v>
      </c>
      <c r="D44" s="67">
        <f t="shared" si="1"/>
        <v>45</v>
      </c>
      <c r="E44" s="5">
        <f ca="1">IF(LEFT(Demand!$C$8,1)="H",VLOOKUP($D44,'SPC background (hide)'!$AG$2:$AS$54,12,0),'Demand background (hide)'!X33)</f>
        <v>150</v>
      </c>
      <c r="F44" s="5">
        <f ca="1">IF(LEFT(Demand!$C$8,1)="H",VLOOKUP($D44,'SPC background (hide)'!$AG$2:$AS$54,13,0),E44*1.1)</f>
        <v>165</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161.53846153846155</v>
      </c>
      <c r="J44" s="5">
        <f ca="1">HLOOKUP(D44,'Capacity calculation (hide)'!$BK$110:$DJ$111,2,0)</f>
        <v>0</v>
      </c>
      <c r="K44" s="5">
        <f ca="1">IF(I44-IF(Setup!$I$15="Yes",$G44,0)-IF(Setup!$I$13="Yes",$H44,0)&lt;0,0,I44-IF(Setup!$I$15="Yes",$G44,0)-IF(Setup!$I$13="Yes",$H44,0))</f>
        <v>161.53846153846155</v>
      </c>
      <c r="L44" s="5">
        <f t="shared" ca="1" si="2"/>
        <v>0</v>
      </c>
      <c r="M44" s="5">
        <f ca="1">(IF('Demand adjustments for Covid'!$F$9="No",E44,SUM('Demand background (hide)'!DS33,'Demand background (hide)'!DV33:DW33))*(1-'Parameters calculator (hide)'!$B$43))*(1-'Parameters calculator (hide)'!$B$44+('Parameters calculator (hide)'!$B$45*'Parameters calculator (hide)'!$B$47))</f>
        <v>150.05249999999998</v>
      </c>
      <c r="N44" s="5">
        <f ca="1">(IF('Demand adjustments for Covid'!$F$9="No",F44,SUM('Demand background (hide)'!DT33,'Demand background (hide)'!DV33:DW33))*(1-'Parameters calculator (hide)'!$B$43))*(1-'Parameters calculator (hide)'!$B$44+('Parameters calculator (hide)'!$B$45*'Parameters calculator (hide)'!$B$47))</f>
        <v>165.05775</v>
      </c>
      <c r="P44" s="5">
        <f t="shared" ca="1" si="3"/>
        <v>161.53846153846155</v>
      </c>
      <c r="Q44" s="5">
        <f t="shared" ca="1" si="4"/>
        <v>0</v>
      </c>
      <c r="R44" s="5">
        <f t="shared" ca="1" si="5"/>
        <v>161.53846153846155</v>
      </c>
      <c r="S44" s="5">
        <f t="shared" ca="1" si="6"/>
        <v>0</v>
      </c>
      <c r="T44" s="5">
        <f ca="1">M44/IF(Summary!$C$8&lt;&gt;"Patients",1,$I$9)</f>
        <v>150.05249999999998</v>
      </c>
      <c r="U44" s="5">
        <f ca="1">((N44-M44)/IF(Summary!$C$8&lt;&gt;"Patients",1,$I$9))</f>
        <v>15.005250000000018</v>
      </c>
      <c r="V44" s="5">
        <f t="shared" si="7"/>
        <v>0</v>
      </c>
      <c r="X44" s="5">
        <f ca="1">(VLOOKUP(D44,'SPC background (hide)'!$AG$2:$AN$54,8,0)/IF(Summary!$C$8&lt;&gt;"Patients",1,$I$9))*(1-$I$4)*(1-$I$5+($I$6*$I$7))</f>
        <v>142.0497</v>
      </c>
    </row>
    <row r="45" spans="1:24" x14ac:dyDescent="0.25">
      <c r="A45" s="87">
        <f t="shared" si="8"/>
        <v>44144</v>
      </c>
      <c r="B45" s="67" t="str">
        <f t="shared" si="0"/>
        <v/>
      </c>
      <c r="C45" s="67" t="str">
        <f t="shared" si="9"/>
        <v/>
      </c>
      <c r="D45" s="67">
        <f t="shared" si="1"/>
        <v>46</v>
      </c>
      <c r="E45" s="5">
        <f ca="1">IF(LEFT(Demand!$C$8,1)="H",VLOOKUP($D45,'SPC background (hide)'!$AG$2:$AS$54,12,0),'Demand background (hide)'!X34)</f>
        <v>142</v>
      </c>
      <c r="F45" s="5">
        <f ca="1">IF(LEFT(Demand!$C$8,1)="H",VLOOKUP($D45,'SPC background (hide)'!$AG$2:$AS$54,13,0),E45*1.1)</f>
        <v>156.20000000000002</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161.53846153846155</v>
      </c>
      <c r="J45" s="5">
        <f ca="1">HLOOKUP(D45,'Capacity calculation (hide)'!$BK$110:$DJ$111,2,0)</f>
        <v>0</v>
      </c>
      <c r="K45" s="5">
        <f ca="1">IF(I45-IF(Setup!$I$15="Yes",$G45,0)-IF(Setup!$I$13="Yes",$H45,0)&lt;0,0,I45-IF(Setup!$I$15="Yes",$G45,0)-IF(Setup!$I$13="Yes",$H45,0))</f>
        <v>161.53846153846155</v>
      </c>
      <c r="L45" s="5">
        <f t="shared" ca="1" si="2"/>
        <v>0</v>
      </c>
      <c r="M45" s="5">
        <f ca="1">(IF('Demand adjustments for Covid'!$F$9="No",E45,SUM('Demand background (hide)'!DS34,'Demand background (hide)'!DV34:DW34))*(1-'Parameters calculator (hide)'!$B$43))*(1-'Parameters calculator (hide)'!$B$44+('Parameters calculator (hide)'!$B$45*'Parameters calculator (hide)'!$B$47))</f>
        <v>142.0497</v>
      </c>
      <c r="N45" s="5">
        <f ca="1">(IF('Demand adjustments for Covid'!$F$9="No",F45,SUM('Demand background (hide)'!DT34,'Demand background (hide)'!DV34:DW34))*(1-'Parameters calculator (hide)'!$B$43))*(1-'Parameters calculator (hide)'!$B$44+('Parameters calculator (hide)'!$B$45*'Parameters calculator (hide)'!$B$47))</f>
        <v>156.25467</v>
      </c>
      <c r="P45" s="5">
        <f t="shared" ca="1" si="3"/>
        <v>161.53846153846155</v>
      </c>
      <c r="Q45" s="5">
        <f t="shared" ca="1" si="4"/>
        <v>0</v>
      </c>
      <c r="R45" s="5">
        <f t="shared" ca="1" si="5"/>
        <v>161.53846153846155</v>
      </c>
      <c r="S45" s="5">
        <f t="shared" ca="1" si="6"/>
        <v>0</v>
      </c>
      <c r="T45" s="5">
        <f ca="1">M45/IF(Summary!$C$8&lt;&gt;"Patients",1,$I$9)</f>
        <v>142.0497</v>
      </c>
      <c r="U45" s="5">
        <f ca="1">((N45-M45)/IF(Summary!$C$8&lt;&gt;"Patients",1,$I$9))</f>
        <v>14.204970000000003</v>
      </c>
      <c r="V45" s="5">
        <f t="shared" si="7"/>
        <v>0</v>
      </c>
      <c r="X45" s="5">
        <f ca="1">(VLOOKUP(D45,'SPC background (hide)'!$AG$2:$AN$54,8,0)/IF(Summary!$C$8&lt;&gt;"Patients",1,$I$9))*(1-$I$4)*(1-$I$5+($I$6*$I$7))</f>
        <v>142.0497</v>
      </c>
    </row>
    <row r="46" spans="1:24" x14ac:dyDescent="0.25">
      <c r="A46" s="87">
        <f t="shared" si="8"/>
        <v>44151</v>
      </c>
      <c r="B46" s="67" t="str">
        <f t="shared" si="0"/>
        <v/>
      </c>
      <c r="C46" s="67" t="str">
        <f t="shared" si="9"/>
        <v/>
      </c>
      <c r="D46" s="67">
        <f t="shared" si="1"/>
        <v>47</v>
      </c>
      <c r="E46" s="5">
        <f ca="1">IF(LEFT(Demand!$C$8,1)="H",VLOOKUP($D46,'SPC background (hide)'!$AG$2:$AS$54,12,0),'Demand background (hide)'!X35)</f>
        <v>132</v>
      </c>
      <c r="F46" s="5">
        <f ca="1">IF(LEFT(Demand!$C$8,1)="H",VLOOKUP($D46,'SPC background (hide)'!$AG$2:$AS$54,13,0),E46*1.1)</f>
        <v>145.20000000000002</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161.53846153846155</v>
      </c>
      <c r="J46" s="5">
        <f ca="1">HLOOKUP(D46,'Capacity calculation (hide)'!$BK$110:$DJ$111,2,0)</f>
        <v>0</v>
      </c>
      <c r="K46" s="5">
        <f ca="1">IF(I46-IF(Setup!$I$15="Yes",$G46,0)-IF(Setup!$I$13="Yes",$H46,0)&lt;0,0,I46-IF(Setup!$I$15="Yes",$G46,0)-IF(Setup!$I$13="Yes",$H46,0))</f>
        <v>161.53846153846155</v>
      </c>
      <c r="L46" s="5">
        <f t="shared" ca="1" si="2"/>
        <v>0</v>
      </c>
      <c r="M46" s="5">
        <f ca="1">(IF('Demand adjustments for Covid'!$F$9="No",E46,SUM('Demand background (hide)'!DS35,'Demand background (hide)'!DV35:DW35))*(1-'Parameters calculator (hide)'!$B$43))*(1-'Parameters calculator (hide)'!$B$44+('Parameters calculator (hide)'!$B$45*'Parameters calculator (hide)'!$B$47))</f>
        <v>132.04619999999997</v>
      </c>
      <c r="N46" s="5">
        <f ca="1">(IF('Demand adjustments for Covid'!$F$9="No",F46,SUM('Demand background (hide)'!DT35,'Demand background (hide)'!DV35:DW35))*(1-'Parameters calculator (hide)'!$B$43))*(1-'Parameters calculator (hide)'!$B$44+('Parameters calculator (hide)'!$B$45*'Parameters calculator (hide)'!$B$47))</f>
        <v>145.25081999999998</v>
      </c>
      <c r="P46" s="5">
        <f t="shared" ca="1" si="3"/>
        <v>161.53846153846155</v>
      </c>
      <c r="Q46" s="5">
        <f t="shared" ca="1" si="4"/>
        <v>0</v>
      </c>
      <c r="R46" s="5">
        <f t="shared" ca="1" si="5"/>
        <v>161.53846153846155</v>
      </c>
      <c r="S46" s="5">
        <f t="shared" ca="1" si="6"/>
        <v>0</v>
      </c>
      <c r="T46" s="5">
        <f ca="1">M46/IF(Summary!$C$8&lt;&gt;"Patients",1,$I$9)</f>
        <v>132.04619999999997</v>
      </c>
      <c r="U46" s="5">
        <f ca="1">((N46-M46)/IF(Summary!$C$8&lt;&gt;"Patients",1,$I$9))</f>
        <v>13.204620000000006</v>
      </c>
      <c r="V46" s="5">
        <f t="shared" si="7"/>
        <v>0</v>
      </c>
      <c r="X46" s="5">
        <f ca="1">(VLOOKUP(D46,'SPC background (hide)'!$AG$2:$AN$54,8,0)/IF(Summary!$C$8&lt;&gt;"Patients",1,$I$9))*(1-$I$4)*(1-$I$5+($I$6*$I$7))</f>
        <v>142.0497</v>
      </c>
    </row>
    <row r="47" spans="1:24" x14ac:dyDescent="0.25">
      <c r="A47" s="87">
        <f t="shared" si="8"/>
        <v>44158</v>
      </c>
      <c r="B47" s="67" t="str">
        <f t="shared" si="0"/>
        <v/>
      </c>
      <c r="C47" s="67" t="str">
        <f t="shared" si="9"/>
        <v/>
      </c>
      <c r="D47" s="67">
        <f t="shared" si="1"/>
        <v>48</v>
      </c>
      <c r="E47" s="5">
        <f ca="1">IF(LEFT(Demand!$C$8,1)="H",VLOOKUP($D47,'SPC background (hide)'!$AG$2:$AS$54,12,0),'Demand background (hide)'!X36)</f>
        <v>136</v>
      </c>
      <c r="F47" s="5">
        <f ca="1">IF(LEFT(Demand!$C$8,1)="H",VLOOKUP($D47,'SPC background (hide)'!$AG$2:$AS$54,13,0),E47*1.1)</f>
        <v>149.60000000000002</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161.53846153846155</v>
      </c>
      <c r="J47" s="5">
        <f ca="1">HLOOKUP(D47,'Capacity calculation (hide)'!$BK$110:$DJ$111,2,0)</f>
        <v>0</v>
      </c>
      <c r="K47" s="5">
        <f ca="1">IF(I47-IF(Setup!$I$15="Yes",$G47,0)-IF(Setup!$I$13="Yes",$H47,0)&lt;0,0,I47-IF(Setup!$I$15="Yes",$G47,0)-IF(Setup!$I$13="Yes",$H47,0))</f>
        <v>161.53846153846155</v>
      </c>
      <c r="L47" s="5">
        <f t="shared" ca="1" si="2"/>
        <v>0</v>
      </c>
      <c r="M47" s="5">
        <f ca="1">(IF('Demand adjustments for Covid'!$F$9="No",E47,SUM('Demand background (hide)'!DS36,'Demand background (hide)'!DV36:DW36))*(1-'Parameters calculator (hide)'!$B$43))*(1-'Parameters calculator (hide)'!$B$44+('Parameters calculator (hide)'!$B$45*'Parameters calculator (hide)'!$B$47))</f>
        <v>136.04759999999999</v>
      </c>
      <c r="N47" s="5">
        <f ca="1">(IF('Demand adjustments for Covid'!$F$9="No",F47,SUM('Demand background (hide)'!DT36,'Demand background (hide)'!DV36:DW36))*(1-'Parameters calculator (hide)'!$B$43))*(1-'Parameters calculator (hide)'!$B$44+('Parameters calculator (hide)'!$B$45*'Parameters calculator (hide)'!$B$47))</f>
        <v>149.65235999999999</v>
      </c>
      <c r="P47" s="5">
        <f t="shared" ca="1" si="3"/>
        <v>161.53846153846155</v>
      </c>
      <c r="Q47" s="5">
        <f t="shared" ca="1" si="4"/>
        <v>0</v>
      </c>
      <c r="R47" s="5">
        <f t="shared" ca="1" si="5"/>
        <v>161.53846153846155</v>
      </c>
      <c r="S47" s="5">
        <f t="shared" ca="1" si="6"/>
        <v>0</v>
      </c>
      <c r="T47" s="5">
        <f ca="1">M47/IF(Summary!$C$8&lt;&gt;"Patients",1,$I$9)</f>
        <v>136.04759999999999</v>
      </c>
      <c r="U47" s="5">
        <f ca="1">((N47-M47)/IF(Summary!$C$8&lt;&gt;"Patients",1,$I$9))</f>
        <v>13.604759999999999</v>
      </c>
      <c r="V47" s="5">
        <f t="shared" si="7"/>
        <v>0</v>
      </c>
      <c r="X47" s="5">
        <f ca="1">(VLOOKUP(D47,'SPC background (hide)'!$AG$2:$AN$54,8,0)/IF(Summary!$C$8&lt;&gt;"Patients",1,$I$9))*(1-$I$4)*(1-$I$5+($I$6*$I$7))</f>
        <v>142.0497</v>
      </c>
    </row>
    <row r="48" spans="1:24" x14ac:dyDescent="0.25">
      <c r="A48" s="87">
        <f t="shared" si="8"/>
        <v>44165</v>
      </c>
      <c r="B48" s="67" t="str">
        <f t="shared" ref="B48:B66" si="10">IF(YEAR(A48)&lt;&gt;YEAR(A47),YEAR(A48),"")</f>
        <v/>
      </c>
      <c r="C48" s="67" t="str">
        <f t="shared" si="9"/>
        <v/>
      </c>
      <c r="D48" s="67">
        <f t="shared" si="1"/>
        <v>49</v>
      </c>
      <c r="E48" s="5">
        <f ca="1">IF(LEFT(Demand!$C$8,1)="H",VLOOKUP($D48,'SPC background (hide)'!$AG$2:$AS$54,12,0),'Demand background (hide)'!X37)</f>
        <v>140</v>
      </c>
      <c r="F48" s="5">
        <f ca="1">IF(LEFT(Demand!$C$8,1)="H",VLOOKUP($D48,'SPC background (hide)'!$AG$2:$AS$54,13,0),E48*1.1)</f>
        <v>154</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161.53846153846155</v>
      </c>
      <c r="J48" s="5">
        <f ca="1">HLOOKUP(D48,'Capacity calculation (hide)'!$BK$110:$DJ$111,2,0)</f>
        <v>0</v>
      </c>
      <c r="K48" s="5">
        <f ca="1">IF(I48-IF(Setup!$I$15="Yes",$G48,0)-IF(Setup!$I$13="Yes",$H48,0)&lt;0,0,I48-IF(Setup!$I$15="Yes",$G48,0)-IF(Setup!$I$13="Yes",$H48,0))</f>
        <v>161.53846153846155</v>
      </c>
      <c r="L48" s="5">
        <f t="shared" ca="1" si="2"/>
        <v>0</v>
      </c>
      <c r="M48" s="5">
        <f ca="1">(IF('Demand adjustments for Covid'!$F$9="No",E48,SUM('Demand background (hide)'!DS37,'Demand background (hide)'!DV37:DW37))*(1-'Parameters calculator (hide)'!$B$43))*(1-'Parameters calculator (hide)'!$B$44+('Parameters calculator (hide)'!$B$45*'Parameters calculator (hide)'!$B$47))</f>
        <v>140.04899999999998</v>
      </c>
      <c r="N48" s="5">
        <f ca="1">(IF('Demand adjustments for Covid'!$F$9="No",F48,SUM('Demand background (hide)'!DT37,'Demand background (hide)'!DV37:DW37))*(1-'Parameters calculator (hide)'!$B$43))*(1-'Parameters calculator (hide)'!$B$44+('Parameters calculator (hide)'!$B$45*'Parameters calculator (hide)'!$B$47))</f>
        <v>154.05389999999997</v>
      </c>
      <c r="P48" s="5">
        <f t="shared" ca="1" si="3"/>
        <v>161.53846153846155</v>
      </c>
      <c r="Q48" s="5">
        <f t="shared" ca="1" si="4"/>
        <v>0</v>
      </c>
      <c r="R48" s="5">
        <f t="shared" ca="1" si="5"/>
        <v>161.53846153846155</v>
      </c>
      <c r="S48" s="5">
        <f t="shared" ca="1" si="6"/>
        <v>0</v>
      </c>
      <c r="T48" s="5">
        <f ca="1">M48/IF(Summary!$C$8&lt;&gt;"Patients",1,$I$9)</f>
        <v>140.04899999999998</v>
      </c>
      <c r="U48" s="5">
        <f ca="1">((N48-M48)/IF(Summary!$C$8&lt;&gt;"Patients",1,$I$9))</f>
        <v>14.004899999999992</v>
      </c>
      <c r="V48" s="5">
        <f t="shared" si="7"/>
        <v>0</v>
      </c>
      <c r="X48" s="5">
        <f ca="1">(VLOOKUP(D48,'SPC background (hide)'!$AG$2:$AN$54,8,0)/IF(Summary!$C$8&lt;&gt;"Patients",1,$I$9))*(1-$I$4)*(1-$I$5+($I$6*$I$7))</f>
        <v>142.0497</v>
      </c>
    </row>
    <row r="49" spans="1:24" x14ac:dyDescent="0.25">
      <c r="A49" s="87">
        <f t="shared" si="8"/>
        <v>44172</v>
      </c>
      <c r="B49" s="67" t="str">
        <f t="shared" si="10"/>
        <v/>
      </c>
      <c r="C49" s="67" t="str">
        <f t="shared" si="9"/>
        <v>Dec</v>
      </c>
      <c r="D49" s="67">
        <f t="shared" si="1"/>
        <v>50</v>
      </c>
      <c r="E49" s="5">
        <f ca="1">IF(LEFT(Demand!$C$8,1)="H",VLOOKUP($D49,'SPC background (hide)'!$AG$2:$AS$54,12,0),'Demand background (hide)'!X38)</f>
        <v>144</v>
      </c>
      <c r="F49" s="5">
        <f ca="1">IF(LEFT(Demand!$C$8,1)="H",VLOOKUP($D49,'SPC background (hide)'!$AG$2:$AS$54,13,0),E49*1.1)</f>
        <v>158.4</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161.53846153846155</v>
      </c>
      <c r="J49" s="5">
        <f ca="1">HLOOKUP(D49,'Capacity calculation (hide)'!$BK$110:$DJ$111,2,0)</f>
        <v>0</v>
      </c>
      <c r="K49" s="5">
        <f ca="1">IF(I49-IF(Setup!$I$15="Yes",$G49,0)-IF(Setup!$I$13="Yes",$H49,0)&lt;0,0,I49-IF(Setup!$I$15="Yes",$G49,0)-IF(Setup!$I$13="Yes",$H49,0))</f>
        <v>161.53846153846155</v>
      </c>
      <c r="L49" s="5">
        <f t="shared" ca="1" si="2"/>
        <v>0</v>
      </c>
      <c r="M49" s="5">
        <f ca="1">(IF('Demand adjustments for Covid'!$F$9="No",E49,SUM('Demand background (hide)'!DS38,'Demand background (hide)'!DV38:DW38))*(1-'Parameters calculator (hide)'!$B$43))*(1-'Parameters calculator (hide)'!$B$44+('Parameters calculator (hide)'!$B$45*'Parameters calculator (hide)'!$B$47))</f>
        <v>144.05039999999997</v>
      </c>
      <c r="N49" s="5">
        <f ca="1">(IF('Demand adjustments for Covid'!$F$9="No",F49,SUM('Demand background (hide)'!DT38,'Demand background (hide)'!DV38:DW38))*(1-'Parameters calculator (hide)'!$B$43))*(1-'Parameters calculator (hide)'!$B$44+('Parameters calculator (hide)'!$B$45*'Parameters calculator (hide)'!$B$47))</f>
        <v>158.45543999999998</v>
      </c>
      <c r="P49" s="5">
        <f t="shared" ca="1" si="3"/>
        <v>161.53846153846155</v>
      </c>
      <c r="Q49" s="5">
        <f t="shared" ca="1" si="4"/>
        <v>0</v>
      </c>
      <c r="R49" s="5">
        <f t="shared" ca="1" si="5"/>
        <v>161.53846153846155</v>
      </c>
      <c r="S49" s="5">
        <f t="shared" ca="1" si="6"/>
        <v>0</v>
      </c>
      <c r="T49" s="5">
        <f ca="1">M49/IF(Summary!$C$8&lt;&gt;"Patients",1,$I$9)</f>
        <v>144.05039999999997</v>
      </c>
      <c r="U49" s="5">
        <f ca="1">((N49-M49)/IF(Summary!$C$8&lt;&gt;"Patients",1,$I$9))</f>
        <v>14.405040000000014</v>
      </c>
      <c r="V49" s="5">
        <f t="shared" si="7"/>
        <v>0</v>
      </c>
      <c r="X49" s="5">
        <f ca="1">(VLOOKUP(D49,'SPC background (hide)'!$AG$2:$AN$54,8,0)/IF(Summary!$C$8&lt;&gt;"Patients",1,$I$9))*(1-$I$4)*(1-$I$5+($I$6*$I$7))</f>
        <v>142.0497</v>
      </c>
    </row>
    <row r="50" spans="1:24" x14ac:dyDescent="0.25">
      <c r="A50" s="87">
        <f t="shared" si="8"/>
        <v>44179</v>
      </c>
      <c r="B50" s="67" t="str">
        <f t="shared" si="10"/>
        <v/>
      </c>
      <c r="C50" s="67" t="str">
        <f t="shared" si="9"/>
        <v/>
      </c>
      <c r="D50" s="67">
        <f t="shared" si="1"/>
        <v>51</v>
      </c>
      <c r="E50" s="5">
        <f ca="1">IF(LEFT(Demand!$C$8,1)="H",VLOOKUP($D50,'SPC background (hide)'!$AG$2:$AS$54,12,0),'Demand background (hide)'!X39)</f>
        <v>124</v>
      </c>
      <c r="F50" s="5">
        <f ca="1">IF(LEFT(Demand!$C$8,1)="H",VLOOKUP($D50,'SPC background (hide)'!$AG$2:$AS$54,13,0),E50*1.1)</f>
        <v>136.4</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161.53846153846155</v>
      </c>
      <c r="J50" s="5">
        <f ca="1">HLOOKUP(D50,'Capacity calculation (hide)'!$BK$110:$DJ$111,2,0)</f>
        <v>0</v>
      </c>
      <c r="K50" s="5">
        <f ca="1">IF(I50-IF(Setup!$I$15="Yes",$G50,0)-IF(Setup!$I$13="Yes",$H50,0)&lt;0,0,I50-IF(Setup!$I$15="Yes",$G50,0)-IF(Setup!$I$13="Yes",$H50,0))</f>
        <v>161.53846153846155</v>
      </c>
      <c r="L50" s="5">
        <f t="shared" ca="1" si="2"/>
        <v>0</v>
      </c>
      <c r="M50" s="5">
        <f ca="1">(IF('Demand adjustments for Covid'!$F$9="No",E50,SUM('Demand background (hide)'!DS39,'Demand background (hide)'!DV39:DW39))*(1-'Parameters calculator (hide)'!$B$43))*(1-'Parameters calculator (hide)'!$B$44+('Parameters calculator (hide)'!$B$45*'Parameters calculator (hide)'!$B$47))</f>
        <v>124.04339999999999</v>
      </c>
      <c r="N50" s="5">
        <f ca="1">(IF('Demand adjustments for Covid'!$F$9="No",F50,SUM('Demand background (hide)'!DT39,'Demand background (hide)'!DV39:DW39))*(1-'Parameters calculator (hide)'!$B$43))*(1-'Parameters calculator (hide)'!$B$44+('Parameters calculator (hide)'!$B$45*'Parameters calculator (hide)'!$B$47))</f>
        <v>136.44774000000001</v>
      </c>
      <c r="P50" s="5">
        <f t="shared" ca="1" si="3"/>
        <v>161.53846153846155</v>
      </c>
      <c r="Q50" s="5">
        <f t="shared" ca="1" si="4"/>
        <v>0</v>
      </c>
      <c r="R50" s="5">
        <f t="shared" ca="1" si="5"/>
        <v>161.53846153846155</v>
      </c>
      <c r="S50" s="5">
        <f t="shared" ca="1" si="6"/>
        <v>0</v>
      </c>
      <c r="T50" s="5">
        <f ca="1">M50/IF(Summary!$C$8&lt;&gt;"Patients",1,$I$9)</f>
        <v>124.04339999999999</v>
      </c>
      <c r="U50" s="5">
        <f ca="1">((N50-M50)/IF(Summary!$C$8&lt;&gt;"Patients",1,$I$9))</f>
        <v>12.404340000000019</v>
      </c>
      <c r="V50" s="5">
        <f t="shared" si="7"/>
        <v>0</v>
      </c>
      <c r="X50" s="5">
        <f ca="1">(VLOOKUP(D50,'SPC background (hide)'!$AG$2:$AN$54,8,0)/IF(Summary!$C$8&lt;&gt;"Patients",1,$I$9))*(1-$I$4)*(1-$I$5+($I$6*$I$7))</f>
        <v>142.0497</v>
      </c>
    </row>
    <row r="51" spans="1:24" x14ac:dyDescent="0.25">
      <c r="A51" s="87">
        <f t="shared" si="8"/>
        <v>44186</v>
      </c>
      <c r="B51" s="67" t="str">
        <f t="shared" si="10"/>
        <v/>
      </c>
      <c r="C51" s="67" t="str">
        <f t="shared" si="9"/>
        <v/>
      </c>
      <c r="D51" s="67">
        <f t="shared" si="1"/>
        <v>52</v>
      </c>
      <c r="E51" s="5">
        <f ca="1">IF(LEFT(Demand!$C$8,1)="H",VLOOKUP($D51,'SPC background (hide)'!$AG$2:$AS$54,12,0),'Demand background (hide)'!X40)</f>
        <v>142</v>
      </c>
      <c r="F51" s="5">
        <f ca="1">IF(LEFT(Demand!$C$8,1)="H",VLOOKUP($D51,'SPC background (hide)'!$AG$2:$AS$54,13,0),E51*1.1)</f>
        <v>156.20000000000002</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161.53846153846155</v>
      </c>
      <c r="J51" s="5">
        <f ca="1">HLOOKUP(D51,'Capacity calculation (hide)'!$BK$110:$DJ$111,2,0)</f>
        <v>0</v>
      </c>
      <c r="K51" s="5">
        <f ca="1">IF(I51-IF(Setup!$I$15="Yes",$G51,0)-IF(Setup!$I$13="Yes",$H51,0)&lt;0,0,I51-IF(Setup!$I$15="Yes",$G51,0)-IF(Setup!$I$13="Yes",$H51,0))</f>
        <v>161.53846153846155</v>
      </c>
      <c r="L51" s="5">
        <f t="shared" ca="1" si="2"/>
        <v>0</v>
      </c>
      <c r="M51" s="5">
        <f ca="1">(IF('Demand adjustments for Covid'!$F$9="No",E51,SUM('Demand background (hide)'!DS40,'Demand background (hide)'!DV40:DW40))*(1-'Parameters calculator (hide)'!$B$43))*(1-'Parameters calculator (hide)'!$B$44+('Parameters calculator (hide)'!$B$45*'Parameters calculator (hide)'!$B$47))</f>
        <v>142.0497</v>
      </c>
      <c r="N51" s="5">
        <f ca="1">(IF('Demand adjustments for Covid'!$F$9="No",F51,SUM('Demand background (hide)'!DT40,'Demand background (hide)'!DV40:DW40))*(1-'Parameters calculator (hide)'!$B$43))*(1-'Parameters calculator (hide)'!$B$44+('Parameters calculator (hide)'!$B$45*'Parameters calculator (hide)'!$B$47))</f>
        <v>156.25467</v>
      </c>
      <c r="P51" s="5">
        <f t="shared" ca="1" si="3"/>
        <v>161.53846153846155</v>
      </c>
      <c r="Q51" s="5">
        <f t="shared" ca="1" si="4"/>
        <v>0</v>
      </c>
      <c r="R51" s="5">
        <f t="shared" ca="1" si="5"/>
        <v>161.53846153846155</v>
      </c>
      <c r="S51" s="5">
        <f t="shared" ca="1" si="6"/>
        <v>0</v>
      </c>
      <c r="T51" s="5">
        <f ca="1">M51/IF(Summary!$C$8&lt;&gt;"Patients",1,$I$9)</f>
        <v>142.0497</v>
      </c>
      <c r="U51" s="5">
        <f ca="1">((N51-M51)/IF(Summary!$C$8&lt;&gt;"Patients",1,$I$9))</f>
        <v>14.204970000000003</v>
      </c>
      <c r="V51" s="5">
        <f t="shared" si="7"/>
        <v>0</v>
      </c>
      <c r="X51" s="5">
        <f ca="1">(VLOOKUP(D51,'SPC background (hide)'!$AG$2:$AN$54,8,0)/IF(Summary!$C$8&lt;&gt;"Patients",1,$I$9))*(1-$I$4)*(1-$I$5+($I$6*$I$7))</f>
        <v>142.0497</v>
      </c>
    </row>
    <row r="52" spans="1:24" x14ac:dyDescent="0.25">
      <c r="A52" s="87">
        <f t="shared" si="8"/>
        <v>44193</v>
      </c>
      <c r="B52" s="67" t="str">
        <f t="shared" si="10"/>
        <v/>
      </c>
      <c r="C52" s="67" t="str">
        <f t="shared" si="9"/>
        <v/>
      </c>
      <c r="D52" s="67">
        <f t="shared" si="1"/>
        <v>53</v>
      </c>
      <c r="E52" s="5">
        <f ca="1">IF(LEFT(Demand!$C$8,1)="H",VLOOKUP($D52,'SPC background (hide)'!$AG$2:$AS$54,12,0),'Demand background (hide)'!X41)</f>
        <v>156</v>
      </c>
      <c r="F52" s="5">
        <f ca="1">IF(LEFT(Demand!$C$8,1)="H",VLOOKUP($D52,'SPC background (hide)'!$AG$2:$AS$54,13,0),E52*1.1)</f>
        <v>171.60000000000002</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161.53846153846155</v>
      </c>
      <c r="J52" s="5">
        <f ca="1">HLOOKUP(D52,'Capacity calculation (hide)'!$BK$110:$DJ$111,2,0)</f>
        <v>0</v>
      </c>
      <c r="K52" s="5">
        <f ca="1">IF(I52-IF(Setup!$I$15="Yes",$G52,0)-IF(Setup!$I$13="Yes",$H52,0)&lt;0,0,I52-IF(Setup!$I$15="Yes",$G52,0)-IF(Setup!$I$13="Yes",$H52,0))</f>
        <v>161.53846153846155</v>
      </c>
      <c r="L52" s="5">
        <f t="shared" ca="1" si="2"/>
        <v>0</v>
      </c>
      <c r="M52" s="5">
        <f ca="1">(IF('Demand adjustments for Covid'!$F$9="No",E52,SUM('Demand background (hide)'!DS41,'Demand background (hide)'!DV41:DW41))*(1-'Parameters calculator (hide)'!$B$43))*(1-'Parameters calculator (hide)'!$B$44+('Parameters calculator (hide)'!$B$45*'Parameters calculator (hide)'!$B$47))</f>
        <v>142.0497</v>
      </c>
      <c r="N52" s="5">
        <f ca="1">(IF('Demand adjustments for Covid'!$F$9="No",F52,SUM('Demand background (hide)'!DT41,'Demand background (hide)'!DV41:DW41))*(1-'Parameters calculator (hide)'!$B$43))*(1-'Parameters calculator (hide)'!$B$44+('Parameters calculator (hide)'!$B$45*'Parameters calculator (hide)'!$B$47))</f>
        <v>156.25467</v>
      </c>
      <c r="P52" s="5">
        <f t="shared" ca="1" si="3"/>
        <v>161.53846153846155</v>
      </c>
      <c r="Q52" s="5">
        <f t="shared" ca="1" si="4"/>
        <v>0</v>
      </c>
      <c r="R52" s="5">
        <f t="shared" ca="1" si="5"/>
        <v>161.53846153846155</v>
      </c>
      <c r="S52" s="5">
        <f t="shared" ca="1" si="6"/>
        <v>0</v>
      </c>
      <c r="T52" s="5">
        <f ca="1">M52/IF(Summary!$C$8&lt;&gt;"Patients",1,$I$9)</f>
        <v>142.0497</v>
      </c>
      <c r="U52" s="5">
        <f ca="1">((N52-M52)/IF(Summary!$C$8&lt;&gt;"Patients",1,$I$9))</f>
        <v>14.204970000000003</v>
      </c>
      <c r="V52" s="5">
        <f t="shared" si="7"/>
        <v>0</v>
      </c>
      <c r="X52" s="5">
        <f ca="1">(VLOOKUP(D52,'SPC background (hide)'!$AG$2:$AN$54,8,0)/IF(Summary!$C$8&lt;&gt;"Patients",1,$I$9))*(1-$I$4)*(1-$I$5+($I$6*$I$7))</f>
        <v>142.0497</v>
      </c>
    </row>
    <row r="53" spans="1:24" x14ac:dyDescent="0.25">
      <c r="A53" s="87">
        <f t="shared" si="8"/>
        <v>44200</v>
      </c>
      <c r="B53" s="67">
        <f t="shared" si="10"/>
        <v>2021</v>
      </c>
      <c r="C53" s="67" t="str">
        <f t="shared" si="9"/>
        <v>Jan</v>
      </c>
      <c r="D53" s="67">
        <f t="shared" si="1"/>
        <v>1</v>
      </c>
      <c r="E53" s="5">
        <f ca="1">IF(LEFT(Demand!$C$8,1)="H",VLOOKUP($D53,'SPC background (hide)'!$AG$2:$AS$54,12,0),'Demand background (hide)'!X42)</f>
        <v>140</v>
      </c>
      <c r="F53" s="5">
        <f ca="1">IF(LEFT(Demand!$C$8,1)="H",VLOOKUP($D53,'SPC background (hide)'!$AG$2:$AS$54,13,0),E53*1.1)</f>
        <v>154</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161.53846153846155</v>
      </c>
      <c r="J53" s="5">
        <f ca="1">HLOOKUP(D53,'Capacity calculation (hide)'!$BK$110:$DJ$111,2,0)</f>
        <v>0</v>
      </c>
      <c r="K53" s="5">
        <f ca="1">IF(I53-IF(Setup!$I$15="Yes",$G53,0)-IF(Setup!$I$13="Yes",$H53,0)&lt;0,0,I53-IF(Setup!$I$15="Yes",$G53,0)-IF(Setup!$I$13="Yes",$H53,0))</f>
        <v>161.53846153846155</v>
      </c>
      <c r="L53" s="5">
        <f t="shared" ca="1" si="2"/>
        <v>0</v>
      </c>
      <c r="M53" s="5">
        <f ca="1">(IF('Demand adjustments for Covid'!$F$9="No",E53,SUM('Demand background (hide)'!DS42,'Demand background (hide)'!DV42:DW42))*(1-'Parameters calculator (hide)'!$B$43))*(1-'Parameters calculator (hide)'!$B$44+('Parameters calculator (hide)'!$B$45*'Parameters calculator (hide)'!$B$47))</f>
        <v>140.04899999999998</v>
      </c>
      <c r="N53" s="5">
        <f ca="1">(IF('Demand adjustments for Covid'!$F$9="No",F53,SUM('Demand background (hide)'!DT42,'Demand background (hide)'!DV42:DW42))*(1-'Parameters calculator (hide)'!$B$43))*(1-'Parameters calculator (hide)'!$B$44+('Parameters calculator (hide)'!$B$45*'Parameters calculator (hide)'!$B$47))</f>
        <v>154.05389999999997</v>
      </c>
      <c r="P53" s="5">
        <f t="shared" ca="1" si="3"/>
        <v>161.53846153846155</v>
      </c>
      <c r="Q53" s="5">
        <f t="shared" ca="1" si="4"/>
        <v>0</v>
      </c>
      <c r="R53" s="5">
        <f t="shared" ca="1" si="5"/>
        <v>161.53846153846155</v>
      </c>
      <c r="S53" s="5">
        <f t="shared" ca="1" si="6"/>
        <v>0</v>
      </c>
      <c r="T53" s="5">
        <f ca="1">M53/IF(Summary!$C$8&lt;&gt;"Patients",1,$I$9)</f>
        <v>140.04899999999998</v>
      </c>
      <c r="U53" s="5">
        <f ca="1">((N53-M53)/IF(Summary!$C$8&lt;&gt;"Patients",1,$I$9))</f>
        <v>14.004899999999992</v>
      </c>
      <c r="V53" s="5">
        <f t="shared" si="7"/>
        <v>0</v>
      </c>
      <c r="X53" s="5">
        <f ca="1">(VLOOKUP(D53,'SPC background (hide)'!$AG$2:$AN$54,8,0)/IF(Summary!$C$8&lt;&gt;"Patients",1,$I$9))*(1-$I$4)*(1-$I$5+($I$6*$I$7))</f>
        <v>142.0497</v>
      </c>
    </row>
    <row r="54" spans="1:24" x14ac:dyDescent="0.25">
      <c r="A54" s="87">
        <f t="shared" si="8"/>
        <v>44207</v>
      </c>
      <c r="B54" s="67" t="str">
        <f t="shared" si="10"/>
        <v/>
      </c>
      <c r="C54" s="67" t="str">
        <f t="shared" si="9"/>
        <v/>
      </c>
      <c r="D54" s="67">
        <f t="shared" si="1"/>
        <v>2</v>
      </c>
      <c r="E54" s="5">
        <f ca="1">IF(LEFT(Demand!$C$8,1)="H",VLOOKUP($D54,'SPC background (hide)'!$AG$2:$AS$54,12,0),'Demand background (hide)'!X43)</f>
        <v>130</v>
      </c>
      <c r="F54" s="5">
        <f ca="1">IF(LEFT(Demand!$C$8,1)="H",VLOOKUP($D54,'SPC background (hide)'!$AG$2:$AS$54,13,0),E54*1.1)</f>
        <v>143</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161.53846153846155</v>
      </c>
      <c r="J54" s="5">
        <f ca="1">HLOOKUP(D54,'Capacity calculation (hide)'!$BK$110:$DJ$111,2,0)</f>
        <v>0</v>
      </c>
      <c r="K54" s="5">
        <f ca="1">IF(I54-IF(Setup!$I$15="Yes",$G54,0)-IF(Setup!$I$13="Yes",$H54,0)&lt;0,0,I54-IF(Setup!$I$15="Yes",$G54,0)-IF(Setup!$I$13="Yes",$H54,0))</f>
        <v>161.53846153846155</v>
      </c>
      <c r="L54" s="5">
        <f t="shared" ca="1" si="2"/>
        <v>0</v>
      </c>
      <c r="M54" s="5">
        <f ca="1">(IF('Demand adjustments for Covid'!$F$9="No",E54,SUM('Demand background (hide)'!DS43,'Demand background (hide)'!DV43:DW43))*(1-'Parameters calculator (hide)'!$B$43))*(1-'Parameters calculator (hide)'!$B$44+('Parameters calculator (hide)'!$B$45*'Parameters calculator (hide)'!$B$47))</f>
        <v>130.0455</v>
      </c>
      <c r="N54" s="5">
        <f ca="1">(IF('Demand adjustments for Covid'!$F$9="No",F54,SUM('Demand background (hide)'!DT43,'Demand background (hide)'!DV43:DW43))*(1-'Parameters calculator (hide)'!$B$43))*(1-'Parameters calculator (hide)'!$B$44+('Parameters calculator (hide)'!$B$45*'Parameters calculator (hide)'!$B$47))</f>
        <v>143.05005</v>
      </c>
      <c r="P54" s="5">
        <f t="shared" ca="1" si="3"/>
        <v>161.53846153846155</v>
      </c>
      <c r="Q54" s="5">
        <f t="shared" ca="1" si="4"/>
        <v>0</v>
      </c>
      <c r="R54" s="5">
        <f t="shared" ca="1" si="5"/>
        <v>161.53846153846155</v>
      </c>
      <c r="S54" s="5">
        <f t="shared" ca="1" si="6"/>
        <v>0</v>
      </c>
      <c r="T54" s="5">
        <f ca="1">M54/IF(Summary!$C$8&lt;&gt;"Patients",1,$I$9)</f>
        <v>130.0455</v>
      </c>
      <c r="U54" s="5">
        <f ca="1">((N54-M54)/IF(Summary!$C$8&lt;&gt;"Patients",1,$I$9))</f>
        <v>13.004549999999995</v>
      </c>
      <c r="V54" s="5">
        <f t="shared" si="7"/>
        <v>0</v>
      </c>
      <c r="X54" s="5">
        <f ca="1">(VLOOKUP(D54,'SPC background (hide)'!$AG$2:$AN$54,8,0)/IF(Summary!$C$8&lt;&gt;"Patients",1,$I$9))*(1-$I$4)*(1-$I$5+($I$6*$I$7))</f>
        <v>142.0497</v>
      </c>
    </row>
    <row r="55" spans="1:24" x14ac:dyDescent="0.25">
      <c r="A55" s="87">
        <f t="shared" si="8"/>
        <v>44214</v>
      </c>
      <c r="B55" s="67" t="str">
        <f t="shared" si="10"/>
        <v/>
      </c>
      <c r="C55" s="67" t="str">
        <f t="shared" si="9"/>
        <v/>
      </c>
      <c r="D55" s="67">
        <f t="shared" si="1"/>
        <v>3</v>
      </c>
      <c r="E55" s="5">
        <f ca="1">IF(LEFT(Demand!$C$8,1)="H",VLOOKUP($D55,'SPC background (hide)'!$AG$2:$AS$54,12,0),'Demand background (hide)'!X44)</f>
        <v>120</v>
      </c>
      <c r="F55" s="5">
        <f ca="1">IF(LEFT(Demand!$C$8,1)="H",VLOOKUP($D55,'SPC background (hide)'!$AG$2:$AS$54,13,0),E55*1.1)</f>
        <v>132</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161.53846153846155</v>
      </c>
      <c r="J55" s="5">
        <f ca="1">HLOOKUP(D55,'Capacity calculation (hide)'!$BK$110:$DJ$111,2,0)</f>
        <v>0</v>
      </c>
      <c r="K55" s="5">
        <f ca="1">IF(I55-IF(Setup!$I$15="Yes",$G55,0)-IF(Setup!$I$13="Yes",$H55,0)&lt;0,0,I55-IF(Setup!$I$15="Yes",$G55,0)-IF(Setup!$I$13="Yes",$H55,0))</f>
        <v>161.53846153846155</v>
      </c>
      <c r="L55" s="5">
        <f t="shared" ca="1" si="2"/>
        <v>0</v>
      </c>
      <c r="M55" s="5">
        <f ca="1">(IF('Demand adjustments for Covid'!$F$9="No",E55,SUM('Demand background (hide)'!DS44,'Demand background (hide)'!DV44:DW44))*(1-'Parameters calculator (hide)'!$B$43))*(1-'Parameters calculator (hide)'!$B$44+('Parameters calculator (hide)'!$B$45*'Parameters calculator (hide)'!$B$47))</f>
        <v>120.04199999999999</v>
      </c>
      <c r="N55" s="5">
        <f ca="1">(IF('Demand adjustments for Covid'!$F$9="No",F55,SUM('Demand background (hide)'!DT44,'Demand background (hide)'!DV44:DW44))*(1-'Parameters calculator (hide)'!$B$43))*(1-'Parameters calculator (hide)'!$B$44+('Parameters calculator (hide)'!$B$45*'Parameters calculator (hide)'!$B$47))</f>
        <v>132.04619999999997</v>
      </c>
      <c r="P55" s="5">
        <f t="shared" ca="1" si="3"/>
        <v>161.53846153846155</v>
      </c>
      <c r="Q55" s="5">
        <f t="shared" ca="1" si="4"/>
        <v>0</v>
      </c>
      <c r="R55" s="5">
        <f t="shared" ca="1" si="5"/>
        <v>161.53846153846155</v>
      </c>
      <c r="S55" s="5">
        <f t="shared" ca="1" si="6"/>
        <v>0</v>
      </c>
      <c r="T55" s="5">
        <f ca="1">M55/IF(Summary!$C$8&lt;&gt;"Patients",1,$I$9)</f>
        <v>120.04199999999999</v>
      </c>
      <c r="U55" s="5">
        <f ca="1">((N55-M55)/IF(Summary!$C$8&lt;&gt;"Patients",1,$I$9))</f>
        <v>12.004199999999983</v>
      </c>
      <c r="V55" s="5">
        <f t="shared" si="7"/>
        <v>0</v>
      </c>
      <c r="X55" s="5">
        <f ca="1">(VLOOKUP(D55,'SPC background (hide)'!$AG$2:$AN$54,8,0)/IF(Summary!$C$8&lt;&gt;"Patients",1,$I$9))*(1-$I$4)*(1-$I$5+($I$6*$I$7))</f>
        <v>142.0497</v>
      </c>
    </row>
    <row r="56" spans="1:24" x14ac:dyDescent="0.25">
      <c r="A56" s="87">
        <f t="shared" si="8"/>
        <v>44221</v>
      </c>
      <c r="B56" s="67" t="str">
        <f t="shared" si="10"/>
        <v/>
      </c>
      <c r="C56" s="67" t="str">
        <f t="shared" si="9"/>
        <v/>
      </c>
      <c r="D56" s="67">
        <f t="shared" si="1"/>
        <v>4</v>
      </c>
      <c r="E56" s="5">
        <f ca="1">IF(LEFT(Demand!$C$8,1)="H",VLOOKUP($D56,'SPC background (hide)'!$AG$2:$AS$54,12,0),'Demand background (hide)'!X45)</f>
        <v>150</v>
      </c>
      <c r="F56" s="5">
        <f ca="1">IF(LEFT(Demand!$C$8,1)="H",VLOOKUP($D56,'SPC background (hide)'!$AG$2:$AS$54,13,0),E56*1.1)</f>
        <v>165</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161.53846153846155</v>
      </c>
      <c r="J56" s="5">
        <f ca="1">HLOOKUP(D56,'Capacity calculation (hide)'!$BK$110:$DJ$111,2,0)</f>
        <v>0</v>
      </c>
      <c r="K56" s="5">
        <f ca="1">IF(I56-IF(Setup!$I$15="Yes",$G56,0)-IF(Setup!$I$13="Yes",$H56,0)&lt;0,0,I56-IF(Setup!$I$15="Yes",$G56,0)-IF(Setup!$I$13="Yes",$H56,0))</f>
        <v>161.53846153846155</v>
      </c>
      <c r="L56" s="5">
        <f t="shared" ca="1" si="2"/>
        <v>0</v>
      </c>
      <c r="M56" s="5">
        <f ca="1">(IF('Demand adjustments for Covid'!$F$9="No",E56,SUM('Demand background (hide)'!DS45,'Demand background (hide)'!DV45:DW45))*(1-'Parameters calculator (hide)'!$B$43))*(1-'Parameters calculator (hide)'!$B$44+('Parameters calculator (hide)'!$B$45*'Parameters calculator (hide)'!$B$47))</f>
        <v>150.05249999999998</v>
      </c>
      <c r="N56" s="5">
        <f ca="1">(IF('Demand adjustments for Covid'!$F$9="No",F56,SUM('Demand background (hide)'!DT45,'Demand background (hide)'!DV45:DW45))*(1-'Parameters calculator (hide)'!$B$43))*(1-'Parameters calculator (hide)'!$B$44+('Parameters calculator (hide)'!$B$45*'Parameters calculator (hide)'!$B$47))</f>
        <v>165.05775</v>
      </c>
      <c r="P56" s="5">
        <f t="shared" ca="1" si="3"/>
        <v>161.53846153846155</v>
      </c>
      <c r="Q56" s="5">
        <f t="shared" ca="1" si="4"/>
        <v>0</v>
      </c>
      <c r="R56" s="5">
        <f t="shared" ca="1" si="5"/>
        <v>161.53846153846155</v>
      </c>
      <c r="S56" s="5">
        <f t="shared" ca="1" si="6"/>
        <v>0</v>
      </c>
      <c r="T56" s="5">
        <f ca="1">M56/IF(Summary!$C$8&lt;&gt;"Patients",1,$I$9)</f>
        <v>150.05249999999998</v>
      </c>
      <c r="U56" s="5">
        <f ca="1">((N56-M56)/IF(Summary!$C$8&lt;&gt;"Patients",1,$I$9))</f>
        <v>15.005250000000018</v>
      </c>
      <c r="V56" s="5">
        <f t="shared" si="7"/>
        <v>0</v>
      </c>
      <c r="X56" s="5">
        <f ca="1">(VLOOKUP(D56,'SPC background (hide)'!$AG$2:$AN$54,8,0)/IF(Summary!$C$8&lt;&gt;"Patients",1,$I$9))*(1-$I$4)*(1-$I$5+($I$6*$I$7))</f>
        <v>142.0497</v>
      </c>
    </row>
    <row r="57" spans="1:24" x14ac:dyDescent="0.25">
      <c r="A57" s="87">
        <f t="shared" si="8"/>
        <v>44228</v>
      </c>
      <c r="B57" s="67" t="str">
        <f t="shared" si="10"/>
        <v/>
      </c>
      <c r="C57" s="67" t="str">
        <f t="shared" si="9"/>
        <v>Feb</v>
      </c>
      <c r="D57" s="67">
        <f t="shared" si="1"/>
        <v>5</v>
      </c>
      <c r="E57" s="5">
        <f ca="1">IF(LEFT(Demand!$C$8,1)="H",VLOOKUP($D57,'SPC background (hide)'!$AG$2:$AS$54,12,0),'Demand background (hide)'!X46)</f>
        <v>154</v>
      </c>
      <c r="F57" s="5">
        <f ca="1">IF(LEFT(Demand!$C$8,1)="H",VLOOKUP($D57,'SPC background (hide)'!$AG$2:$AS$54,13,0),E57*1.1)</f>
        <v>169.4</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161.53846153846155</v>
      </c>
      <c r="J57" s="5">
        <f ca="1">HLOOKUP(D57,'Capacity calculation (hide)'!$BK$110:$DJ$111,2,0)</f>
        <v>0</v>
      </c>
      <c r="K57" s="5">
        <f ca="1">IF(I57-IF(Setup!$I$15="Yes",$G57,0)-IF(Setup!$I$13="Yes",$H57,0)&lt;0,0,I57-IF(Setup!$I$15="Yes",$G57,0)-IF(Setup!$I$13="Yes",$H57,0))</f>
        <v>161.53846153846155</v>
      </c>
      <c r="L57" s="5">
        <f t="shared" ca="1" si="2"/>
        <v>0</v>
      </c>
      <c r="M57" s="5">
        <f ca="1">(IF('Demand adjustments for Covid'!$F$9="No",E57,SUM('Demand background (hide)'!DS46,'Demand background (hide)'!DV46:DW46))*(1-'Parameters calculator (hide)'!$B$43))*(1-'Parameters calculator (hide)'!$B$44+('Parameters calculator (hide)'!$B$45*'Parameters calculator (hide)'!$B$47))</f>
        <v>154.05389999999997</v>
      </c>
      <c r="N57" s="5">
        <f ca="1">(IF('Demand adjustments for Covid'!$F$9="No",F57,SUM('Demand background (hide)'!DT46,'Demand background (hide)'!DV46:DW46))*(1-'Parameters calculator (hide)'!$B$43))*(1-'Parameters calculator (hide)'!$B$44+('Parameters calculator (hide)'!$B$45*'Parameters calculator (hide)'!$B$47))</f>
        <v>169.45929000000001</v>
      </c>
      <c r="P57" s="5">
        <f t="shared" ca="1" si="3"/>
        <v>161.53846153846155</v>
      </c>
      <c r="Q57" s="5">
        <f t="shared" ca="1" si="4"/>
        <v>0</v>
      </c>
      <c r="R57" s="5">
        <f t="shared" ca="1" si="5"/>
        <v>161.53846153846155</v>
      </c>
      <c r="S57" s="5">
        <f t="shared" ca="1" si="6"/>
        <v>0</v>
      </c>
      <c r="T57" s="5">
        <f ca="1">M57/IF(Summary!$C$8&lt;&gt;"Patients",1,$I$9)</f>
        <v>154.05389999999997</v>
      </c>
      <c r="U57" s="5">
        <f ca="1">((N57-M57)/IF(Summary!$C$8&lt;&gt;"Patients",1,$I$9))</f>
        <v>15.40539000000004</v>
      </c>
      <c r="V57" s="5">
        <f t="shared" si="7"/>
        <v>0</v>
      </c>
      <c r="X57" s="5">
        <f ca="1">(VLOOKUP(D57,'SPC background (hide)'!$AG$2:$AN$54,8,0)/IF(Summary!$C$8&lt;&gt;"Patients",1,$I$9))*(1-$I$4)*(1-$I$5+($I$6*$I$7))</f>
        <v>142.0497</v>
      </c>
    </row>
    <row r="58" spans="1:24" x14ac:dyDescent="0.25">
      <c r="A58" s="87">
        <f t="shared" si="8"/>
        <v>44235</v>
      </c>
      <c r="B58" s="67" t="str">
        <f t="shared" si="10"/>
        <v/>
      </c>
      <c r="C58" s="67" t="str">
        <f t="shared" si="9"/>
        <v/>
      </c>
      <c r="D58" s="67">
        <f t="shared" si="1"/>
        <v>6</v>
      </c>
      <c r="E58" s="5">
        <f ca="1">IF(LEFT(Demand!$C$8,1)="H",VLOOKUP($D58,'SPC background (hide)'!$AG$2:$AS$54,12,0),'Demand background (hide)'!X47)</f>
        <v>140</v>
      </c>
      <c r="F58" s="5">
        <f ca="1">IF(LEFT(Demand!$C$8,1)="H",VLOOKUP($D58,'SPC background (hide)'!$AG$2:$AS$54,13,0),E58*1.1)</f>
        <v>154</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161.53846153846155</v>
      </c>
      <c r="J58" s="5">
        <f ca="1">HLOOKUP(D58,'Capacity calculation (hide)'!$BK$110:$DJ$111,2,0)</f>
        <v>0</v>
      </c>
      <c r="K58" s="5">
        <f ca="1">IF(I58-IF(Setup!$I$15="Yes",$G58,0)-IF(Setup!$I$13="Yes",$H58,0)&lt;0,0,I58-IF(Setup!$I$15="Yes",$G58,0)-IF(Setup!$I$13="Yes",$H58,0))</f>
        <v>161.53846153846155</v>
      </c>
      <c r="L58" s="5">
        <f t="shared" ca="1" si="2"/>
        <v>0</v>
      </c>
      <c r="M58" s="5">
        <f ca="1">(IF('Demand adjustments for Covid'!$F$9="No",E58,SUM('Demand background (hide)'!DS47,'Demand background (hide)'!DV47:DW47))*(1-'Parameters calculator (hide)'!$B$43))*(1-'Parameters calculator (hide)'!$B$44+('Parameters calculator (hide)'!$B$45*'Parameters calculator (hide)'!$B$47))</f>
        <v>140.04899999999998</v>
      </c>
      <c r="N58" s="5">
        <f ca="1">(IF('Demand adjustments for Covid'!$F$9="No",F58,SUM('Demand background (hide)'!DT47,'Demand background (hide)'!DV47:DW47))*(1-'Parameters calculator (hide)'!$B$43))*(1-'Parameters calculator (hide)'!$B$44+('Parameters calculator (hide)'!$B$45*'Parameters calculator (hide)'!$B$47))</f>
        <v>154.05389999999997</v>
      </c>
      <c r="P58" s="5">
        <f t="shared" ca="1" si="3"/>
        <v>161.53846153846155</v>
      </c>
      <c r="Q58" s="5">
        <f t="shared" ca="1" si="4"/>
        <v>0</v>
      </c>
      <c r="R58" s="5">
        <f t="shared" ca="1" si="5"/>
        <v>161.53846153846155</v>
      </c>
      <c r="S58" s="5">
        <f t="shared" ca="1" si="6"/>
        <v>0</v>
      </c>
      <c r="T58" s="5">
        <f ca="1">M58/IF(Summary!$C$8&lt;&gt;"Patients",1,$I$9)</f>
        <v>140.04899999999998</v>
      </c>
      <c r="U58" s="5">
        <f ca="1">((N58-M58)/IF(Summary!$C$8&lt;&gt;"Patients",1,$I$9))</f>
        <v>14.004899999999992</v>
      </c>
      <c r="V58" s="5">
        <f t="shared" si="7"/>
        <v>0</v>
      </c>
      <c r="X58" s="5">
        <f ca="1">(VLOOKUP(D58,'SPC background (hide)'!$AG$2:$AN$54,8,0)/IF(Summary!$C$8&lt;&gt;"Patients",1,$I$9))*(1-$I$4)*(1-$I$5+($I$6*$I$7))</f>
        <v>142.0497</v>
      </c>
    </row>
    <row r="59" spans="1:24" x14ac:dyDescent="0.25">
      <c r="A59" s="87">
        <f t="shared" si="8"/>
        <v>44242</v>
      </c>
      <c r="B59" s="67" t="str">
        <f t="shared" si="10"/>
        <v/>
      </c>
      <c r="C59" s="67" t="str">
        <f t="shared" si="9"/>
        <v/>
      </c>
      <c r="D59" s="67">
        <f t="shared" si="1"/>
        <v>7</v>
      </c>
      <c r="E59" s="5">
        <f ca="1">IF(LEFT(Demand!$C$8,1)="H",VLOOKUP($D59,'SPC background (hide)'!$AG$2:$AS$54,12,0),'Demand background (hide)'!X48)</f>
        <v>136</v>
      </c>
      <c r="F59" s="5">
        <f ca="1">IF(LEFT(Demand!$C$8,1)="H",VLOOKUP($D59,'SPC background (hide)'!$AG$2:$AS$54,13,0),E59*1.1)</f>
        <v>149.60000000000002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161.53846153846155</v>
      </c>
      <c r="J59" s="5">
        <f ca="1">HLOOKUP(D59,'Capacity calculation (hide)'!$BK$110:$DJ$111,2,0)</f>
        <v>0</v>
      </c>
      <c r="K59" s="5">
        <f ca="1">IF(I59-IF(Setup!$I$15="Yes",$G59,0)-IF(Setup!$I$13="Yes",$H59,0)&lt;0,0,I59-IF(Setup!$I$15="Yes",$G59,0)-IF(Setup!$I$13="Yes",$H59,0))</f>
        <v>161.53846153846155</v>
      </c>
      <c r="L59" s="5">
        <f t="shared" ca="1" si="2"/>
        <v>0</v>
      </c>
      <c r="M59" s="5">
        <f ca="1">(IF('Demand adjustments for Covid'!$F$9="No",E59,SUM('Demand background (hide)'!DS48,'Demand background (hide)'!DV48:DW48))*(1-'Parameters calculator (hide)'!$B$43))*(1-'Parameters calculator (hide)'!$B$44+('Parameters calculator (hide)'!$B$45*'Parameters calculator (hide)'!$B$47))</f>
        <v>136.04759999999999</v>
      </c>
      <c r="N59" s="5">
        <f ca="1">(IF('Demand adjustments for Covid'!$F$9="No",F59,SUM('Demand background (hide)'!DT48,'Demand background (hide)'!DV48:DW48))*(1-'Parameters calculator (hide)'!$B$43))*(1-'Parameters calculator (hide)'!$B$44+('Parameters calculator (hide)'!$B$45*'Parameters calculator (hide)'!$B$47))</f>
        <v>149.65235999999999</v>
      </c>
      <c r="P59" s="5">
        <f t="shared" ca="1" si="3"/>
        <v>161.53846153846155</v>
      </c>
      <c r="Q59" s="5">
        <f t="shared" ca="1" si="4"/>
        <v>0</v>
      </c>
      <c r="R59" s="5">
        <f t="shared" ca="1" si="5"/>
        <v>161.53846153846155</v>
      </c>
      <c r="S59" s="5">
        <f t="shared" ca="1" si="6"/>
        <v>0</v>
      </c>
      <c r="T59" s="5">
        <f ca="1">M59/IF(Summary!$C$8&lt;&gt;"Patients",1,$I$9)</f>
        <v>136.04759999999999</v>
      </c>
      <c r="U59" s="5">
        <f ca="1">((N59-M59)/IF(Summary!$C$8&lt;&gt;"Patients",1,$I$9))</f>
        <v>13.604759999999999</v>
      </c>
      <c r="V59" s="5">
        <f t="shared" si="7"/>
        <v>0</v>
      </c>
      <c r="X59" s="5">
        <f ca="1">(VLOOKUP(D59,'SPC background (hide)'!$AG$2:$AN$54,8,0)/IF(Summary!$C$8&lt;&gt;"Patients",1,$I$9))*(1-$I$4)*(1-$I$5+($I$6*$I$7))</f>
        <v>142.0497</v>
      </c>
    </row>
    <row r="60" spans="1:24" x14ac:dyDescent="0.25">
      <c r="A60" s="87">
        <f t="shared" si="8"/>
        <v>44249</v>
      </c>
      <c r="B60" s="67" t="str">
        <f t="shared" si="10"/>
        <v/>
      </c>
      <c r="C60" s="67" t="str">
        <f t="shared" si="9"/>
        <v/>
      </c>
      <c r="D60" s="67">
        <f t="shared" si="1"/>
        <v>8</v>
      </c>
      <c r="E60" s="5">
        <f ca="1">IF(LEFT(Demand!$C$8,1)="H",VLOOKUP($D60,'SPC background (hide)'!$AG$2:$AS$54,12,0),'Demand background (hide)'!X49)</f>
        <v>152</v>
      </c>
      <c r="F60" s="5">
        <f ca="1">IF(LEFT(Demand!$C$8,1)="H",VLOOKUP($D60,'SPC background (hide)'!$AG$2:$AS$54,13,0),E60*1.1)</f>
        <v>167.20000000000002</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161.53846153846155</v>
      </c>
      <c r="J60" s="5">
        <f ca="1">HLOOKUP(D60,'Capacity calculation (hide)'!$BK$110:$DJ$111,2,0)</f>
        <v>0</v>
      </c>
      <c r="K60" s="5">
        <f ca="1">IF(I60-IF(Setup!$I$15="Yes",$G60,0)-IF(Setup!$I$13="Yes",$H60,0)&lt;0,0,I60-IF(Setup!$I$15="Yes",$G60,0)-IF(Setup!$I$13="Yes",$H60,0))</f>
        <v>161.53846153846155</v>
      </c>
      <c r="L60" s="5">
        <f t="shared" ca="1" si="2"/>
        <v>0</v>
      </c>
      <c r="M60" s="5">
        <f ca="1">(IF('Demand adjustments for Covid'!$F$9="No",E60,SUM('Demand background (hide)'!DS49,'Demand background (hide)'!DV49:DW49))*(1-'Parameters calculator (hide)'!$B$43))*(1-'Parameters calculator (hide)'!$B$44+('Parameters calculator (hide)'!$B$45*'Parameters calculator (hide)'!$B$47))</f>
        <v>152.0532</v>
      </c>
      <c r="N60" s="5">
        <f ca="1">(IF('Demand adjustments for Covid'!$F$9="No",F60,SUM('Demand background (hide)'!DT49,'Demand background (hide)'!DV49:DW49))*(1-'Parameters calculator (hide)'!$B$43))*(1-'Parameters calculator (hide)'!$B$44+('Parameters calculator (hide)'!$B$45*'Parameters calculator (hide)'!$B$47))</f>
        <v>167.25852</v>
      </c>
      <c r="P60" s="5">
        <f t="shared" ca="1" si="3"/>
        <v>161.53846153846155</v>
      </c>
      <c r="Q60" s="5">
        <f t="shared" ca="1" si="4"/>
        <v>0</v>
      </c>
      <c r="R60" s="5">
        <f t="shared" ca="1" si="5"/>
        <v>161.53846153846155</v>
      </c>
      <c r="S60" s="5">
        <f t="shared" ca="1" si="6"/>
        <v>0</v>
      </c>
      <c r="T60" s="5">
        <f ca="1">M60/IF(Summary!$C$8&lt;&gt;"Patients",1,$I$9)</f>
        <v>152.0532</v>
      </c>
      <c r="U60" s="5">
        <f ca="1">((N60-M60)/IF(Summary!$C$8&lt;&gt;"Patients",1,$I$9))</f>
        <v>15.20532</v>
      </c>
      <c r="V60" s="5">
        <f t="shared" si="7"/>
        <v>0</v>
      </c>
      <c r="X60" s="5">
        <f ca="1">(VLOOKUP(D60,'SPC background (hide)'!$AG$2:$AN$54,8,0)/IF(Summary!$C$8&lt;&gt;"Patients",1,$I$9))*(1-$I$4)*(1-$I$5+($I$6*$I$7))</f>
        <v>142.0497</v>
      </c>
    </row>
    <row r="61" spans="1:24" x14ac:dyDescent="0.25">
      <c r="A61" s="87">
        <f t="shared" si="8"/>
        <v>44256</v>
      </c>
      <c r="B61" s="67" t="str">
        <f t="shared" si="10"/>
        <v/>
      </c>
      <c r="C61" s="67" t="str">
        <f t="shared" si="9"/>
        <v>Mar</v>
      </c>
      <c r="D61" s="67">
        <f t="shared" si="1"/>
        <v>9</v>
      </c>
      <c r="E61" s="5">
        <f ca="1">IF(LEFT(Demand!$C$8,1)="H",VLOOKUP($D61,'SPC background (hide)'!$AG$2:$AS$54,12,0),'Demand background (hide)'!X50)</f>
        <v>148</v>
      </c>
      <c r="F61" s="5">
        <f ca="1">IF(LEFT(Demand!$C$8,1)="H",VLOOKUP($D61,'SPC background (hide)'!$AG$2:$AS$54,13,0),E61*1.1)</f>
        <v>162.80000000000001</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161.53846153846155</v>
      </c>
      <c r="J61" s="5">
        <f ca="1">HLOOKUP(D61,'Capacity calculation (hide)'!$BK$110:$DJ$111,2,0)</f>
        <v>0</v>
      </c>
      <c r="K61" s="5">
        <f ca="1">IF(I61-IF(Setup!$I$15="Yes",$G61,0)-IF(Setup!$I$13="Yes",$H61,0)&lt;0,0,I61-IF(Setup!$I$15="Yes",$G61,0)-IF(Setup!$I$13="Yes",$H61,0))</f>
        <v>161.53846153846155</v>
      </c>
      <c r="L61" s="5">
        <f t="shared" ca="1" si="2"/>
        <v>0</v>
      </c>
      <c r="M61" s="5">
        <f ca="1">(IF('Demand adjustments for Covid'!$F$9="No",E61,SUM('Demand background (hide)'!DS50,'Demand background (hide)'!DV50:DW50))*(1-'Parameters calculator (hide)'!$B$43))*(1-'Parameters calculator (hide)'!$B$44+('Parameters calculator (hide)'!$B$45*'Parameters calculator (hide)'!$B$47))</f>
        <v>148.05179999999999</v>
      </c>
      <c r="N61" s="5">
        <f ca="1">(IF('Demand adjustments for Covid'!$F$9="No",F61,SUM('Demand background (hide)'!DT50,'Demand background (hide)'!DV50:DW50))*(1-'Parameters calculator (hide)'!$B$43))*(1-'Parameters calculator (hide)'!$B$44+('Parameters calculator (hide)'!$B$45*'Parameters calculator (hide)'!$B$47))</f>
        <v>162.85697999999999</v>
      </c>
      <c r="P61" s="5">
        <f t="shared" ca="1" si="3"/>
        <v>161.53846153846155</v>
      </c>
      <c r="Q61" s="5">
        <f t="shared" ca="1" si="4"/>
        <v>0</v>
      </c>
      <c r="R61" s="5">
        <f t="shared" ca="1" si="5"/>
        <v>161.53846153846155</v>
      </c>
      <c r="S61" s="5">
        <f t="shared" ca="1" si="6"/>
        <v>0</v>
      </c>
      <c r="T61" s="5">
        <f ca="1">M61/IF(Summary!$C$8&lt;&gt;"Patients",1,$I$9)</f>
        <v>148.05179999999999</v>
      </c>
      <c r="U61" s="5">
        <f ca="1">((N61-M61)/IF(Summary!$C$8&lt;&gt;"Patients",1,$I$9))</f>
        <v>14.805180000000007</v>
      </c>
      <c r="V61" s="5">
        <f t="shared" si="7"/>
        <v>0</v>
      </c>
      <c r="X61" s="5">
        <f ca="1">(VLOOKUP(D61,'SPC background (hide)'!$AG$2:$AN$54,8,0)/IF(Summary!$C$8&lt;&gt;"Patients",1,$I$9))*(1-$I$4)*(1-$I$5+($I$6*$I$7))</f>
        <v>142.0497</v>
      </c>
    </row>
    <row r="62" spans="1:24" x14ac:dyDescent="0.25">
      <c r="A62" s="87">
        <f t="shared" si="8"/>
        <v>44263</v>
      </c>
      <c r="B62" s="67" t="str">
        <f t="shared" si="10"/>
        <v/>
      </c>
      <c r="C62" s="67" t="str">
        <f t="shared" si="9"/>
        <v/>
      </c>
      <c r="D62" s="67">
        <f t="shared" si="1"/>
        <v>10</v>
      </c>
      <c r="E62" s="5">
        <f ca="1">IF(LEFT(Demand!$C$8,1)="H",VLOOKUP($D62,'SPC background (hide)'!$AG$2:$AS$54,12,0),'Demand background (hide)'!X51)</f>
        <v>148</v>
      </c>
      <c r="F62" s="5">
        <f ca="1">IF(LEFT(Demand!$C$8,1)="H",VLOOKUP($D62,'SPC background (hide)'!$AG$2:$AS$54,13,0),E62*1.1)</f>
        <v>162.80000000000001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161.53846153846155</v>
      </c>
      <c r="J62" s="5">
        <f ca="1">HLOOKUP(D62,'Capacity calculation (hide)'!$BK$110:$DJ$111,2,0)</f>
        <v>0</v>
      </c>
      <c r="K62" s="5">
        <f ca="1">IF(I62-IF(Setup!$I$15="Yes",$G62,0)-IF(Setup!$I$13="Yes",$H62,0)&lt;0,0,I62-IF(Setup!$I$15="Yes",$G62,0)-IF(Setup!$I$13="Yes",$H62,0))</f>
        <v>161.53846153846155</v>
      </c>
      <c r="L62" s="5">
        <f t="shared" ca="1" si="2"/>
        <v>0</v>
      </c>
      <c r="M62" s="5">
        <f ca="1">(IF('Demand adjustments for Covid'!$F$9="No",E62,SUM('Demand background (hide)'!DS51,'Demand background (hide)'!DV51:DW51))*(1-'Parameters calculator (hide)'!$B$43))*(1-'Parameters calculator (hide)'!$B$44+('Parameters calculator (hide)'!$B$45*'Parameters calculator (hide)'!$B$47))</f>
        <v>148.05179999999999</v>
      </c>
      <c r="N62" s="5">
        <f ca="1">(IF('Demand adjustments for Covid'!$F$9="No",F62,SUM('Demand background (hide)'!DT51,'Demand background (hide)'!DV51:DW51))*(1-'Parameters calculator (hide)'!$B$43))*(1-'Parameters calculator (hide)'!$B$44+('Parameters calculator (hide)'!$B$45*'Parameters calculator (hide)'!$B$47))</f>
        <v>162.85697999999999</v>
      </c>
      <c r="P62" s="5">
        <f t="shared" ca="1" si="3"/>
        <v>161.53846153846155</v>
      </c>
      <c r="Q62" s="5">
        <f t="shared" ca="1" si="4"/>
        <v>0</v>
      </c>
      <c r="R62" s="5">
        <f t="shared" ca="1" si="5"/>
        <v>161.53846153846155</v>
      </c>
      <c r="S62" s="5">
        <f t="shared" ca="1" si="6"/>
        <v>0</v>
      </c>
      <c r="T62" s="5">
        <f ca="1">M62/IF(Summary!$C$8&lt;&gt;"Patients",1,$I$9)</f>
        <v>148.05179999999999</v>
      </c>
      <c r="U62" s="5">
        <f ca="1">((N62-M62)/IF(Summary!$C$8&lt;&gt;"Patients",1,$I$9))</f>
        <v>14.805180000000007</v>
      </c>
      <c r="V62" s="5">
        <f t="shared" si="7"/>
        <v>0</v>
      </c>
      <c r="X62" s="5">
        <f ca="1">(VLOOKUP(D62,'SPC background (hide)'!$AG$2:$AN$54,8,0)/IF(Summary!$C$8&lt;&gt;"Patients",1,$I$9))*(1-$I$4)*(1-$I$5+($I$6*$I$7))</f>
        <v>142.0497</v>
      </c>
    </row>
    <row r="63" spans="1:24" x14ac:dyDescent="0.25">
      <c r="A63" s="87">
        <f t="shared" si="8"/>
        <v>44270</v>
      </c>
      <c r="B63" s="67" t="str">
        <f t="shared" si="10"/>
        <v/>
      </c>
      <c r="C63" s="67" t="str">
        <f t="shared" si="9"/>
        <v/>
      </c>
      <c r="D63" s="67">
        <f t="shared" si="1"/>
        <v>11</v>
      </c>
      <c r="E63" s="5">
        <f ca="1">IF(LEFT(Demand!$C$8,1)="H",VLOOKUP($D63,'SPC background (hide)'!$AG$2:$AS$54,12,0),'Demand background (hide)'!X52)</f>
        <v>140</v>
      </c>
      <c r="F63" s="5">
        <f ca="1">IF(LEFT(Demand!$C$8,1)="H",VLOOKUP($D63,'SPC background (hide)'!$AG$2:$AS$54,13,0),E63*1.1)</f>
        <v>154</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161.53846153846155</v>
      </c>
      <c r="J63" s="5">
        <f ca="1">HLOOKUP(D63,'Capacity calculation (hide)'!$BK$110:$DJ$111,2,0)</f>
        <v>0</v>
      </c>
      <c r="K63" s="5">
        <f ca="1">IF(I63-IF(Setup!$I$15="Yes",$G63,0)-IF(Setup!$I$13="Yes",$H63,0)&lt;0,0,I63-IF(Setup!$I$15="Yes",$G63,0)-IF(Setup!$I$13="Yes",$H63,0))</f>
        <v>161.53846153846155</v>
      </c>
      <c r="L63" s="5">
        <f t="shared" ca="1" si="2"/>
        <v>0</v>
      </c>
      <c r="M63" s="5">
        <f ca="1">(IF('Demand adjustments for Covid'!$F$9="No",E63,SUM('Demand background (hide)'!DS52,'Demand background (hide)'!DV52:DW52))*(1-'Parameters calculator (hide)'!$B$43))*(1-'Parameters calculator (hide)'!$B$44+('Parameters calculator (hide)'!$B$45*'Parameters calculator (hide)'!$B$47))</f>
        <v>140.04899999999998</v>
      </c>
      <c r="N63" s="5">
        <f ca="1">(IF('Demand adjustments for Covid'!$F$9="No",F63,SUM('Demand background (hide)'!DT52,'Demand background (hide)'!DV52:DW52))*(1-'Parameters calculator (hide)'!$B$43))*(1-'Parameters calculator (hide)'!$B$44+('Parameters calculator (hide)'!$B$45*'Parameters calculator (hide)'!$B$47))</f>
        <v>154.05389999999997</v>
      </c>
      <c r="P63" s="5">
        <f t="shared" ca="1" si="3"/>
        <v>161.53846153846155</v>
      </c>
      <c r="Q63" s="5">
        <f t="shared" ca="1" si="4"/>
        <v>0</v>
      </c>
      <c r="R63" s="5">
        <f t="shared" ca="1" si="5"/>
        <v>161.53846153846155</v>
      </c>
      <c r="S63" s="5">
        <f t="shared" ca="1" si="6"/>
        <v>0</v>
      </c>
      <c r="T63" s="5">
        <f ca="1">M63/IF(Summary!$C$8&lt;&gt;"Patients",1,$I$9)</f>
        <v>140.04899999999998</v>
      </c>
      <c r="U63" s="5">
        <f ca="1">((N63-M63)/IF(Summary!$C$8&lt;&gt;"Patients",1,$I$9))</f>
        <v>14.004899999999992</v>
      </c>
      <c r="V63" s="5">
        <f t="shared" si="7"/>
        <v>0</v>
      </c>
      <c r="X63" s="5">
        <f ca="1">(VLOOKUP(D63,'SPC background (hide)'!$AG$2:$AN$54,8,0)/IF(Summary!$C$8&lt;&gt;"Patients",1,$I$9))*(1-$I$4)*(1-$I$5+($I$6*$I$7))</f>
        <v>142.0497</v>
      </c>
    </row>
    <row r="64" spans="1:24" x14ac:dyDescent="0.25">
      <c r="A64" s="87">
        <f t="shared" si="8"/>
        <v>44277</v>
      </c>
      <c r="B64" s="67" t="str">
        <f t="shared" si="10"/>
        <v/>
      </c>
      <c r="C64" s="67" t="str">
        <f t="shared" si="9"/>
        <v/>
      </c>
      <c r="D64" s="67">
        <f t="shared" si="1"/>
        <v>12</v>
      </c>
      <c r="E64" s="5">
        <f ca="1">IF(LEFT(Demand!$C$8,1)="H",VLOOKUP($D64,'SPC background (hide)'!$AG$2:$AS$54,12,0),'Demand background (hide)'!X53)</f>
        <v>152</v>
      </c>
      <c r="F64" s="5">
        <f ca="1">IF(LEFT(Demand!$C$8,1)="H",VLOOKUP($D64,'SPC background (hide)'!$AG$2:$AS$54,13,0),E64*1.1)</f>
        <v>167.20000000000002</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161.53846153846155</v>
      </c>
      <c r="J64" s="5">
        <f ca="1">HLOOKUP(D64,'Capacity calculation (hide)'!$BK$110:$DJ$111,2,0)</f>
        <v>0</v>
      </c>
      <c r="K64" s="5">
        <f ca="1">IF(I64-IF(Setup!$I$15="Yes",$G64,0)-IF(Setup!$I$13="Yes",$H64,0)&lt;0,0,I64-IF(Setup!$I$15="Yes",$G64,0)-IF(Setup!$I$13="Yes",$H64,0))</f>
        <v>161.53846153846155</v>
      </c>
      <c r="L64" s="5">
        <f t="shared" ca="1" si="2"/>
        <v>0</v>
      </c>
      <c r="M64" s="5">
        <f ca="1">(IF('Demand adjustments for Covid'!$F$9="No",E64,SUM('Demand background (hide)'!DS53,'Demand background (hide)'!DV53:DW53))*(1-'Parameters calculator (hide)'!$B$43))*(1-'Parameters calculator (hide)'!$B$44+('Parameters calculator (hide)'!$B$45*'Parameters calculator (hide)'!$B$47))</f>
        <v>152.0532</v>
      </c>
      <c r="N64" s="5">
        <f ca="1">(IF('Demand adjustments for Covid'!$F$9="No",F64,SUM('Demand background (hide)'!DT53,'Demand background (hide)'!DV53:DW53))*(1-'Parameters calculator (hide)'!$B$43))*(1-'Parameters calculator (hide)'!$B$44+('Parameters calculator (hide)'!$B$45*'Parameters calculator (hide)'!$B$47))</f>
        <v>167.25852</v>
      </c>
      <c r="P64" s="5">
        <f t="shared" ca="1" si="3"/>
        <v>161.53846153846155</v>
      </c>
      <c r="Q64" s="5">
        <f t="shared" ca="1" si="4"/>
        <v>0</v>
      </c>
      <c r="R64" s="5">
        <f t="shared" ca="1" si="5"/>
        <v>161.53846153846155</v>
      </c>
      <c r="S64" s="5">
        <f t="shared" ca="1" si="6"/>
        <v>0</v>
      </c>
      <c r="T64" s="5">
        <f ca="1">M64/IF(Summary!$C$8&lt;&gt;"Patients",1,$I$9)</f>
        <v>152.0532</v>
      </c>
      <c r="U64" s="5">
        <f ca="1">((N64-M64)/IF(Summary!$C$8&lt;&gt;"Patients",1,$I$9))</f>
        <v>15.20532</v>
      </c>
      <c r="V64" s="5">
        <f t="shared" si="7"/>
        <v>0</v>
      </c>
      <c r="X64" s="5">
        <f ca="1">(VLOOKUP(D64,'SPC background (hide)'!$AG$2:$AN$54,8,0)/IF(Summary!$C$8&lt;&gt;"Patients",1,$I$9))*(1-$I$4)*(1-$I$5+($I$6*$I$7))</f>
        <v>142.0497</v>
      </c>
    </row>
    <row r="65" spans="1:24" x14ac:dyDescent="0.25">
      <c r="A65" s="87">
        <f t="shared" si="8"/>
        <v>44284</v>
      </c>
      <c r="B65" s="67" t="str">
        <f t="shared" si="10"/>
        <v/>
      </c>
      <c r="C65" s="67" t="str">
        <f t="shared" si="9"/>
        <v/>
      </c>
      <c r="D65" s="67">
        <f t="shared" si="1"/>
        <v>13</v>
      </c>
      <c r="E65" s="5">
        <f ca="1">IF(LEFT(Demand!$C$8,1)="H",VLOOKUP($D65,'SPC background (hide)'!$AG$2:$AS$54,12,0),'Demand background (hide)'!X54)</f>
        <v>146</v>
      </c>
      <c r="F65" s="5">
        <f ca="1">IF(LEFT(Demand!$C$8,1)="H",VLOOKUP($D65,'SPC background (hide)'!$AG$2:$AS$54,13,0),E65*1.1)</f>
        <v>160.60000000000002</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161.53846153846155</v>
      </c>
      <c r="J65" s="5">
        <f ca="1">HLOOKUP(D65,'Capacity calculation (hide)'!$BK$110:$DJ$111,2,0)</f>
        <v>0</v>
      </c>
      <c r="K65" s="5">
        <f ca="1">IF(I65-IF(Setup!$I$15="Yes",$G65,0)-IF(Setup!$I$13="Yes",$H65,0)&lt;0,0,I65-IF(Setup!$I$15="Yes",$G65,0)-IF(Setup!$I$13="Yes",$H65,0))</f>
        <v>161.53846153846155</v>
      </c>
      <c r="L65" s="5">
        <f t="shared" ca="1" si="2"/>
        <v>0</v>
      </c>
      <c r="M65" s="5">
        <f ca="1">(IF('Demand adjustments for Covid'!$F$9="No",E65,SUM('Demand background (hide)'!DS54,'Demand background (hide)'!DV54:DW54))*(1-'Parameters calculator (hide)'!$B$43))*(1-'Parameters calculator (hide)'!$B$44+('Parameters calculator (hide)'!$B$45*'Parameters calculator (hide)'!$B$47))</f>
        <v>146.05109999999999</v>
      </c>
      <c r="N65" s="5">
        <f ca="1">(IF('Demand adjustments for Covid'!$F$9="No",F65,SUM('Demand background (hide)'!DT54,'Demand background (hide)'!DV54:DW54))*(1-'Parameters calculator (hide)'!$B$43))*(1-'Parameters calculator (hide)'!$B$44+('Parameters calculator (hide)'!$B$45*'Parameters calculator (hide)'!$B$47))</f>
        <v>160.65621000000002</v>
      </c>
      <c r="P65" s="5">
        <f t="shared" ca="1" si="3"/>
        <v>161.53846153846155</v>
      </c>
      <c r="Q65" s="5">
        <f t="shared" ca="1" si="4"/>
        <v>0</v>
      </c>
      <c r="R65" s="5">
        <f t="shared" ca="1" si="5"/>
        <v>161.53846153846155</v>
      </c>
      <c r="S65" s="5">
        <f t="shared" ca="1" si="6"/>
        <v>0</v>
      </c>
      <c r="T65" s="5">
        <f ca="1">M65/IF(Summary!$C$8&lt;&gt;"Patients",1,$I$9)</f>
        <v>146.05109999999999</v>
      </c>
      <c r="U65" s="5">
        <f ca="1">((N65-M65)/IF(Summary!$C$8&lt;&gt;"Patients",1,$I$9))</f>
        <v>14.605110000000025</v>
      </c>
      <c r="V65" s="5">
        <f t="shared" si="7"/>
        <v>0</v>
      </c>
      <c r="X65" s="5">
        <f ca="1">(VLOOKUP(D65,'SPC background (hide)'!$AG$2:$AN$54,8,0)/IF(Summary!$C$8&lt;&gt;"Patients",1,$I$9))*(1-$I$4)*(1-$I$5+($I$6*$I$7))</f>
        <v>142.0497</v>
      </c>
    </row>
    <row r="66" spans="1:24" x14ac:dyDescent="0.25">
      <c r="A66" s="87">
        <f t="shared" si="8"/>
        <v>44291</v>
      </c>
      <c r="B66" s="67" t="str">
        <f t="shared" si="10"/>
        <v/>
      </c>
      <c r="C66" s="67" t="str">
        <f>IF(TEXT(A66,"MMM")&lt;&gt;TEXT(A65,"MMM"),TEXT(A66,"MMM"),"")</f>
        <v>Apr</v>
      </c>
      <c r="D66" s="67">
        <f t="shared" si="1"/>
        <v>14</v>
      </c>
      <c r="E66" s="5">
        <f ca="1">IF(LEFT(Demand!$C$8,1)="H",VLOOKUP($D66,'SPC background (hide)'!$AG$2:$AS$54,12,0),'Demand background (hide)'!X55)</f>
        <v>130</v>
      </c>
      <c r="F66" s="5">
        <f ca="1">IF(LEFT(Demand!$C$8,1)="H",VLOOKUP($D66,'SPC background (hide)'!$AG$2:$AS$54,13,0),E66*1.1)</f>
        <v>143</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161.53846153846155</v>
      </c>
      <c r="J66" s="5">
        <f ca="1">HLOOKUP(D66,'Capacity calculation (hide)'!$BK$110:$DJ$111,2,0)</f>
        <v>0</v>
      </c>
      <c r="K66" s="5">
        <f ca="1">IF(I66-IF(Setup!$I$15="Yes",$G66,0)-IF(Setup!$I$13="Yes",$H66,0)&lt;0,0,I66-IF(Setup!$I$15="Yes",$G66,0)-IF(Setup!$I$13="Yes",$H66,0))</f>
        <v>161.53846153846155</v>
      </c>
      <c r="L66" s="5">
        <f t="shared" ca="1" si="2"/>
        <v>0</v>
      </c>
      <c r="M66" s="5">
        <f ca="1">(IF('Demand adjustments for Covid'!$F$9="No",E66,SUM('Demand background (hide)'!DS55,'Demand background (hide)'!DV55:DW55))*(1-'Parameters calculator (hide)'!$B$43))*(1-'Parameters calculator (hide)'!$B$44+('Parameters calculator (hide)'!$B$45*'Parameters calculator (hide)'!$B$47))</f>
        <v>130.0455</v>
      </c>
      <c r="N66" s="5">
        <f ca="1">(IF('Demand adjustments for Covid'!$F$9="No",F66,SUM('Demand background (hide)'!DT55,'Demand background (hide)'!DV55:DW55))*(1-'Parameters calculator (hide)'!$B$43))*(1-'Parameters calculator (hide)'!$B$44+('Parameters calculator (hide)'!$B$45*'Parameters calculator (hide)'!$B$47))</f>
        <v>143.05005</v>
      </c>
      <c r="P66" s="5">
        <f t="shared" ca="1" si="3"/>
        <v>161.53846153846155</v>
      </c>
      <c r="Q66" s="5">
        <f t="shared" ca="1" si="4"/>
        <v>0</v>
      </c>
      <c r="R66" s="5">
        <f t="shared" ca="1" si="5"/>
        <v>161.53846153846155</v>
      </c>
      <c r="S66" s="5">
        <f t="shared" ca="1" si="6"/>
        <v>0</v>
      </c>
      <c r="T66" s="5">
        <f ca="1">M66/IF(Summary!$C$8&lt;&gt;"Patients",1,$I$9)</f>
        <v>130.0455</v>
      </c>
      <c r="U66" s="5">
        <f ca="1">((N66-M66)/IF(Summary!$C$8&lt;&gt;"Patients",1,$I$9))</f>
        <v>13.004549999999995</v>
      </c>
      <c r="V66" s="5">
        <f t="shared" si="7"/>
        <v>0</v>
      </c>
      <c r="X66" s="5">
        <f ca="1">(VLOOKUP(D66,'SPC background (hide)'!$AG$2:$AN$54,8,0)/IF(Summary!$C$8&lt;&gt;"Patients",1,$I$9))*(1-$I$4)*(1-$I$5+($I$6*$I$7))</f>
        <v>142.0497</v>
      </c>
    </row>
    <row r="67" spans="1:24" x14ac:dyDescent="0.25">
      <c r="A67" s="298">
        <f t="shared" si="8"/>
        <v>44298</v>
      </c>
      <c r="B67" s="67" t="str">
        <f t="shared" ref="B67" si="11">IF(YEAR(A67)&lt;&gt;YEAR(A66),YEAR(A67),"")</f>
        <v/>
      </c>
      <c r="C67" s="67" t="str">
        <f t="shared" ref="C67" si="12">IF(TEXT(A67,"MMM")&lt;&gt;TEXT(A66,"MMM"),TEXT(A67,"MMM"),"")</f>
        <v/>
      </c>
      <c r="D67" s="59">
        <f>IF(MAX(D15:D66)=53,WEEKNUM(A67,21),53)</f>
        <v>15</v>
      </c>
      <c r="E67" s="5">
        <f ca="1">VLOOKUP($D67,'SPC background (hide)'!$AG$2:$AS$54,12,0)</f>
        <v>142</v>
      </c>
      <c r="F67" s="5">
        <f ca="1">VLOOKUP($D67,'SPC background (hide)'!$AG$2:$AS$54,13,0)</f>
        <v>155.30000000000001</v>
      </c>
      <c r="G67" s="5" t="str">
        <f>IF(Setup!$I$15="Yes",VLOOKUP(D67,'SPC background (hide)'!$AG$2:$AT$54,14,0)/IF(Summary!$C$8="Patients",'Summary Calculations (hide)'!$I$9,1),"")</f>
        <v/>
      </c>
      <c r="H67" s="67" t="str">
        <f>IF(Setup!$I$13="Yes",'Planned background (hide)'!$V$23/IF(Summary!$C$8="Patients",'Summary Calculations (hide)'!$I$9,1),"")</f>
        <v/>
      </c>
      <c r="I67" s="300">
        <f ca="1">IF(D67=53,HLOOKUP(52,'Capacity calculation (hide)'!$BK$3:$DJ$4,2,0),I66)</f>
        <v>161.53846153846155</v>
      </c>
      <c r="J67" s="300">
        <f ca="1">IF(D67=53,HLOOKUP(52,'Capacity calculation (hide)'!$BK$110:$DJ$111,2,0),J66)</f>
        <v>0</v>
      </c>
      <c r="K67" s="5">
        <f ca="1">IF(I67-IF(Setup!$I$15="Yes",$G67,0)-IF(Setup!$I$13="Yes",$H67,0)&lt;0,0,I67-IF(Setup!$I$15="Yes",$G67,0)-IF(Setup!$I$13="Yes",$H67,0))</f>
        <v>161.53846153846155</v>
      </c>
      <c r="L67" s="5">
        <f t="shared" ref="L67" ca="1" si="13">J67</f>
        <v>0</v>
      </c>
      <c r="M67" s="5">
        <f ca="1">(IF('Demand adjustments for Covid'!$F$9="No",E67,SUM('Demand background (hide)'!DS56,'Demand background (hide)'!DV56:DW56))*(1-'Parameters calculator (hide)'!$B$43))*(1-'Parameters calculator (hide)'!$B$44+('Parameters calculator (hide)'!$B$45*'Parameters calculator (hide)'!$B$47))</f>
        <v>142.0497</v>
      </c>
      <c r="N67" s="5">
        <f ca="1">(IF('Demand adjustments for Covid'!$F$9="No",F67,SUM('Demand background (hide)'!DT56,'Demand background (hide)'!DV56:DW56))*(1-'Parameters calculator (hide)'!$B$43))*(1-'Parameters calculator (hide)'!$B$44+('Parameters calculator (hide)'!$B$45*'Parameters calculator (hide)'!$B$47))</f>
        <v>155.354355</v>
      </c>
      <c r="O67" s="67"/>
      <c r="P67" s="5">
        <f t="shared" ref="P67" ca="1" si="14">I67</f>
        <v>161.53846153846155</v>
      </c>
      <c r="Q67" s="5">
        <f t="shared" ref="Q67" ca="1" si="15">J67</f>
        <v>0</v>
      </c>
      <c r="R67" s="5">
        <f t="shared" ref="R67" ca="1" si="16">IF(P67-V67&lt;0,0,P67-V67)</f>
        <v>161.53846153846155</v>
      </c>
      <c r="S67" s="5">
        <f t="shared" ref="S67" ca="1" si="17">IF(R67=0,IF(P67+Q67-V67&lt;0,0,P67+Q67-V67),Q67)</f>
        <v>0</v>
      </c>
      <c r="T67" s="5">
        <f ca="1">M67/IF(Summary!$C$8&lt;&gt;"Patients",1,$I$9)</f>
        <v>142.0497</v>
      </c>
      <c r="U67" s="5">
        <f ca="1">((N67-M67)/IF(Summary!$C$8&lt;&gt;"Patients",1,$I$9))</f>
        <v>13.304654999999997</v>
      </c>
      <c r="V67" s="5">
        <f t="shared" ref="V67" si="18">SUM(G67:H67)</f>
        <v>0</v>
      </c>
      <c r="W67" s="67"/>
      <c r="X67" s="5">
        <f ca="1">(VLOOKUP(D67,'SPC background (hide)'!$AG$2:$AN$54,8,0)/IF(Summary!$C$8&lt;&gt;"Patients",1,$I$9))*(1-$I$4)*(1-$I$5+($I$6*$I$7))</f>
        <v>142.0497</v>
      </c>
    </row>
    <row r="68" spans="1:24" s="67" customFormat="1" x14ac:dyDescent="0.25">
      <c r="X68" s="5"/>
    </row>
    <row r="69" spans="1:24" x14ac:dyDescent="0.25">
      <c r="X69" s="5"/>
    </row>
    <row r="70" spans="1:24" x14ac:dyDescent="0.25">
      <c r="D70" t="s">
        <v>290</v>
      </c>
      <c r="E70" s="5">
        <f ca="1">AVERAGE(E15:E67)</f>
        <v>140.37735849056602</v>
      </c>
      <c r="F70" s="5">
        <f ca="1">AVERAGE(F15:F67)</f>
        <v>154.39811320754717</v>
      </c>
      <c r="G70" s="5" t="str">
        <f>IF(Setup!$I$15="Yes",AVERAGE(G15:G67),"")</f>
        <v/>
      </c>
      <c r="H70" s="5" t="str">
        <f>IF(Setup!$I$13="Yes",AVERAGE(H15:H67),"")</f>
        <v/>
      </c>
      <c r="I70" s="5">
        <f ca="1">AVERAGE(I15:I67)</f>
        <v>141.378809869376</v>
      </c>
      <c r="J70" s="5">
        <f ca="1">AVERAGE(J15:J67)</f>
        <v>0.94339622641509435</v>
      </c>
      <c r="K70" s="5">
        <f ca="1">AVERAGE(K15:K67)</f>
        <v>141.378809869376</v>
      </c>
      <c r="L70" s="5">
        <f ca="1">AVERAGE(L15:L67)</f>
        <v>0.94339622641509435</v>
      </c>
      <c r="M70" s="105">
        <f ca="1">AVERAGE(M15:M67)/IF(Summary!$C$8&lt;&gt;"Patients",1,$I$9)</f>
        <v>125.55336226415092</v>
      </c>
      <c r="N70" s="105">
        <f ca="1">AVERAGE(N15:N67)/IF(Summary!$C$8&lt;&gt;"Patients",1,$I$9)</f>
        <v>137.64627254716979</v>
      </c>
      <c r="R70" s="5">
        <f ca="1">AVERAGE(R15:R67)</f>
        <v>141.378809869376</v>
      </c>
      <c r="S70" s="5">
        <f ca="1">AVERAGE(S15:S67)</f>
        <v>0.94339622641509435</v>
      </c>
      <c r="V70" s="105">
        <f>IF(AND(Setup!$I$13="No",Setup!$I$15="No"),0,IF(H70&lt;&gt;"",H70,0)+IF(G70&lt;&gt;"",G70,0))</f>
        <v>0</v>
      </c>
      <c r="X70" s="5">
        <f ca="1">AVERAGE(X15:X67)</f>
        <v>142.0496999999998</v>
      </c>
    </row>
    <row r="71" spans="1:24" x14ac:dyDescent="0.25">
      <c r="E71" s="60"/>
      <c r="I71" t="s">
        <v>308</v>
      </c>
      <c r="K71" s="105">
        <f ca="1">(K70)/IF(Summary!$C$8&lt;&gt;"Patients",1,$I$9)</f>
        <v>141.378809869376</v>
      </c>
      <c r="L71" s="105">
        <f ca="1">(L70)/IF(Summary!$C$8&lt;&gt;"Patients",1,$I$9)</f>
        <v>0.94339622641509435</v>
      </c>
      <c r="M71" s="5"/>
      <c r="N71" s="5">
        <f ca="1">N70-M70</f>
        <v>12.092910283018867</v>
      </c>
      <c r="R71" s="5">
        <f ca="1">SUM(R15:R67)</f>
        <v>7493.0769230769283</v>
      </c>
      <c r="S71" s="5">
        <f ca="1">SUM(S15:S67)</f>
        <v>50</v>
      </c>
      <c r="V71" s="5">
        <f>SUM(V15:V67)</f>
        <v>0</v>
      </c>
      <c r="X71" s="5">
        <f ca="1">SUM(X15:X67)</f>
        <v>7528.6340999999902</v>
      </c>
    </row>
    <row r="72" spans="1:24" x14ac:dyDescent="0.25">
      <c r="E72" s="5"/>
      <c r="F72" s="5"/>
      <c r="J72" s="5"/>
      <c r="K72" s="5"/>
      <c r="L72" s="5"/>
      <c r="M72" s="5"/>
      <c r="N72" s="5"/>
      <c r="X72" s="5">
        <f ca="1">AVERAGE(X15:X67)</f>
        <v>142.0496999999998</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1133</v>
      </c>
    </row>
    <row r="3" spans="1:29" x14ac:dyDescent="0.25">
      <c r="A3" t="s">
        <v>1119</v>
      </c>
      <c r="B3" s="303">
        <f>Summary!$D$42</f>
        <v>0</v>
      </c>
      <c r="H3" t="s">
        <v>153</v>
      </c>
      <c r="I3" t="s">
        <v>148</v>
      </c>
      <c r="J3" t="s">
        <v>149</v>
      </c>
      <c r="K3" t="s">
        <v>156</v>
      </c>
      <c r="L3" t="s">
        <v>1131</v>
      </c>
      <c r="M3" t="s">
        <v>531</v>
      </c>
      <c r="N3" t="s">
        <v>1132</v>
      </c>
    </row>
    <row r="4" spans="1:29" x14ac:dyDescent="0.25">
      <c r="A4" t="s">
        <v>1120</v>
      </c>
      <c r="B4" s="303">
        <f>Summary!$D$43</f>
        <v>0</v>
      </c>
      <c r="H4">
        <v>1</v>
      </c>
      <c r="I4">
        <f>'SPC background (hide)'!L4</f>
        <v>1</v>
      </c>
      <c r="J4">
        <f ca="1">'SPC background (hide)'!M4</f>
        <v>10</v>
      </c>
      <c r="K4" s="5">
        <f ca="1">'SPC background (hide)'!O4</f>
        <v>142</v>
      </c>
      <c r="L4">
        <f ca="1">IFERROR(VLOOKUP(H4,'SPC background (hide)'!$AI$2:$AJ$54,2,FALSE),"")</f>
        <v>5.7131599684791183</v>
      </c>
      <c r="M4" s="5">
        <f ca="1">'SPC background (hide)'!P4</f>
        <v>142</v>
      </c>
      <c r="N4" s="5">
        <f ca="1">'SPC background (hide)'!Q4</f>
        <v>155.30000000000001</v>
      </c>
    </row>
    <row r="5" spans="1:29" x14ac:dyDescent="0.25">
      <c r="A5" t="s">
        <v>75</v>
      </c>
      <c r="B5" s="3">
        <f ca="1">'Summary Calculations (hide)'!I4</f>
        <v>0.05</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1121</v>
      </c>
      <c r="B6" s="3">
        <f ca="1">'Summary Calculations (hide)'!I5</f>
        <v>1.0999999999999998E-2</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7.9999999999999988E-2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0.8</v>
      </c>
      <c r="H8" s="67">
        <v>5</v>
      </c>
      <c r="I8" s="67">
        <f ca="1">'SPC background (hide)'!L8</f>
        <v>11</v>
      </c>
      <c r="J8" s="67">
        <f ca="1">'SPC background (hide)'!M8</f>
        <v>52</v>
      </c>
      <c r="K8" s="5">
        <f ca="1">'SPC background (hide)'!O8</f>
        <v>142</v>
      </c>
      <c r="L8" s="67">
        <f ca="1">IFERROR(VLOOKUP(H8,'SPC background (hide)'!$AI$2:$AJ$54,2,FALSE),"")</f>
        <v>5.7131599684791183</v>
      </c>
      <c r="M8" s="5">
        <f ca="1">'SPC background (hide)'!P8</f>
        <v>142</v>
      </c>
      <c r="N8" s="5">
        <f ca="1">'SPC background (hide)'!Q8</f>
        <v>155.30000000000001</v>
      </c>
    </row>
    <row r="10" spans="1:29" x14ac:dyDescent="0.25">
      <c r="A10" t="s">
        <v>1153</v>
      </c>
      <c r="B10" s="3"/>
      <c r="H10" t="s">
        <v>1130</v>
      </c>
      <c r="T10" t="s">
        <v>1136</v>
      </c>
    </row>
    <row r="11" spans="1:29" x14ac:dyDescent="0.25">
      <c r="A11" t="s">
        <v>1122</v>
      </c>
      <c r="B11" s="3">
        <f ca="1">(1-B5)*(1-(B6+B7))</f>
        <v>0.86355000000000004</v>
      </c>
      <c r="C11" s="51" t="s">
        <v>1149</v>
      </c>
      <c r="D11" t="s">
        <v>1143</v>
      </c>
      <c r="T11" t="s">
        <v>1137</v>
      </c>
      <c r="U11" t="s">
        <v>1138</v>
      </c>
      <c r="V11" t="s">
        <v>1139</v>
      </c>
      <c r="W11" t="s">
        <v>1140</v>
      </c>
      <c r="X11" t="s">
        <v>1141</v>
      </c>
      <c r="Y11" t="s">
        <v>1142</v>
      </c>
      <c r="Z11" t="s">
        <v>156</v>
      </c>
      <c r="AA11" t="s">
        <v>1146</v>
      </c>
      <c r="AB11" t="s">
        <v>1147</v>
      </c>
      <c r="AC11" t="s">
        <v>1148</v>
      </c>
    </row>
    <row r="12" spans="1:29" x14ac:dyDescent="0.25">
      <c r="A12" t="s">
        <v>1123</v>
      </c>
      <c r="B12" s="3">
        <f ca="1">(1-B5) * (B7*B8)</f>
        <v>6.0799999999999986E-2</v>
      </c>
      <c r="C12" s="51" t="s">
        <v>1150</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1134</v>
      </c>
      <c r="R12" t="s">
        <v>391</v>
      </c>
      <c r="T12">
        <v>152</v>
      </c>
    </row>
    <row r="13" spans="1:29" x14ac:dyDescent="0.25">
      <c r="A13" t="s">
        <v>1127</v>
      </c>
      <c r="B13" s="3">
        <f ca="1">B11+B12</f>
        <v>0.92435</v>
      </c>
      <c r="C13" s="51" t="s">
        <v>1128</v>
      </c>
      <c r="H13" s="298">
        <f>'Summary Calculations (hide)'!A15</f>
        <v>43934</v>
      </c>
      <c r="I13">
        <f>'Summary Calculations (hide)'!B15</f>
        <v>2020</v>
      </c>
      <c r="J13" t="str">
        <f>'Summary Calculations (hide)'!C15</f>
        <v>Apr</v>
      </c>
      <c r="K13">
        <f>'Summary Calculations (hide)'!D15</f>
        <v>16</v>
      </c>
      <c r="L13">
        <f ca="1">VLOOKUP($K13,'SPC background (hide)'!$AG$2:$AS$54,3,0)</f>
        <v>1</v>
      </c>
      <c r="M13">
        <f ca="1">((VLOOKUP(L13,$H$4:$N$8,4,FALSE)*(1-$B$5)*(1-$B$6+($B$7*$B$8))))</f>
        <v>142.0497</v>
      </c>
      <c r="N13" s="67">
        <f ca="1">((VLOOKUP(L13,$H$4:$N$8,5,FALSE)*(1-$B$5)*(1-$B$6+($B$7*$B$8))))</f>
        <v>5.7151595744680854</v>
      </c>
      <c r="R13" s="5">
        <f ca="1">(VLOOKUP(K13,'Summary Calculations (hide)'!$D$15:$L$67,8,0)+VLOOKUP(K13,'Summary Calculations (hide)'!$D$15:$L$67,9,0))*IF(Summary!$C$8="Patients",'Summary Calculations (hide)'!$I$9,1)</f>
        <v>20</v>
      </c>
      <c r="AA13">
        <f ca="1">IF(Summary!$C$8="Patients", 'Parameters calculator (hide)'!$H$63,'Parameters calculator (hide)'!$H$62)</f>
        <v>539.6</v>
      </c>
      <c r="AB13" s="67">
        <f ca="1">IF(Summary!$C$8="Patients", 'Parameters calculator (hide)'!$I$63,'Parameters calculator (hide)'!$I$62)</f>
        <v>596.4</v>
      </c>
      <c r="AC13">
        <f ca="1">AB13-AA13</f>
        <v>56.799999999999955</v>
      </c>
    </row>
    <row r="14" spans="1:29" x14ac:dyDescent="0.25">
      <c r="A14" t="s">
        <v>1124</v>
      </c>
      <c r="B14" s="3">
        <f ca="1">1 - B7</f>
        <v>0.92</v>
      </c>
      <c r="C14" s="51" t="s">
        <v>1151</v>
      </c>
      <c r="H14" s="298">
        <f>'Summary Calculations (hide)'!A16</f>
        <v>43941</v>
      </c>
      <c r="I14" t="str">
        <f>'Summary Calculations (hide)'!B16</f>
        <v/>
      </c>
      <c r="J14" t="str">
        <f>'Summary Calculations (hide)'!C16</f>
        <v/>
      </c>
      <c r="K14">
        <f>'Summary Calculations (hide)'!D16</f>
        <v>17</v>
      </c>
      <c r="L14" s="67">
        <f ca="1">VLOOKUP($K14,'SPC background (hide)'!$AG$2:$AS$54,3,0)</f>
        <v>1</v>
      </c>
      <c r="M14" s="67">
        <f t="shared" ref="M14:M64" ca="1" si="0">((VLOOKUP(L14,$H$4:$N$8,4,FALSE)*(1-$B$5)*(1-$B$6+($B$7*$B$8))))</f>
        <v>142.0497</v>
      </c>
      <c r="N14" s="67">
        <f t="shared" ref="N14:N64" ca="1" si="1">((VLOOKUP(L14,$H$4:$N$8,5,FALSE)*(1-$B$5)*(1-$B$6+($B$7*$B$8))))</f>
        <v>5.7151595744680854</v>
      </c>
      <c r="O14" s="67"/>
      <c r="P14" s="67"/>
      <c r="Q14" s="67"/>
      <c r="R14" s="5">
        <f ca="1">(VLOOKUP(K14,'Summary Calculations (hide)'!$D$15:$L$67,8,0)+VLOOKUP(K14,'Summary Calculations (hide)'!$D$15:$L$67,9,0))*IF(Summary!$C$8="Patients",'Summary Calculations (hide)'!$I$9,1)</f>
        <v>20</v>
      </c>
      <c r="AA14" s="67">
        <f ca="1">IF(Summary!$C$8="Patients", 'Parameters calculator (hide)'!$H$63,'Parameters calculator (hide)'!$H$62)</f>
        <v>539.6</v>
      </c>
      <c r="AB14" s="67">
        <f ca="1">IF(Summary!$C$8="Patients", 'Parameters calculator (hide)'!$I$63,'Parameters calculator (hide)'!$I$62)</f>
        <v>596.4</v>
      </c>
      <c r="AC14" s="67">
        <f t="shared" ref="AC14:AC64" ca="1" si="2">AB14-AA14</f>
        <v>56.799999999999955</v>
      </c>
    </row>
    <row r="15" spans="1:29" x14ac:dyDescent="0.25">
      <c r="A15" t="s">
        <v>1125</v>
      </c>
      <c r="B15" s="3">
        <f ca="1">B7*B8</f>
        <v>6.3999999999999987E-2</v>
      </c>
      <c r="C15" s="51" t="s">
        <v>1152</v>
      </c>
      <c r="H15" s="298">
        <f>'Summary Calculations (hide)'!A17</f>
        <v>43948</v>
      </c>
      <c r="I15" t="str">
        <f>'Summary Calculations (hide)'!B17</f>
        <v/>
      </c>
      <c r="J15" t="str">
        <f>'Summary Calculations (hide)'!C17</f>
        <v/>
      </c>
      <c r="K15">
        <f>'Summary Calculations (hide)'!D17</f>
        <v>18</v>
      </c>
      <c r="L15" s="67">
        <f ca="1">VLOOKUP($K15,'SPC background (hide)'!$AG$2:$AS$54,3,0)</f>
        <v>1</v>
      </c>
      <c r="M15" s="67">
        <f t="shared" ca="1" si="0"/>
        <v>142.0497</v>
      </c>
      <c r="N15" s="67">
        <f t="shared" ca="1" si="1"/>
        <v>5.7151595744680854</v>
      </c>
      <c r="O15" s="67"/>
      <c r="P15" s="67"/>
      <c r="Q15" s="67"/>
      <c r="R15" s="5">
        <f ca="1">(VLOOKUP(K15,'Summary Calculations (hide)'!$D$15:$L$67,8,0)+VLOOKUP(K15,'Summary Calculations (hide)'!$D$15:$L$67,9,0))*IF(Summary!$C$8="Patients",'Summary Calculations (hide)'!$I$9,1)</f>
        <v>20</v>
      </c>
      <c r="AA15" s="67">
        <f ca="1">IF(Summary!$C$8="Patients", 'Parameters calculator (hide)'!$H$63,'Parameters calculator (hide)'!$H$62)</f>
        <v>539.6</v>
      </c>
      <c r="AB15" s="67">
        <f ca="1">IF(Summary!$C$8="Patients", 'Parameters calculator (hide)'!$I$63,'Parameters calculator (hide)'!$I$62)</f>
        <v>596.4</v>
      </c>
      <c r="AC15" s="67">
        <f t="shared" ca="1" si="2"/>
        <v>56.799999999999955</v>
      </c>
    </row>
    <row r="16" spans="1:29" x14ac:dyDescent="0.25">
      <c r="A16" t="s">
        <v>1135</v>
      </c>
      <c r="B16" s="3">
        <f ca="1">B14+B15</f>
        <v>0.98399999999999999</v>
      </c>
      <c r="C16" s="51" t="s">
        <v>1129</v>
      </c>
      <c r="H16" s="298">
        <f>'Summary Calculations (hide)'!A18</f>
        <v>43955</v>
      </c>
      <c r="I16" t="str">
        <f>'Summary Calculations (hide)'!B18</f>
        <v/>
      </c>
      <c r="J16" t="str">
        <f>'Summary Calculations (hide)'!C18</f>
        <v>May</v>
      </c>
      <c r="K16">
        <f>'Summary Calculations (hide)'!D18</f>
        <v>19</v>
      </c>
      <c r="L16" s="67">
        <f ca="1">VLOOKUP($K16,'SPC background (hide)'!$AG$2:$AS$54,3,0)</f>
        <v>1</v>
      </c>
      <c r="M16" s="67">
        <f t="shared" ca="1" si="0"/>
        <v>142.0497</v>
      </c>
      <c r="N16" s="67">
        <f t="shared" ca="1" si="1"/>
        <v>5.7151595744680854</v>
      </c>
      <c r="O16" s="67"/>
      <c r="P16" s="67"/>
      <c r="Q16" s="67"/>
      <c r="R16" s="5">
        <f ca="1">(VLOOKUP(K16,'Summary Calculations (hide)'!$D$15:$L$67,8,0)+VLOOKUP(K16,'Summary Calculations (hide)'!$D$15:$L$67,9,0))*IF(Summary!$C$8="Patients",'Summary Calculations (hide)'!$I$9,1)</f>
        <v>20</v>
      </c>
      <c r="AA16" s="67">
        <f ca="1">IF(Summary!$C$8="Patients", 'Parameters calculator (hide)'!$H$63,'Parameters calculator (hide)'!$H$62)</f>
        <v>539.6</v>
      </c>
      <c r="AB16" s="67">
        <f ca="1">IF(Summary!$C$8="Patients", 'Parameters calculator (hide)'!$I$63,'Parameters calculator (hide)'!$I$62)</f>
        <v>596.4</v>
      </c>
      <c r="AC16" s="67">
        <f t="shared" ca="1" si="2"/>
        <v>56.799999999999955</v>
      </c>
    </row>
    <row r="17" spans="1:29" x14ac:dyDescent="0.25">
      <c r="H17" s="298">
        <f>'Summary Calculations (hide)'!A19</f>
        <v>43962</v>
      </c>
      <c r="I17" t="str">
        <f>'Summary Calculations (hide)'!B19</f>
        <v/>
      </c>
      <c r="J17" t="str">
        <f>'Summary Calculations (hide)'!C19</f>
        <v/>
      </c>
      <c r="K17">
        <f>'Summary Calculations (hide)'!D19</f>
        <v>20</v>
      </c>
      <c r="L17" s="67">
        <f ca="1">VLOOKUP($K17,'SPC background (hide)'!$AG$2:$AS$54,3,0)</f>
        <v>5</v>
      </c>
      <c r="M17" s="67">
        <f t="shared" ca="1" si="0"/>
        <v>142.0497</v>
      </c>
      <c r="N17" s="67">
        <f t="shared" ca="1" si="1"/>
        <v>5.7151595744680854</v>
      </c>
      <c r="O17" s="67"/>
      <c r="P17" s="67"/>
      <c r="Q17" s="67"/>
      <c r="R17" s="5">
        <f ca="1">(VLOOKUP(K17,'Summary Calculations (hide)'!$D$15:$L$67,8,0)+VLOOKUP(K17,'Summary Calculations (hide)'!$D$15:$L$67,9,0))*IF(Summary!$C$8="Patients",'Summary Calculations (hide)'!$I$9,1)</f>
        <v>20</v>
      </c>
      <c r="AA17" s="67">
        <f ca="1">IF(Summary!$C$8="Patients", 'Parameters calculator (hide)'!$H$63,'Parameters calculator (hide)'!$H$62)</f>
        <v>539.6</v>
      </c>
      <c r="AB17" s="67">
        <f ca="1">IF(Summary!$C$8="Patients", 'Parameters calculator (hide)'!$I$63,'Parameters calculator (hide)'!$I$62)</f>
        <v>596.4</v>
      </c>
      <c r="AC17" s="67">
        <f t="shared" ca="1" si="2"/>
        <v>56.799999999999955</v>
      </c>
    </row>
    <row r="18" spans="1:29" x14ac:dyDescent="0.25">
      <c r="A18" s="3"/>
      <c r="B18" s="3"/>
      <c r="C18" s="3"/>
      <c r="H18" s="298">
        <f>'Summary Calculations (hide)'!A20</f>
        <v>43969</v>
      </c>
      <c r="I18" t="str">
        <f>'Summary Calculations (hide)'!B20</f>
        <v/>
      </c>
      <c r="J18" t="str">
        <f>'Summary Calculations (hide)'!C20</f>
        <v/>
      </c>
      <c r="K18">
        <f>'Summary Calculations (hide)'!D20</f>
        <v>21</v>
      </c>
      <c r="L18" s="67">
        <f ca="1">VLOOKUP($K18,'SPC background (hide)'!$AG$2:$AS$54,3,0)</f>
        <v>5</v>
      </c>
      <c r="M18" s="67">
        <f t="shared" ca="1" si="0"/>
        <v>142.0497</v>
      </c>
      <c r="N18" s="67">
        <f t="shared" ca="1" si="1"/>
        <v>5.7151595744680854</v>
      </c>
      <c r="O18" s="67"/>
      <c r="P18" s="67"/>
      <c r="Q18" s="67"/>
      <c r="R18" s="5">
        <f ca="1">(VLOOKUP(K18,'Summary Calculations (hide)'!$D$15:$L$67,8,0)+VLOOKUP(K18,'Summary Calculations (hide)'!$D$15:$L$67,9,0))*IF(Summary!$C$8="Patients",'Summary Calculations (hide)'!$I$9,1)</f>
        <v>20</v>
      </c>
      <c r="AA18" s="67">
        <f ca="1">IF(Summary!$C$8="Patients", 'Parameters calculator (hide)'!$H$63,'Parameters calculator (hide)'!$H$62)</f>
        <v>539.6</v>
      </c>
      <c r="AB18" s="67">
        <f ca="1">IF(Summary!$C$8="Patients", 'Parameters calculator (hide)'!$I$63,'Parameters calculator (hide)'!$I$62)</f>
        <v>596.4</v>
      </c>
      <c r="AC18" s="67">
        <f t="shared" ca="1" si="2"/>
        <v>56.799999999999955</v>
      </c>
    </row>
    <row r="19" spans="1:29" x14ac:dyDescent="0.25">
      <c r="A19" s="3"/>
      <c r="B19" s="3"/>
      <c r="C19" s="3"/>
      <c r="H19" s="298">
        <f>'Summary Calculations (hide)'!A21</f>
        <v>43976</v>
      </c>
      <c r="I19" t="str">
        <f>'Summary Calculations (hide)'!B21</f>
        <v/>
      </c>
      <c r="J19" t="str">
        <f>'Summary Calculations (hide)'!C21</f>
        <v/>
      </c>
      <c r="K19">
        <f>'Summary Calculations (hide)'!D21</f>
        <v>22</v>
      </c>
      <c r="L19" s="67">
        <f ca="1">VLOOKUP($K19,'SPC background (hide)'!$AG$2:$AS$54,3,0)</f>
        <v>5</v>
      </c>
      <c r="M19" s="67">
        <f t="shared" ca="1" si="0"/>
        <v>142.0497</v>
      </c>
      <c r="N19" s="67">
        <f t="shared" ca="1" si="1"/>
        <v>5.7151595744680854</v>
      </c>
      <c r="O19" s="67"/>
      <c r="P19" s="67"/>
      <c r="Q19" s="67"/>
      <c r="R19" s="5">
        <f ca="1">(VLOOKUP(K19,'Summary Calculations (hide)'!$D$15:$L$67,8,0)+VLOOKUP(K19,'Summary Calculations (hide)'!$D$15:$L$67,9,0))*IF(Summary!$C$8="Patients",'Summary Calculations (hide)'!$I$9,1)</f>
        <v>40</v>
      </c>
      <c r="AA19" s="67">
        <f ca="1">IF(Summary!$C$8="Patients", 'Parameters calculator (hide)'!$H$63,'Parameters calculator (hide)'!$H$62)</f>
        <v>539.6</v>
      </c>
      <c r="AB19" s="67">
        <f ca="1">IF(Summary!$C$8="Patients", 'Parameters calculator (hide)'!$I$63,'Parameters calculator (hide)'!$I$62)</f>
        <v>596.4</v>
      </c>
      <c r="AC19" s="67">
        <f t="shared" ca="1" si="2"/>
        <v>56.799999999999955</v>
      </c>
    </row>
    <row r="20" spans="1:29" x14ac:dyDescent="0.25">
      <c r="A20" s="3"/>
      <c r="B20" s="3"/>
      <c r="C20" s="3"/>
      <c r="H20" s="298">
        <f>'Summary Calculations (hide)'!A22</f>
        <v>43983</v>
      </c>
      <c r="I20" t="str">
        <f>'Summary Calculations (hide)'!B22</f>
        <v/>
      </c>
      <c r="J20" t="str">
        <f>'Summary Calculations (hide)'!C22</f>
        <v>Jun</v>
      </c>
      <c r="K20">
        <f>'Summary Calculations (hide)'!D22</f>
        <v>23</v>
      </c>
      <c r="L20" s="67">
        <f ca="1">VLOOKUP($K20,'SPC background (hide)'!$AG$2:$AS$54,3,0)</f>
        <v>5</v>
      </c>
      <c r="M20" s="67">
        <f t="shared" ca="1" si="0"/>
        <v>142.0497</v>
      </c>
      <c r="N20" s="67">
        <f t="shared" ca="1" si="1"/>
        <v>5.7151595744680854</v>
      </c>
      <c r="O20" s="67"/>
      <c r="P20" s="67"/>
      <c r="Q20" s="67"/>
      <c r="R20" s="5">
        <f ca="1">(VLOOKUP(K20,'Summary Calculations (hide)'!$D$15:$L$67,8,0)+VLOOKUP(K20,'Summary Calculations (hide)'!$D$15:$L$67,9,0))*IF(Summary!$C$8="Patients",'Summary Calculations (hide)'!$I$9,1)</f>
        <v>80</v>
      </c>
      <c r="AA20" s="67">
        <f ca="1">IF(Summary!$C$8="Patients", 'Parameters calculator (hide)'!$H$63,'Parameters calculator (hide)'!$H$62)</f>
        <v>539.6</v>
      </c>
      <c r="AB20" s="67">
        <f ca="1">IF(Summary!$C$8="Patients", 'Parameters calculator (hide)'!$I$63,'Parameters calculator (hide)'!$I$62)</f>
        <v>596.4</v>
      </c>
      <c r="AC20" s="67">
        <f t="shared" ca="1" si="2"/>
        <v>56.799999999999955</v>
      </c>
    </row>
    <row r="21" spans="1:29" x14ac:dyDescent="0.25">
      <c r="A21" s="3"/>
      <c r="B21" s="3"/>
      <c r="C21" s="3"/>
      <c r="H21" s="298">
        <f>'Summary Calculations (hide)'!A23</f>
        <v>43990</v>
      </c>
      <c r="I21" t="str">
        <f>'Summary Calculations (hide)'!B23</f>
        <v/>
      </c>
      <c r="J21" t="str">
        <f>'Summary Calculations (hide)'!C23</f>
        <v/>
      </c>
      <c r="K21">
        <f>'Summary Calculations (hide)'!D23</f>
        <v>24</v>
      </c>
      <c r="L21" s="67">
        <f ca="1">VLOOKUP($K21,'SPC background (hide)'!$AG$2:$AS$54,3,0)</f>
        <v>5</v>
      </c>
      <c r="M21" s="67">
        <f t="shared" ca="1" si="0"/>
        <v>142.0497</v>
      </c>
      <c r="N21" s="67">
        <f t="shared" ca="1" si="1"/>
        <v>5.7151595744680854</v>
      </c>
      <c r="O21" s="67"/>
      <c r="P21" s="67"/>
      <c r="Q21" s="67"/>
      <c r="R21" s="5">
        <f ca="1">(VLOOKUP(K21,'Summary Calculations (hide)'!$D$15:$L$67,8,0)+VLOOKUP(K21,'Summary Calculations (hide)'!$D$15:$L$67,9,0))*IF(Summary!$C$8="Patients",'Summary Calculations (hide)'!$I$9,1)</f>
        <v>120</v>
      </c>
      <c r="AA21" s="67">
        <f ca="1">IF(Summary!$C$8="Patients", 'Parameters calculator (hide)'!$H$63,'Parameters calculator (hide)'!$H$62)</f>
        <v>539.6</v>
      </c>
      <c r="AB21" s="67">
        <f ca="1">IF(Summary!$C$8="Patients", 'Parameters calculator (hide)'!$I$63,'Parameters calculator (hide)'!$I$62)</f>
        <v>596.4</v>
      </c>
      <c r="AC21" s="67">
        <f t="shared" ca="1" si="2"/>
        <v>56.799999999999955</v>
      </c>
    </row>
    <row r="22" spans="1:29" x14ac:dyDescent="0.25">
      <c r="A22" s="3"/>
      <c r="B22" s="3"/>
      <c r="C22" s="3"/>
      <c r="H22" s="298">
        <f>'Summary Calculations (hide)'!A24</f>
        <v>43997</v>
      </c>
      <c r="I22" t="str">
        <f>'Summary Calculations (hide)'!B24</f>
        <v/>
      </c>
      <c r="J22" t="str">
        <f>'Summary Calculations (hide)'!C24</f>
        <v/>
      </c>
      <c r="K22">
        <f>'Summary Calculations (hide)'!D24</f>
        <v>25</v>
      </c>
      <c r="L22" s="67">
        <f ca="1">VLOOKUP($K22,'SPC background (hide)'!$AG$2:$AS$54,3,0)</f>
        <v>5</v>
      </c>
      <c r="M22" s="67">
        <f t="shared" ca="1" si="0"/>
        <v>142.0497</v>
      </c>
      <c r="N22" s="67">
        <f t="shared" ca="1" si="1"/>
        <v>5.7151595744680854</v>
      </c>
      <c r="O22" s="67"/>
      <c r="P22" s="67"/>
      <c r="Q22" s="67"/>
      <c r="R22" s="5">
        <f ca="1">(VLOOKUP(K22,'Summary Calculations (hide)'!$D$15:$L$67,8,0)+VLOOKUP(K22,'Summary Calculations (hide)'!$D$15:$L$67,9,0))*IF(Summary!$C$8="Patients",'Summary Calculations (hide)'!$I$9,1)</f>
        <v>150</v>
      </c>
      <c r="AA22" s="67">
        <f ca="1">IF(Summary!$C$8="Patients", 'Parameters calculator (hide)'!$H$63,'Parameters calculator (hide)'!$H$62)</f>
        <v>539.6</v>
      </c>
      <c r="AB22" s="67">
        <f ca="1">IF(Summary!$C$8="Patients", 'Parameters calculator (hide)'!$I$63,'Parameters calculator (hide)'!$I$62)</f>
        <v>596.4</v>
      </c>
      <c r="AC22" s="67">
        <f t="shared" ca="1" si="2"/>
        <v>56.799999999999955</v>
      </c>
    </row>
    <row r="23" spans="1:29" x14ac:dyDescent="0.25">
      <c r="A23" s="3"/>
      <c r="B23" s="3"/>
      <c r="C23" s="3"/>
      <c r="H23" s="298">
        <f>'Summary Calculations (hide)'!A25</f>
        <v>44004</v>
      </c>
      <c r="I23" t="str">
        <f>'Summary Calculations (hide)'!B25</f>
        <v/>
      </c>
      <c r="J23" t="str">
        <f>'Summary Calculations (hide)'!C25</f>
        <v/>
      </c>
      <c r="K23">
        <f>'Summary Calculations (hide)'!D25</f>
        <v>26</v>
      </c>
      <c r="L23" s="67">
        <f ca="1">VLOOKUP($K23,'SPC background (hide)'!$AG$2:$AS$54,3,0)</f>
        <v>5</v>
      </c>
      <c r="M23" s="67">
        <f t="shared" ca="1" si="0"/>
        <v>142.0497</v>
      </c>
      <c r="N23" s="67">
        <f t="shared" ca="1" si="1"/>
        <v>5.7151595744680854</v>
      </c>
      <c r="O23" s="67"/>
      <c r="P23" s="67"/>
      <c r="Q23" s="67"/>
      <c r="R23" s="5">
        <f ca="1">(VLOOKUP(K23,'Summary Calculations (hide)'!$D$15:$L$67,8,0)+VLOOKUP(K23,'Summary Calculations (hide)'!$D$15:$L$67,9,0))*IF(Summary!$C$8="Patients",'Summary Calculations (hide)'!$I$9,1)</f>
        <v>180</v>
      </c>
      <c r="AA23" s="67">
        <f ca="1">IF(Summary!$C$8="Patients", 'Parameters calculator (hide)'!$H$63,'Parameters calculator (hide)'!$H$62)</f>
        <v>539.6</v>
      </c>
      <c r="AB23" s="67">
        <f ca="1">IF(Summary!$C$8="Patients", 'Parameters calculator (hide)'!$I$63,'Parameters calculator (hide)'!$I$62)</f>
        <v>596.4</v>
      </c>
      <c r="AC23" s="67">
        <f t="shared" ca="1" si="2"/>
        <v>56.799999999999955</v>
      </c>
    </row>
    <row r="24" spans="1:29" x14ac:dyDescent="0.25">
      <c r="A24" s="3"/>
      <c r="B24" s="3"/>
      <c r="C24" s="3"/>
      <c r="H24" s="298">
        <f>'Summary Calculations (hide)'!A26</f>
        <v>44011</v>
      </c>
      <c r="I24" t="str">
        <f>'Summary Calculations (hide)'!B26</f>
        <v/>
      </c>
      <c r="J24" t="str">
        <f>'Summary Calculations (hide)'!C26</f>
        <v/>
      </c>
      <c r="K24">
        <f>'Summary Calculations (hide)'!D26</f>
        <v>27</v>
      </c>
      <c r="L24" s="67">
        <f ca="1">VLOOKUP($K24,'SPC background (hide)'!$AG$2:$AS$54,3,0)</f>
        <v>5</v>
      </c>
      <c r="M24" s="67">
        <f t="shared" ca="1" si="0"/>
        <v>142.0497</v>
      </c>
      <c r="N24" s="67">
        <f t="shared" ca="1" si="1"/>
        <v>5.7151595744680854</v>
      </c>
      <c r="O24" s="67"/>
      <c r="P24" s="67"/>
      <c r="Q24" s="67"/>
      <c r="R24" s="5">
        <f ca="1">(VLOOKUP(K24,'Summary Calculations (hide)'!$D$15:$L$67,8,0)+VLOOKUP(K24,'Summary Calculations (hide)'!$D$15:$L$67,9,0))*IF(Summary!$C$8="Patients",'Summary Calculations (hide)'!$I$9,1)</f>
        <v>180</v>
      </c>
      <c r="AA24" s="67">
        <f ca="1">IF(Summary!$C$8="Patients", 'Parameters calculator (hide)'!$H$63,'Parameters calculator (hide)'!$H$62)</f>
        <v>539.6</v>
      </c>
      <c r="AB24" s="67">
        <f ca="1">IF(Summary!$C$8="Patients", 'Parameters calculator (hide)'!$I$63,'Parameters calculator (hide)'!$I$62)</f>
        <v>596.4</v>
      </c>
      <c r="AC24" s="67">
        <f t="shared" ca="1" si="2"/>
        <v>56.799999999999955</v>
      </c>
    </row>
    <row r="25" spans="1:29" x14ac:dyDescent="0.25">
      <c r="A25" s="3"/>
      <c r="B25" s="3"/>
      <c r="C25" s="3"/>
      <c r="H25" s="298">
        <f>'Summary Calculations (hide)'!A27</f>
        <v>44018</v>
      </c>
      <c r="I25" t="str">
        <f>'Summary Calculations (hide)'!B27</f>
        <v/>
      </c>
      <c r="J25" t="str">
        <f>'Summary Calculations (hide)'!C27</f>
        <v>Jul</v>
      </c>
      <c r="K25">
        <f>'Summary Calculations (hide)'!D27</f>
        <v>28</v>
      </c>
      <c r="L25" s="67">
        <f ca="1">VLOOKUP($K25,'SPC background (hide)'!$AG$2:$AS$54,3,0)</f>
        <v>5</v>
      </c>
      <c r="M25" s="67">
        <f t="shared" ca="1" si="0"/>
        <v>142.0497</v>
      </c>
      <c r="N25" s="67">
        <f t="shared" ca="1" si="1"/>
        <v>5.7151595744680854</v>
      </c>
      <c r="O25" s="67"/>
      <c r="P25" s="67"/>
      <c r="Q25" s="67"/>
      <c r="R25" s="5">
        <f ca="1">(VLOOKUP(K25,'Summary Calculations (hide)'!$D$15:$L$67,8,0)+VLOOKUP(K25,'Summary Calculations (hide)'!$D$15:$L$67,9,0))*IF(Summary!$C$8="Patients",'Summary Calculations (hide)'!$I$9,1)</f>
        <v>171.53846153846155</v>
      </c>
      <c r="AA25" s="67">
        <f ca="1">IF(Summary!$C$8="Patients", 'Parameters calculator (hide)'!$H$63,'Parameters calculator (hide)'!$H$62)</f>
        <v>539.6</v>
      </c>
      <c r="AB25" s="67">
        <f ca="1">IF(Summary!$C$8="Patients", 'Parameters calculator (hide)'!$I$63,'Parameters calculator (hide)'!$I$62)</f>
        <v>596.4</v>
      </c>
      <c r="AC25" s="67">
        <f t="shared" ca="1" si="2"/>
        <v>56.799999999999955</v>
      </c>
    </row>
    <row r="26" spans="1:29" x14ac:dyDescent="0.25">
      <c r="A26" s="3"/>
      <c r="B26" s="3"/>
      <c r="C26" s="304"/>
      <c r="H26" s="298">
        <f>'Summary Calculations (hide)'!A28</f>
        <v>44025</v>
      </c>
      <c r="I26" t="str">
        <f>'Summary Calculations (hide)'!B28</f>
        <v/>
      </c>
      <c r="J26" t="str">
        <f>'Summary Calculations (hide)'!C28</f>
        <v/>
      </c>
      <c r="K26">
        <f>'Summary Calculations (hide)'!D28</f>
        <v>29</v>
      </c>
      <c r="L26" s="67">
        <f ca="1">VLOOKUP($K26,'SPC background (hide)'!$AG$2:$AS$54,3,0)</f>
        <v>5</v>
      </c>
      <c r="M26" s="67">
        <f t="shared" ca="1" si="0"/>
        <v>142.0497</v>
      </c>
      <c r="N26" s="67">
        <f t="shared" ca="1" si="1"/>
        <v>5.7151595744680854</v>
      </c>
      <c r="O26" s="67"/>
      <c r="P26" s="67"/>
      <c r="Q26" s="67"/>
      <c r="R26" s="5">
        <f ca="1">(VLOOKUP(K26,'Summary Calculations (hide)'!$D$15:$L$67,8,0)+VLOOKUP(K26,'Summary Calculations (hide)'!$D$15:$L$67,9,0))*IF(Summary!$C$8="Patients",'Summary Calculations (hide)'!$I$9,1)</f>
        <v>171.53846153846155</v>
      </c>
      <c r="AA26" s="67">
        <f ca="1">IF(Summary!$C$8="Patients", 'Parameters calculator (hide)'!$H$63,'Parameters calculator (hide)'!$H$62)</f>
        <v>539.6</v>
      </c>
      <c r="AB26" s="67">
        <f ca="1">IF(Summary!$C$8="Patients", 'Parameters calculator (hide)'!$I$63,'Parameters calculator (hide)'!$I$62)</f>
        <v>596.4</v>
      </c>
      <c r="AC26" s="67">
        <f t="shared" ca="1" si="2"/>
        <v>56.799999999999955</v>
      </c>
    </row>
    <row r="27" spans="1:29" x14ac:dyDescent="0.25">
      <c r="A27" s="3"/>
      <c r="B27" s="3"/>
      <c r="C27" s="3"/>
      <c r="H27" s="298">
        <f>'Summary Calculations (hide)'!A29</f>
        <v>44032</v>
      </c>
      <c r="I27" t="str">
        <f>'Summary Calculations (hide)'!B29</f>
        <v/>
      </c>
      <c r="J27" t="str">
        <f>'Summary Calculations (hide)'!C29</f>
        <v/>
      </c>
      <c r="K27">
        <f>'Summary Calculations (hide)'!D29</f>
        <v>30</v>
      </c>
      <c r="L27" s="67">
        <f ca="1">VLOOKUP($K27,'SPC background (hide)'!$AG$2:$AS$54,3,0)</f>
        <v>5</v>
      </c>
      <c r="M27" s="67">
        <f t="shared" ca="1" si="0"/>
        <v>142.0497</v>
      </c>
      <c r="N27" s="67">
        <f t="shared" ca="1" si="1"/>
        <v>5.7151595744680854</v>
      </c>
      <c r="O27" s="67"/>
      <c r="P27" s="67"/>
      <c r="Q27" s="67"/>
      <c r="R27" s="5">
        <f ca="1">(VLOOKUP(K27,'Summary Calculations (hide)'!$D$15:$L$67,8,0)+VLOOKUP(K27,'Summary Calculations (hide)'!$D$15:$L$67,9,0))*IF(Summary!$C$8="Patients",'Summary Calculations (hide)'!$I$9,1)</f>
        <v>171.53846153846155</v>
      </c>
      <c r="AA27" s="67">
        <f ca="1">IF(Summary!$C$8="Patients", 'Parameters calculator (hide)'!$H$63,'Parameters calculator (hide)'!$H$62)</f>
        <v>539.6</v>
      </c>
      <c r="AB27" s="67">
        <f ca="1">IF(Summary!$C$8="Patients", 'Parameters calculator (hide)'!$I$63,'Parameters calculator (hide)'!$I$62)</f>
        <v>596.4</v>
      </c>
      <c r="AC27" s="67">
        <f t="shared" ca="1" si="2"/>
        <v>56.799999999999955</v>
      </c>
    </row>
    <row r="28" spans="1:29" x14ac:dyDescent="0.25">
      <c r="A28" s="3"/>
      <c r="B28" s="3"/>
      <c r="C28" s="3"/>
      <c r="H28" s="298">
        <f>'Summary Calculations (hide)'!A30</f>
        <v>44039</v>
      </c>
      <c r="I28" t="str">
        <f>'Summary Calculations (hide)'!B30</f>
        <v/>
      </c>
      <c r="J28" t="str">
        <f>'Summary Calculations (hide)'!C30</f>
        <v/>
      </c>
      <c r="K28">
        <f>'Summary Calculations (hide)'!D30</f>
        <v>31</v>
      </c>
      <c r="L28" s="67">
        <f ca="1">VLOOKUP($K28,'SPC background (hide)'!$AG$2:$AS$54,3,0)</f>
        <v>5</v>
      </c>
      <c r="M28" s="67">
        <f t="shared" ca="1" si="0"/>
        <v>142.0497</v>
      </c>
      <c r="N28" s="67">
        <f t="shared" ca="1" si="1"/>
        <v>5.7151595744680854</v>
      </c>
      <c r="O28" s="67"/>
      <c r="P28" s="67"/>
      <c r="Q28" s="67"/>
      <c r="R28" s="5">
        <f ca="1">(VLOOKUP(K28,'Summary Calculations (hide)'!$D$15:$L$67,8,0)+VLOOKUP(K28,'Summary Calculations (hide)'!$D$15:$L$67,9,0))*IF(Summary!$C$8="Patients",'Summary Calculations (hide)'!$I$9,1)</f>
        <v>161.53846153846155</v>
      </c>
      <c r="AA28" s="67">
        <f ca="1">IF(Summary!$C$8="Patients", 'Parameters calculator (hide)'!$H$63,'Parameters calculator (hide)'!$H$62)</f>
        <v>539.6</v>
      </c>
      <c r="AB28" s="67">
        <f ca="1">IF(Summary!$C$8="Patients", 'Parameters calculator (hide)'!$I$63,'Parameters calculator (hide)'!$I$62)</f>
        <v>596.4</v>
      </c>
      <c r="AC28" s="67">
        <f t="shared" ca="1" si="2"/>
        <v>56.799999999999955</v>
      </c>
    </row>
    <row r="29" spans="1:29" x14ac:dyDescent="0.25">
      <c r="A29" s="3"/>
      <c r="B29" s="3"/>
      <c r="C29" s="3"/>
      <c r="H29" s="298">
        <f>'Summary Calculations (hide)'!A31</f>
        <v>44046</v>
      </c>
      <c r="I29" t="str">
        <f>'Summary Calculations (hide)'!B31</f>
        <v/>
      </c>
      <c r="J29" t="str">
        <f>'Summary Calculations (hide)'!C31</f>
        <v>Aug</v>
      </c>
      <c r="K29">
        <f>'Summary Calculations (hide)'!D31</f>
        <v>32</v>
      </c>
      <c r="L29" s="67">
        <f ca="1">VLOOKUP($K29,'SPC background (hide)'!$AG$2:$AS$54,3,0)</f>
        <v>5</v>
      </c>
      <c r="M29" s="67">
        <f t="shared" ca="1" si="0"/>
        <v>142.0497</v>
      </c>
      <c r="N29" s="67">
        <f t="shared" ca="1" si="1"/>
        <v>5.7151595744680854</v>
      </c>
      <c r="O29" s="67"/>
      <c r="P29" s="67"/>
      <c r="Q29" s="67"/>
      <c r="R29" s="5">
        <f ca="1">(VLOOKUP(K29,'Summary Calculations (hide)'!$D$15:$L$67,8,0)+VLOOKUP(K29,'Summary Calculations (hide)'!$D$15:$L$67,9,0))*IF(Summary!$C$8="Patients",'Summary Calculations (hide)'!$I$9,1)</f>
        <v>171.53846153846155</v>
      </c>
      <c r="AA29" s="67">
        <f ca="1">IF(Summary!$C$8="Patients", 'Parameters calculator (hide)'!$H$63,'Parameters calculator (hide)'!$H$62)</f>
        <v>539.6</v>
      </c>
      <c r="AB29" s="67">
        <f ca="1">IF(Summary!$C$8="Patients", 'Parameters calculator (hide)'!$I$63,'Parameters calculator (hide)'!$I$62)</f>
        <v>596.4</v>
      </c>
      <c r="AC29" s="67">
        <f t="shared" ca="1" si="2"/>
        <v>56.799999999999955</v>
      </c>
    </row>
    <row r="30" spans="1:29" x14ac:dyDescent="0.25">
      <c r="A30" s="3"/>
      <c r="B30" s="3"/>
      <c r="C30" s="3"/>
      <c r="H30" s="298">
        <f>'Summary Calculations (hide)'!A32</f>
        <v>44053</v>
      </c>
      <c r="I30" t="str">
        <f>'Summary Calculations (hide)'!B32</f>
        <v/>
      </c>
      <c r="J30" t="str">
        <f>'Summary Calculations (hide)'!C32</f>
        <v/>
      </c>
      <c r="K30">
        <f>'Summary Calculations (hide)'!D32</f>
        <v>33</v>
      </c>
      <c r="L30" s="67">
        <f ca="1">VLOOKUP($K30,'SPC background (hide)'!$AG$2:$AS$54,3,0)</f>
        <v>5</v>
      </c>
      <c r="M30" s="67">
        <f t="shared" ca="1" si="0"/>
        <v>142.0497</v>
      </c>
      <c r="N30" s="67">
        <f t="shared" ca="1" si="1"/>
        <v>5.7151595744680854</v>
      </c>
      <c r="O30" s="67"/>
      <c r="P30" s="67"/>
      <c r="Q30" s="67"/>
      <c r="R30" s="5">
        <f ca="1">(VLOOKUP(K30,'Summary Calculations (hide)'!$D$15:$L$67,8,0)+VLOOKUP(K30,'Summary Calculations (hide)'!$D$15:$L$67,9,0))*IF(Summary!$C$8="Patients",'Summary Calculations (hide)'!$I$9,1)</f>
        <v>171.53846153846155</v>
      </c>
      <c r="AA30" s="67">
        <f ca="1">IF(Summary!$C$8="Patients", 'Parameters calculator (hide)'!$H$63,'Parameters calculator (hide)'!$H$62)</f>
        <v>539.6</v>
      </c>
      <c r="AB30" s="67">
        <f ca="1">IF(Summary!$C$8="Patients", 'Parameters calculator (hide)'!$I$63,'Parameters calculator (hide)'!$I$62)</f>
        <v>596.4</v>
      </c>
      <c r="AC30" s="67">
        <f t="shared" ca="1" si="2"/>
        <v>56.799999999999955</v>
      </c>
    </row>
    <row r="31" spans="1:29" x14ac:dyDescent="0.25">
      <c r="A31" s="3"/>
      <c r="B31" s="3"/>
      <c r="C31" s="3"/>
      <c r="H31" s="298">
        <f>'Summary Calculations (hide)'!A33</f>
        <v>44060</v>
      </c>
      <c r="I31" t="str">
        <f>'Summary Calculations (hide)'!B33</f>
        <v/>
      </c>
      <c r="J31" t="str">
        <f>'Summary Calculations (hide)'!C33</f>
        <v/>
      </c>
      <c r="K31">
        <f>'Summary Calculations (hide)'!D33</f>
        <v>34</v>
      </c>
      <c r="L31" s="67">
        <f ca="1">VLOOKUP($K31,'SPC background (hide)'!$AG$2:$AS$54,3,0)</f>
        <v>5</v>
      </c>
      <c r="M31" s="67">
        <f t="shared" ca="1" si="0"/>
        <v>142.0497</v>
      </c>
      <c r="N31" s="67">
        <f t="shared" ca="1" si="1"/>
        <v>5.7151595744680854</v>
      </c>
      <c r="O31" s="67"/>
      <c r="P31" s="67"/>
      <c r="Q31" s="67"/>
      <c r="R31" s="5">
        <f ca="1">(VLOOKUP(K31,'Summary Calculations (hide)'!$D$15:$L$67,8,0)+VLOOKUP(K31,'Summary Calculations (hide)'!$D$15:$L$67,9,0))*IF(Summary!$C$8="Patients",'Summary Calculations (hide)'!$I$9,1)</f>
        <v>161.53846153846155</v>
      </c>
      <c r="AA31" s="67">
        <f ca="1">IF(Summary!$C$8="Patients", 'Parameters calculator (hide)'!$H$63,'Parameters calculator (hide)'!$H$62)</f>
        <v>539.6</v>
      </c>
      <c r="AB31" s="67">
        <f ca="1">IF(Summary!$C$8="Patients", 'Parameters calculator (hide)'!$I$63,'Parameters calculator (hide)'!$I$62)</f>
        <v>596.4</v>
      </c>
      <c r="AC31" s="67">
        <f t="shared" ca="1" si="2"/>
        <v>56.799999999999955</v>
      </c>
    </row>
    <row r="32" spans="1:29" x14ac:dyDescent="0.25">
      <c r="A32" s="3"/>
      <c r="B32" s="3"/>
      <c r="C32" s="3"/>
      <c r="H32" s="298">
        <f>'Summary Calculations (hide)'!A34</f>
        <v>44067</v>
      </c>
      <c r="I32" t="str">
        <f>'Summary Calculations (hide)'!B34</f>
        <v/>
      </c>
      <c r="J32" t="str">
        <f>'Summary Calculations (hide)'!C34</f>
        <v/>
      </c>
      <c r="K32">
        <f>'Summary Calculations (hide)'!D34</f>
        <v>35</v>
      </c>
      <c r="L32" s="67">
        <f ca="1">VLOOKUP($K32,'SPC background (hide)'!$AG$2:$AS$54,3,0)</f>
        <v>5</v>
      </c>
      <c r="M32" s="67">
        <f t="shared" ca="1" si="0"/>
        <v>142.0497</v>
      </c>
      <c r="N32" s="67">
        <f t="shared" ca="1" si="1"/>
        <v>5.7151595744680854</v>
      </c>
      <c r="O32" s="67"/>
      <c r="P32" s="67"/>
      <c r="Q32" s="67"/>
      <c r="R32" s="5">
        <f ca="1">(VLOOKUP(K32,'Summary Calculations (hide)'!$D$15:$L$67,8,0)+VLOOKUP(K32,'Summary Calculations (hide)'!$D$15:$L$67,9,0))*IF(Summary!$C$8="Patients",'Summary Calculations (hide)'!$I$9,1)</f>
        <v>161.53846153846155</v>
      </c>
      <c r="AA32" s="67">
        <f ca="1">IF(Summary!$C$8="Patients", 'Parameters calculator (hide)'!$H$63,'Parameters calculator (hide)'!$H$62)</f>
        <v>539.6</v>
      </c>
      <c r="AB32" s="67">
        <f ca="1">IF(Summary!$C$8="Patients", 'Parameters calculator (hide)'!$I$63,'Parameters calculator (hide)'!$I$62)</f>
        <v>596.4</v>
      </c>
      <c r="AC32" s="67">
        <f t="shared" ca="1" si="2"/>
        <v>56.799999999999955</v>
      </c>
    </row>
    <row r="33" spans="1:29" x14ac:dyDescent="0.25">
      <c r="B33" t="s">
        <v>1154</v>
      </c>
      <c r="H33" s="298">
        <f>'Summary Calculations (hide)'!A35</f>
        <v>44074</v>
      </c>
      <c r="I33" t="str">
        <f>'Summary Calculations (hide)'!B35</f>
        <v/>
      </c>
      <c r="J33" t="str">
        <f>'Summary Calculations (hide)'!C35</f>
        <v/>
      </c>
      <c r="K33">
        <f>'Summary Calculations (hide)'!D35</f>
        <v>36</v>
      </c>
      <c r="L33" s="67">
        <f ca="1">VLOOKUP($K33,'SPC background (hide)'!$AG$2:$AS$54,3,0)</f>
        <v>5</v>
      </c>
      <c r="M33" s="67">
        <f t="shared" ca="1" si="0"/>
        <v>142.0497</v>
      </c>
      <c r="N33" s="67">
        <f t="shared" ca="1" si="1"/>
        <v>5.7151595744680854</v>
      </c>
      <c r="O33" s="67"/>
      <c r="P33" s="67"/>
      <c r="Q33" s="67"/>
      <c r="R33" s="5">
        <f ca="1">(VLOOKUP(K33,'Summary Calculations (hide)'!$D$15:$L$67,8,0)+VLOOKUP(K33,'Summary Calculations (hide)'!$D$15:$L$67,9,0))*IF(Summary!$C$8="Patients",'Summary Calculations (hide)'!$I$9,1)</f>
        <v>161.53846153846155</v>
      </c>
      <c r="AA33" s="67">
        <f ca="1">IF(Summary!$C$8="Patients", 'Parameters calculator (hide)'!$H$63,'Parameters calculator (hide)'!$H$62)</f>
        <v>539.6</v>
      </c>
      <c r="AB33" s="67">
        <f ca="1">IF(Summary!$C$8="Patients", 'Parameters calculator (hide)'!$I$63,'Parameters calculator (hide)'!$I$62)</f>
        <v>596.4</v>
      </c>
      <c r="AC33" s="67">
        <f t="shared" ca="1" si="2"/>
        <v>56.799999999999955</v>
      </c>
    </row>
    <row r="34" spans="1:29" x14ac:dyDescent="0.25">
      <c r="A34" t="s">
        <v>1126</v>
      </c>
      <c r="B34" s="5">
        <f ca="1">'Parameters calculator (hide)'!C79</f>
        <v>152</v>
      </c>
      <c r="H34" s="298">
        <f>'Summary Calculations (hide)'!A36</f>
        <v>44081</v>
      </c>
      <c r="I34" t="str">
        <f>'Summary Calculations (hide)'!B36</f>
        <v/>
      </c>
      <c r="J34" t="str">
        <f>'Summary Calculations (hide)'!C36</f>
        <v>Sep</v>
      </c>
      <c r="K34">
        <f>'Summary Calculations (hide)'!D36</f>
        <v>37</v>
      </c>
      <c r="L34" s="67">
        <f ca="1">VLOOKUP($K34,'SPC background (hide)'!$AG$2:$AS$54,3,0)</f>
        <v>5</v>
      </c>
      <c r="M34" s="67">
        <f t="shared" ca="1" si="0"/>
        <v>142.0497</v>
      </c>
      <c r="N34" s="67">
        <f t="shared" ca="1" si="1"/>
        <v>5.7151595744680854</v>
      </c>
      <c r="O34" s="67"/>
      <c r="P34" s="67"/>
      <c r="Q34" s="67"/>
      <c r="R34" s="5">
        <f ca="1">(VLOOKUP(K34,'Summary Calculations (hide)'!$D$15:$L$67,8,0)+VLOOKUP(K34,'Summary Calculations (hide)'!$D$15:$L$67,9,0))*IF(Summary!$C$8="Patients",'Summary Calculations (hide)'!$I$9,1)</f>
        <v>161.53846153846155</v>
      </c>
      <c r="AA34" s="67">
        <f ca="1">IF(Summary!$C$8="Patients", 'Parameters calculator (hide)'!$H$63,'Parameters calculator (hide)'!$H$62)</f>
        <v>539.6</v>
      </c>
      <c r="AB34" s="67">
        <f ca="1">IF(Summary!$C$8="Patients", 'Parameters calculator (hide)'!$I$63,'Parameters calculator (hide)'!$I$62)</f>
        <v>596.4</v>
      </c>
      <c r="AC34" s="67">
        <f t="shared" ca="1" si="2"/>
        <v>56.799999999999955</v>
      </c>
    </row>
    <row r="35" spans="1:29" x14ac:dyDescent="0.25">
      <c r="H35" s="298">
        <f>'Summary Calculations (hide)'!A37</f>
        <v>44088</v>
      </c>
      <c r="I35" t="str">
        <f>'Summary Calculations (hide)'!B37</f>
        <v/>
      </c>
      <c r="J35" t="str">
        <f>'Summary Calculations (hide)'!C37</f>
        <v/>
      </c>
      <c r="K35">
        <f>'Summary Calculations (hide)'!D37</f>
        <v>38</v>
      </c>
      <c r="L35" s="67">
        <f ca="1">VLOOKUP($K35,'SPC background (hide)'!$AG$2:$AS$54,3,0)</f>
        <v>5</v>
      </c>
      <c r="M35" s="67">
        <f t="shared" ca="1" si="0"/>
        <v>142.0497</v>
      </c>
      <c r="N35" s="67">
        <f t="shared" ca="1" si="1"/>
        <v>5.7151595744680854</v>
      </c>
      <c r="O35" s="67"/>
      <c r="P35" s="67"/>
      <c r="Q35" s="67"/>
      <c r="R35" s="5">
        <f ca="1">(VLOOKUP(K35,'Summary Calculations (hide)'!$D$15:$L$67,8,0)+VLOOKUP(K35,'Summary Calculations (hide)'!$D$15:$L$67,9,0))*IF(Summary!$C$8="Patients",'Summary Calculations (hide)'!$I$9,1)</f>
        <v>161.53846153846155</v>
      </c>
      <c r="AA35" s="67">
        <f ca="1">IF(Summary!$C$8="Patients", 'Parameters calculator (hide)'!$H$63,'Parameters calculator (hide)'!$H$62)</f>
        <v>539.6</v>
      </c>
      <c r="AB35" s="67">
        <f ca="1">IF(Summary!$C$8="Patients", 'Parameters calculator (hide)'!$I$63,'Parameters calculator (hide)'!$I$62)</f>
        <v>596.4</v>
      </c>
      <c r="AC35" s="67">
        <f t="shared" ca="1" si="2"/>
        <v>56.799999999999955</v>
      </c>
    </row>
    <row r="36" spans="1:29" x14ac:dyDescent="0.25">
      <c r="H36" s="298">
        <f>'Summary Calculations (hide)'!A38</f>
        <v>44095</v>
      </c>
      <c r="I36" t="str">
        <f>'Summary Calculations (hide)'!B38</f>
        <v/>
      </c>
      <c r="J36" t="str">
        <f>'Summary Calculations (hide)'!C38</f>
        <v/>
      </c>
      <c r="K36">
        <f>'Summary Calculations (hide)'!D38</f>
        <v>39</v>
      </c>
      <c r="L36" s="67">
        <f ca="1">VLOOKUP($K36,'SPC background (hide)'!$AG$2:$AS$54,3,0)</f>
        <v>5</v>
      </c>
      <c r="M36" s="67">
        <f t="shared" ca="1" si="0"/>
        <v>142.0497</v>
      </c>
      <c r="N36" s="67">
        <f t="shared" ca="1" si="1"/>
        <v>5.7151595744680854</v>
      </c>
      <c r="O36" s="67"/>
      <c r="P36" s="67"/>
      <c r="Q36" s="67"/>
      <c r="R36" s="5">
        <f ca="1">(VLOOKUP(K36,'Summary Calculations (hide)'!$D$15:$L$67,8,0)+VLOOKUP(K36,'Summary Calculations (hide)'!$D$15:$L$67,9,0))*IF(Summary!$C$8="Patients",'Summary Calculations (hide)'!$I$9,1)</f>
        <v>161.53846153846155</v>
      </c>
      <c r="AA36" s="67">
        <f ca="1">IF(Summary!$C$8="Patients", 'Parameters calculator (hide)'!$H$63,'Parameters calculator (hide)'!$H$62)</f>
        <v>539.6</v>
      </c>
      <c r="AB36" s="67">
        <f ca="1">IF(Summary!$C$8="Patients", 'Parameters calculator (hide)'!$I$63,'Parameters calculator (hide)'!$I$62)</f>
        <v>596.4</v>
      </c>
      <c r="AC36" s="67">
        <f t="shared" ca="1" si="2"/>
        <v>56.799999999999955</v>
      </c>
    </row>
    <row r="37" spans="1:29" x14ac:dyDescent="0.25">
      <c r="H37" s="298">
        <f>'Summary Calculations (hide)'!A39</f>
        <v>44102</v>
      </c>
      <c r="I37" t="str">
        <f>'Summary Calculations (hide)'!B39</f>
        <v/>
      </c>
      <c r="J37" t="str">
        <f>'Summary Calculations (hide)'!C39</f>
        <v/>
      </c>
      <c r="K37">
        <f>'Summary Calculations (hide)'!D39</f>
        <v>40</v>
      </c>
      <c r="L37" s="67">
        <f ca="1">VLOOKUP($K37,'SPC background (hide)'!$AG$2:$AS$54,3,0)</f>
        <v>5</v>
      </c>
      <c r="M37" s="67">
        <f t="shared" ca="1" si="0"/>
        <v>142.0497</v>
      </c>
      <c r="N37" s="67">
        <f t="shared" ca="1" si="1"/>
        <v>5.7151595744680854</v>
      </c>
      <c r="O37" s="67"/>
      <c r="P37" s="67"/>
      <c r="Q37" s="67"/>
      <c r="R37" s="5">
        <f ca="1">(VLOOKUP(K37,'Summary Calculations (hide)'!$D$15:$L$67,8,0)+VLOOKUP(K37,'Summary Calculations (hide)'!$D$15:$L$67,9,0))*IF(Summary!$C$8="Patients",'Summary Calculations (hide)'!$I$9,1)</f>
        <v>161.53846153846155</v>
      </c>
      <c r="AA37" s="67">
        <f ca="1">IF(Summary!$C$8="Patients", 'Parameters calculator (hide)'!$H$63,'Parameters calculator (hide)'!$H$62)</f>
        <v>539.6</v>
      </c>
      <c r="AB37" s="67">
        <f ca="1">IF(Summary!$C$8="Patients", 'Parameters calculator (hide)'!$I$63,'Parameters calculator (hide)'!$I$62)</f>
        <v>596.4</v>
      </c>
      <c r="AC37" s="67">
        <f t="shared" ca="1" si="2"/>
        <v>56.799999999999955</v>
      </c>
    </row>
    <row r="38" spans="1:29" x14ac:dyDescent="0.25">
      <c r="H38" s="298">
        <f>'Summary Calculations (hide)'!A40</f>
        <v>44109</v>
      </c>
      <c r="I38" t="str">
        <f>'Summary Calculations (hide)'!B40</f>
        <v/>
      </c>
      <c r="J38" t="str">
        <f>'Summary Calculations (hide)'!C40</f>
        <v>Oct</v>
      </c>
      <c r="K38">
        <f>'Summary Calculations (hide)'!D40</f>
        <v>41</v>
      </c>
      <c r="L38" s="67">
        <f ca="1">VLOOKUP($K38,'SPC background (hide)'!$AG$2:$AS$54,3,0)</f>
        <v>5</v>
      </c>
      <c r="M38" s="67">
        <f t="shared" ca="1" si="0"/>
        <v>142.0497</v>
      </c>
      <c r="N38" s="67">
        <f t="shared" ca="1" si="1"/>
        <v>5.7151595744680854</v>
      </c>
      <c r="O38" s="67"/>
      <c r="P38" s="67"/>
      <c r="Q38" s="67"/>
      <c r="R38" s="5">
        <f ca="1">(VLOOKUP(K38,'Summary Calculations (hide)'!$D$15:$L$67,8,0)+VLOOKUP(K38,'Summary Calculations (hide)'!$D$15:$L$67,9,0))*IF(Summary!$C$8="Patients",'Summary Calculations (hide)'!$I$9,1)</f>
        <v>161.53846153846155</v>
      </c>
      <c r="AA38" s="67">
        <f ca="1">IF(Summary!$C$8="Patients", 'Parameters calculator (hide)'!$H$63,'Parameters calculator (hide)'!$H$62)</f>
        <v>539.6</v>
      </c>
      <c r="AB38" s="67">
        <f ca="1">IF(Summary!$C$8="Patients", 'Parameters calculator (hide)'!$I$63,'Parameters calculator (hide)'!$I$62)</f>
        <v>596.4</v>
      </c>
      <c r="AC38" s="67">
        <f t="shared" ca="1" si="2"/>
        <v>56.799999999999955</v>
      </c>
    </row>
    <row r="39" spans="1:29" x14ac:dyDescent="0.25">
      <c r="H39" s="298">
        <f>'Summary Calculations (hide)'!A41</f>
        <v>44116</v>
      </c>
      <c r="I39" t="str">
        <f>'Summary Calculations (hide)'!B41</f>
        <v/>
      </c>
      <c r="J39" t="str">
        <f>'Summary Calculations (hide)'!C41</f>
        <v/>
      </c>
      <c r="K39">
        <f>'Summary Calculations (hide)'!D41</f>
        <v>42</v>
      </c>
      <c r="L39" s="67">
        <f ca="1">VLOOKUP($K39,'SPC background (hide)'!$AG$2:$AS$54,3,0)</f>
        <v>5</v>
      </c>
      <c r="M39" s="67">
        <f t="shared" ca="1" si="0"/>
        <v>142.0497</v>
      </c>
      <c r="N39" s="67">
        <f t="shared" ca="1" si="1"/>
        <v>5.7151595744680854</v>
      </c>
      <c r="O39" s="67"/>
      <c r="P39" s="67"/>
      <c r="Q39" s="67"/>
      <c r="R39" s="5">
        <f ca="1">(VLOOKUP(K39,'Summary Calculations (hide)'!$D$15:$L$67,8,0)+VLOOKUP(K39,'Summary Calculations (hide)'!$D$15:$L$67,9,0))*IF(Summary!$C$8="Patients",'Summary Calculations (hide)'!$I$9,1)</f>
        <v>161.53846153846155</v>
      </c>
      <c r="AA39" s="67">
        <f ca="1">IF(Summary!$C$8="Patients", 'Parameters calculator (hide)'!$H$63,'Parameters calculator (hide)'!$H$62)</f>
        <v>539.6</v>
      </c>
      <c r="AB39" s="67">
        <f ca="1">IF(Summary!$C$8="Patients", 'Parameters calculator (hide)'!$I$63,'Parameters calculator (hide)'!$I$62)</f>
        <v>596.4</v>
      </c>
      <c r="AC39" s="67">
        <f t="shared" ca="1" si="2"/>
        <v>56.799999999999955</v>
      </c>
    </row>
    <row r="40" spans="1:29" x14ac:dyDescent="0.25">
      <c r="H40" s="298">
        <f>'Summary Calculations (hide)'!A42</f>
        <v>44123</v>
      </c>
      <c r="I40" t="str">
        <f>'Summary Calculations (hide)'!B42</f>
        <v/>
      </c>
      <c r="J40" t="str">
        <f>'Summary Calculations (hide)'!C42</f>
        <v/>
      </c>
      <c r="K40">
        <f>'Summary Calculations (hide)'!D42</f>
        <v>43</v>
      </c>
      <c r="L40" s="67">
        <f ca="1">VLOOKUP($K40,'SPC background (hide)'!$AG$2:$AS$54,3,0)</f>
        <v>5</v>
      </c>
      <c r="M40" s="67">
        <f t="shared" ca="1" si="0"/>
        <v>142.0497</v>
      </c>
      <c r="N40" s="67">
        <f t="shared" ca="1" si="1"/>
        <v>5.7151595744680854</v>
      </c>
      <c r="O40" s="67"/>
      <c r="P40" s="67"/>
      <c r="Q40" s="67"/>
      <c r="R40" s="5">
        <f ca="1">(VLOOKUP(K40,'Summary Calculations (hide)'!$D$15:$L$67,8,0)+VLOOKUP(K40,'Summary Calculations (hide)'!$D$15:$L$67,9,0))*IF(Summary!$C$8="Patients",'Summary Calculations (hide)'!$I$9,1)</f>
        <v>161.53846153846155</v>
      </c>
      <c r="AA40" s="67">
        <f ca="1">IF(Summary!$C$8="Patients", 'Parameters calculator (hide)'!$H$63,'Parameters calculator (hide)'!$H$62)</f>
        <v>539.6</v>
      </c>
      <c r="AB40" s="67">
        <f ca="1">IF(Summary!$C$8="Patients", 'Parameters calculator (hide)'!$I$63,'Parameters calculator (hide)'!$I$62)</f>
        <v>596.4</v>
      </c>
      <c r="AC40" s="67">
        <f t="shared" ca="1" si="2"/>
        <v>56.799999999999955</v>
      </c>
    </row>
    <row r="41" spans="1:29" x14ac:dyDescent="0.25">
      <c r="H41" s="298">
        <f>'Summary Calculations (hide)'!A43</f>
        <v>44130</v>
      </c>
      <c r="I41" t="str">
        <f>'Summary Calculations (hide)'!B43</f>
        <v/>
      </c>
      <c r="J41" t="str">
        <f>'Summary Calculations (hide)'!C43</f>
        <v/>
      </c>
      <c r="K41">
        <f>'Summary Calculations (hide)'!D43</f>
        <v>44</v>
      </c>
      <c r="L41" s="67">
        <f ca="1">VLOOKUP($K41,'SPC background (hide)'!$AG$2:$AS$54,3,0)</f>
        <v>5</v>
      </c>
      <c r="M41" s="67">
        <f t="shared" ca="1" si="0"/>
        <v>142.0497</v>
      </c>
      <c r="N41" s="67">
        <f t="shared" ca="1" si="1"/>
        <v>5.7151595744680854</v>
      </c>
      <c r="O41" s="67"/>
      <c r="P41" s="67"/>
      <c r="Q41" s="67"/>
      <c r="R41" s="5">
        <f ca="1">(VLOOKUP(K41,'Summary Calculations (hide)'!$D$15:$L$67,8,0)+VLOOKUP(K41,'Summary Calculations (hide)'!$D$15:$L$67,9,0))*IF(Summary!$C$8="Patients",'Summary Calculations (hide)'!$I$9,1)</f>
        <v>161.53846153846155</v>
      </c>
      <c r="AA41" s="67">
        <f ca="1">IF(Summary!$C$8="Patients", 'Parameters calculator (hide)'!$H$63,'Parameters calculator (hide)'!$H$62)</f>
        <v>539.6</v>
      </c>
      <c r="AB41" s="67">
        <f ca="1">IF(Summary!$C$8="Patients", 'Parameters calculator (hide)'!$I$63,'Parameters calculator (hide)'!$I$62)</f>
        <v>596.4</v>
      </c>
      <c r="AC41" s="67">
        <f t="shared" ca="1" si="2"/>
        <v>56.799999999999955</v>
      </c>
    </row>
    <row r="42" spans="1:29" x14ac:dyDescent="0.25">
      <c r="H42" s="298">
        <f>'Summary Calculations (hide)'!A44</f>
        <v>44137</v>
      </c>
      <c r="I42" t="str">
        <f>'Summary Calculations (hide)'!B44</f>
        <v/>
      </c>
      <c r="J42" t="str">
        <f>'Summary Calculations (hide)'!C44</f>
        <v>Nov</v>
      </c>
      <c r="K42">
        <f>'Summary Calculations (hide)'!D44</f>
        <v>45</v>
      </c>
      <c r="L42" s="67">
        <f ca="1">VLOOKUP($K42,'SPC background (hide)'!$AG$2:$AS$54,3,0)</f>
        <v>5</v>
      </c>
      <c r="M42" s="67">
        <f t="shared" ca="1" si="0"/>
        <v>142.0497</v>
      </c>
      <c r="N42" s="67">
        <f t="shared" ca="1" si="1"/>
        <v>5.7151595744680854</v>
      </c>
      <c r="O42" s="67"/>
      <c r="P42" s="67"/>
      <c r="Q42" s="67"/>
      <c r="R42" s="5">
        <f ca="1">(VLOOKUP(K42,'Summary Calculations (hide)'!$D$15:$L$67,8,0)+VLOOKUP(K42,'Summary Calculations (hide)'!$D$15:$L$67,9,0))*IF(Summary!$C$8="Patients",'Summary Calculations (hide)'!$I$9,1)</f>
        <v>161.53846153846155</v>
      </c>
      <c r="AA42" s="67">
        <f ca="1">IF(Summary!$C$8="Patients", 'Parameters calculator (hide)'!$H$63,'Parameters calculator (hide)'!$H$62)</f>
        <v>539.6</v>
      </c>
      <c r="AB42" s="67">
        <f ca="1">IF(Summary!$C$8="Patients", 'Parameters calculator (hide)'!$I$63,'Parameters calculator (hide)'!$I$62)</f>
        <v>596.4</v>
      </c>
      <c r="AC42" s="67">
        <f t="shared" ca="1" si="2"/>
        <v>56.799999999999955</v>
      </c>
    </row>
    <row r="43" spans="1:29" x14ac:dyDescent="0.25">
      <c r="H43" s="298">
        <f>'Summary Calculations (hide)'!A45</f>
        <v>44144</v>
      </c>
      <c r="I43" t="str">
        <f>'Summary Calculations (hide)'!B45</f>
        <v/>
      </c>
      <c r="J43" t="str">
        <f>'Summary Calculations (hide)'!C45</f>
        <v/>
      </c>
      <c r="K43">
        <f>'Summary Calculations (hide)'!D45</f>
        <v>46</v>
      </c>
      <c r="L43" s="67">
        <f ca="1">VLOOKUP($K43,'SPC background (hide)'!$AG$2:$AS$54,3,0)</f>
        <v>5</v>
      </c>
      <c r="M43" s="67">
        <f t="shared" ca="1" si="0"/>
        <v>142.0497</v>
      </c>
      <c r="N43" s="67">
        <f t="shared" ca="1" si="1"/>
        <v>5.7151595744680854</v>
      </c>
      <c r="O43" s="67"/>
      <c r="P43" s="67"/>
      <c r="Q43" s="67"/>
      <c r="R43" s="5">
        <f ca="1">(VLOOKUP(K43,'Summary Calculations (hide)'!$D$15:$L$67,8,0)+VLOOKUP(K43,'Summary Calculations (hide)'!$D$15:$L$67,9,0))*IF(Summary!$C$8="Patients",'Summary Calculations (hide)'!$I$9,1)</f>
        <v>161.53846153846155</v>
      </c>
      <c r="AA43" s="67">
        <f ca="1">IF(Summary!$C$8="Patients", 'Parameters calculator (hide)'!$H$63,'Parameters calculator (hide)'!$H$62)</f>
        <v>539.6</v>
      </c>
      <c r="AB43" s="67">
        <f ca="1">IF(Summary!$C$8="Patients", 'Parameters calculator (hide)'!$I$63,'Parameters calculator (hide)'!$I$62)</f>
        <v>596.4</v>
      </c>
      <c r="AC43" s="67">
        <f t="shared" ca="1" si="2"/>
        <v>56.799999999999955</v>
      </c>
    </row>
    <row r="44" spans="1:29" x14ac:dyDescent="0.25">
      <c r="H44" s="298">
        <f>'Summary Calculations (hide)'!A46</f>
        <v>44151</v>
      </c>
      <c r="I44" t="str">
        <f>'Summary Calculations (hide)'!B46</f>
        <v/>
      </c>
      <c r="J44" t="str">
        <f>'Summary Calculations (hide)'!C46</f>
        <v/>
      </c>
      <c r="K44">
        <f>'Summary Calculations (hide)'!D46</f>
        <v>47</v>
      </c>
      <c r="L44" s="67">
        <f ca="1">VLOOKUP($K44,'SPC background (hide)'!$AG$2:$AS$54,3,0)</f>
        <v>5</v>
      </c>
      <c r="M44" s="67">
        <f t="shared" ca="1" si="0"/>
        <v>142.0497</v>
      </c>
      <c r="N44" s="67">
        <f t="shared" ca="1" si="1"/>
        <v>5.7151595744680854</v>
      </c>
      <c r="O44" s="67"/>
      <c r="P44" s="67"/>
      <c r="Q44" s="67"/>
      <c r="R44" s="5">
        <f ca="1">(VLOOKUP(K44,'Summary Calculations (hide)'!$D$15:$L$67,8,0)+VLOOKUP(K44,'Summary Calculations (hide)'!$D$15:$L$67,9,0))*IF(Summary!$C$8="Patients",'Summary Calculations (hide)'!$I$9,1)</f>
        <v>161.53846153846155</v>
      </c>
      <c r="AA44" s="67">
        <f ca="1">IF(Summary!$C$8="Patients", 'Parameters calculator (hide)'!$H$63,'Parameters calculator (hide)'!$H$62)</f>
        <v>539.6</v>
      </c>
      <c r="AB44" s="67">
        <f ca="1">IF(Summary!$C$8="Patients", 'Parameters calculator (hide)'!$I$63,'Parameters calculator (hide)'!$I$62)</f>
        <v>596.4</v>
      </c>
      <c r="AC44" s="67">
        <f t="shared" ca="1" si="2"/>
        <v>56.799999999999955</v>
      </c>
    </row>
    <row r="45" spans="1:29" x14ac:dyDescent="0.25">
      <c r="H45" s="298">
        <f>'Summary Calculations (hide)'!A47</f>
        <v>44158</v>
      </c>
      <c r="I45" t="str">
        <f>'Summary Calculations (hide)'!B47</f>
        <v/>
      </c>
      <c r="J45" t="str">
        <f>'Summary Calculations (hide)'!C47</f>
        <v/>
      </c>
      <c r="K45">
        <f>'Summary Calculations (hide)'!D47</f>
        <v>48</v>
      </c>
      <c r="L45" s="67">
        <f ca="1">VLOOKUP($K45,'SPC background (hide)'!$AG$2:$AS$54,3,0)</f>
        <v>5</v>
      </c>
      <c r="M45" s="67">
        <f t="shared" ca="1" si="0"/>
        <v>142.0497</v>
      </c>
      <c r="N45" s="67">
        <f t="shared" ca="1" si="1"/>
        <v>5.7151595744680854</v>
      </c>
      <c r="O45" s="67"/>
      <c r="P45" s="67"/>
      <c r="Q45" s="67"/>
      <c r="R45" s="5">
        <f ca="1">(VLOOKUP(K45,'Summary Calculations (hide)'!$D$15:$L$67,8,0)+VLOOKUP(K45,'Summary Calculations (hide)'!$D$15:$L$67,9,0))*IF(Summary!$C$8="Patients",'Summary Calculations (hide)'!$I$9,1)</f>
        <v>161.53846153846155</v>
      </c>
      <c r="AA45" s="67">
        <f ca="1">IF(Summary!$C$8="Patients", 'Parameters calculator (hide)'!$H$63,'Parameters calculator (hide)'!$H$62)</f>
        <v>539.6</v>
      </c>
      <c r="AB45" s="67">
        <f ca="1">IF(Summary!$C$8="Patients", 'Parameters calculator (hide)'!$I$63,'Parameters calculator (hide)'!$I$62)</f>
        <v>596.4</v>
      </c>
      <c r="AC45" s="67">
        <f t="shared" ca="1" si="2"/>
        <v>56.799999999999955</v>
      </c>
    </row>
    <row r="46" spans="1:29" x14ac:dyDescent="0.25">
      <c r="H46" s="298">
        <f>'Summary Calculations (hide)'!A48</f>
        <v>44165</v>
      </c>
      <c r="I46" t="str">
        <f>'Summary Calculations (hide)'!B48</f>
        <v/>
      </c>
      <c r="J46" t="str">
        <f>'Summary Calculations (hide)'!C48</f>
        <v/>
      </c>
      <c r="K46">
        <f>'Summary Calculations (hide)'!D48</f>
        <v>49</v>
      </c>
      <c r="L46" s="67">
        <f ca="1">VLOOKUP($K46,'SPC background (hide)'!$AG$2:$AS$54,3,0)</f>
        <v>5</v>
      </c>
      <c r="M46" s="67">
        <f t="shared" ca="1" si="0"/>
        <v>142.0497</v>
      </c>
      <c r="N46" s="67">
        <f t="shared" ca="1" si="1"/>
        <v>5.7151595744680854</v>
      </c>
      <c r="O46" s="67"/>
      <c r="P46" s="67"/>
      <c r="Q46" s="67"/>
      <c r="R46" s="5">
        <f ca="1">(VLOOKUP(K46,'Summary Calculations (hide)'!$D$15:$L$67,8,0)+VLOOKUP(K46,'Summary Calculations (hide)'!$D$15:$L$67,9,0))*IF(Summary!$C$8="Patients",'Summary Calculations (hide)'!$I$9,1)</f>
        <v>161.53846153846155</v>
      </c>
      <c r="AA46" s="67">
        <f ca="1">IF(Summary!$C$8="Patients", 'Parameters calculator (hide)'!$H$63,'Parameters calculator (hide)'!$H$62)</f>
        <v>539.6</v>
      </c>
      <c r="AB46" s="67">
        <f ca="1">IF(Summary!$C$8="Patients", 'Parameters calculator (hide)'!$I$63,'Parameters calculator (hide)'!$I$62)</f>
        <v>596.4</v>
      </c>
      <c r="AC46" s="67">
        <f t="shared" ca="1" si="2"/>
        <v>56.799999999999955</v>
      </c>
    </row>
    <row r="47" spans="1:29" x14ac:dyDescent="0.25">
      <c r="H47" s="298">
        <f>'Summary Calculations (hide)'!A49</f>
        <v>44172</v>
      </c>
      <c r="I47" t="str">
        <f>'Summary Calculations (hide)'!B49</f>
        <v/>
      </c>
      <c r="J47" t="str">
        <f>'Summary Calculations (hide)'!C49</f>
        <v>Dec</v>
      </c>
      <c r="K47">
        <f>'Summary Calculations (hide)'!D49</f>
        <v>50</v>
      </c>
      <c r="L47" s="67">
        <f ca="1">VLOOKUP($K47,'SPC background (hide)'!$AG$2:$AS$54,3,0)</f>
        <v>5</v>
      </c>
      <c r="M47" s="67">
        <f t="shared" ca="1" si="0"/>
        <v>142.0497</v>
      </c>
      <c r="N47" s="67">
        <f t="shared" ca="1" si="1"/>
        <v>5.7151595744680854</v>
      </c>
      <c r="O47" s="67"/>
      <c r="P47" s="67"/>
      <c r="Q47" s="67"/>
      <c r="R47" s="5">
        <f ca="1">(VLOOKUP(K47,'Summary Calculations (hide)'!$D$15:$L$67,8,0)+VLOOKUP(K47,'Summary Calculations (hide)'!$D$15:$L$67,9,0))*IF(Summary!$C$8="Patients",'Summary Calculations (hide)'!$I$9,1)</f>
        <v>161.53846153846155</v>
      </c>
      <c r="AA47" s="67">
        <f ca="1">IF(Summary!$C$8="Patients", 'Parameters calculator (hide)'!$H$63,'Parameters calculator (hide)'!$H$62)</f>
        <v>539.6</v>
      </c>
      <c r="AB47" s="67">
        <f ca="1">IF(Summary!$C$8="Patients", 'Parameters calculator (hide)'!$I$63,'Parameters calculator (hide)'!$I$62)</f>
        <v>596.4</v>
      </c>
      <c r="AC47" s="67">
        <f t="shared" ca="1" si="2"/>
        <v>56.799999999999955</v>
      </c>
    </row>
    <row r="48" spans="1:29" x14ac:dyDescent="0.25">
      <c r="H48" s="298">
        <f>'Summary Calculations (hide)'!A50</f>
        <v>44179</v>
      </c>
      <c r="I48" t="str">
        <f>'Summary Calculations (hide)'!B50</f>
        <v/>
      </c>
      <c r="J48" t="str">
        <f>'Summary Calculations (hide)'!C50</f>
        <v/>
      </c>
      <c r="K48">
        <f>'Summary Calculations (hide)'!D50</f>
        <v>51</v>
      </c>
      <c r="L48" s="67">
        <f ca="1">VLOOKUP($K48,'SPC background (hide)'!$AG$2:$AS$54,3,0)</f>
        <v>5</v>
      </c>
      <c r="M48" s="67">
        <f t="shared" ca="1" si="0"/>
        <v>142.0497</v>
      </c>
      <c r="N48" s="67">
        <f t="shared" ca="1" si="1"/>
        <v>5.7151595744680854</v>
      </c>
      <c r="O48" s="67"/>
      <c r="P48" s="67"/>
      <c r="Q48" s="67"/>
      <c r="R48" s="5">
        <f ca="1">(VLOOKUP(K48,'Summary Calculations (hide)'!$D$15:$L$67,8,0)+VLOOKUP(K48,'Summary Calculations (hide)'!$D$15:$L$67,9,0))*IF(Summary!$C$8="Patients",'Summary Calculations (hide)'!$I$9,1)</f>
        <v>161.53846153846155</v>
      </c>
      <c r="AA48" s="67">
        <f ca="1">IF(Summary!$C$8="Patients", 'Parameters calculator (hide)'!$H$63,'Parameters calculator (hide)'!$H$62)</f>
        <v>539.6</v>
      </c>
      <c r="AB48" s="67">
        <f ca="1">IF(Summary!$C$8="Patients", 'Parameters calculator (hide)'!$I$63,'Parameters calculator (hide)'!$I$62)</f>
        <v>596.4</v>
      </c>
      <c r="AC48" s="67">
        <f t="shared" ca="1" si="2"/>
        <v>56.799999999999955</v>
      </c>
    </row>
    <row r="49" spans="8:29" x14ac:dyDescent="0.25">
      <c r="H49" s="298">
        <f>'Summary Calculations (hide)'!A51</f>
        <v>44186</v>
      </c>
      <c r="I49" t="str">
        <f>'Summary Calculations (hide)'!B51</f>
        <v/>
      </c>
      <c r="J49" t="str">
        <f>'Summary Calculations (hide)'!C51</f>
        <v/>
      </c>
      <c r="K49">
        <f>'Summary Calculations (hide)'!D51</f>
        <v>52</v>
      </c>
      <c r="L49" s="67">
        <f ca="1">VLOOKUP($K49,'SPC background (hide)'!$AG$2:$AS$54,3,0)</f>
        <v>5</v>
      </c>
      <c r="M49" s="67">
        <f t="shared" ca="1" si="0"/>
        <v>142.0497</v>
      </c>
      <c r="N49" s="67">
        <f t="shared" ca="1" si="1"/>
        <v>5.7151595744680854</v>
      </c>
      <c r="O49" s="67"/>
      <c r="P49" s="67"/>
      <c r="Q49" s="67"/>
      <c r="R49" s="5">
        <f ca="1">(VLOOKUP(K49,'Summary Calculations (hide)'!$D$15:$L$67,8,0)+VLOOKUP(K49,'Summary Calculations (hide)'!$D$15:$L$67,9,0))*IF(Summary!$C$8="Patients",'Summary Calculations (hide)'!$I$9,1)</f>
        <v>161.53846153846155</v>
      </c>
      <c r="AA49" s="67">
        <f ca="1">IF(Summary!$C$8="Patients", 'Parameters calculator (hide)'!$H$63,'Parameters calculator (hide)'!$H$62)</f>
        <v>539.6</v>
      </c>
      <c r="AB49" s="67">
        <f ca="1">IF(Summary!$C$8="Patients", 'Parameters calculator (hide)'!$I$63,'Parameters calculator (hide)'!$I$62)</f>
        <v>596.4</v>
      </c>
      <c r="AC49" s="67">
        <f t="shared" ca="1" si="2"/>
        <v>56.799999999999955</v>
      </c>
    </row>
    <row r="50" spans="8:29" x14ac:dyDescent="0.25">
      <c r="H50" s="298">
        <f>'Summary Calculations (hide)'!A52</f>
        <v>44193</v>
      </c>
      <c r="I50" t="str">
        <f>'Summary Calculations (hide)'!B52</f>
        <v/>
      </c>
      <c r="J50" t="str">
        <f>'Summary Calculations (hide)'!C52</f>
        <v/>
      </c>
      <c r="K50">
        <f>'Summary Calculations (hide)'!D52</f>
        <v>53</v>
      </c>
      <c r="L50" s="67">
        <f ca="1">VLOOKUP($K50,'SPC background (hide)'!$AG$2:$AS$54,3,0)</f>
        <v>5</v>
      </c>
      <c r="M50" s="67">
        <f t="shared" ca="1" si="0"/>
        <v>142.0497</v>
      </c>
      <c r="N50" s="67">
        <f t="shared" ca="1" si="1"/>
        <v>5.7151595744680854</v>
      </c>
      <c r="O50" s="67"/>
      <c r="P50" s="67"/>
      <c r="Q50" s="67"/>
      <c r="R50" s="5">
        <f ca="1">(VLOOKUP(K50,'Summary Calculations (hide)'!$D$15:$L$67,8,0)+VLOOKUP(K50,'Summary Calculations (hide)'!$D$15:$L$67,9,0))*IF(Summary!$C$8="Patients",'Summary Calculations (hide)'!$I$9,1)</f>
        <v>161.53846153846155</v>
      </c>
      <c r="AA50" s="67">
        <f ca="1">IF(Summary!$C$8="Patients", 'Parameters calculator (hide)'!$H$63,'Parameters calculator (hide)'!$H$62)</f>
        <v>539.6</v>
      </c>
      <c r="AB50" s="67">
        <f ca="1">IF(Summary!$C$8="Patients", 'Parameters calculator (hide)'!$I$63,'Parameters calculator (hide)'!$I$62)</f>
        <v>596.4</v>
      </c>
      <c r="AC50" s="67">
        <f t="shared" ca="1" si="2"/>
        <v>56.799999999999955</v>
      </c>
    </row>
    <row r="51" spans="8:29" x14ac:dyDescent="0.25">
      <c r="H51" s="298">
        <f>'Summary Calculations (hide)'!A53</f>
        <v>44200</v>
      </c>
      <c r="I51">
        <f>'Summary Calculations (hide)'!B53</f>
        <v>2021</v>
      </c>
      <c r="J51" t="str">
        <f>'Summary Calculations (hide)'!C53</f>
        <v>Jan</v>
      </c>
      <c r="K51">
        <f>'Summary Calculations (hide)'!D53</f>
        <v>1</v>
      </c>
      <c r="L51" s="67">
        <f ca="1">VLOOKUP($K51,'SPC background (hide)'!$AG$2:$AS$54,3,0)</f>
        <v>5</v>
      </c>
      <c r="M51" s="67">
        <f t="shared" ca="1" si="0"/>
        <v>142.0497</v>
      </c>
      <c r="N51" s="67">
        <f t="shared" ca="1" si="1"/>
        <v>5.7151595744680854</v>
      </c>
      <c r="O51" s="67"/>
      <c r="P51" s="67"/>
      <c r="Q51" s="67"/>
      <c r="R51" s="5">
        <f ca="1">(VLOOKUP(K51,'Summary Calculations (hide)'!$D$15:$L$67,8,0)+VLOOKUP(K51,'Summary Calculations (hide)'!$D$15:$L$67,9,0))*IF(Summary!$C$8="Patients",'Summary Calculations (hide)'!$I$9,1)</f>
        <v>161.53846153846155</v>
      </c>
      <c r="AA51" s="67">
        <f ca="1">IF(Summary!$C$8="Patients", 'Parameters calculator (hide)'!$H$63,'Parameters calculator (hide)'!$H$62)</f>
        <v>539.6</v>
      </c>
      <c r="AB51" s="67">
        <f ca="1">IF(Summary!$C$8="Patients", 'Parameters calculator (hide)'!$I$63,'Parameters calculator (hide)'!$I$62)</f>
        <v>596.4</v>
      </c>
      <c r="AC51" s="67">
        <f t="shared" ca="1" si="2"/>
        <v>56.799999999999955</v>
      </c>
    </row>
    <row r="52" spans="8:29" x14ac:dyDescent="0.25">
      <c r="H52" s="298">
        <f>'Summary Calculations (hide)'!A54</f>
        <v>44207</v>
      </c>
      <c r="I52" t="str">
        <f>'Summary Calculations (hide)'!B54</f>
        <v/>
      </c>
      <c r="J52" t="str">
        <f>'Summary Calculations (hide)'!C54</f>
        <v/>
      </c>
      <c r="K52">
        <f>'Summary Calculations (hide)'!D54</f>
        <v>2</v>
      </c>
      <c r="L52" s="67">
        <f ca="1">VLOOKUP($K52,'SPC background (hide)'!$AG$2:$AS$54,3,0)</f>
        <v>5</v>
      </c>
      <c r="M52" s="67">
        <f t="shared" ca="1" si="0"/>
        <v>142.0497</v>
      </c>
      <c r="N52" s="67">
        <f t="shared" ca="1" si="1"/>
        <v>5.7151595744680854</v>
      </c>
      <c r="O52" s="67"/>
      <c r="P52" s="67"/>
      <c r="Q52" s="67"/>
      <c r="R52" s="5">
        <f ca="1">(VLOOKUP(K52,'Summary Calculations (hide)'!$D$15:$L$67,8,0)+VLOOKUP(K52,'Summary Calculations (hide)'!$D$15:$L$67,9,0))*IF(Summary!$C$8="Patients",'Summary Calculations (hide)'!$I$9,1)</f>
        <v>161.53846153846155</v>
      </c>
      <c r="AA52" s="67">
        <f ca="1">IF(Summary!$C$8="Patients", 'Parameters calculator (hide)'!$H$63,'Parameters calculator (hide)'!$H$62)</f>
        <v>539.6</v>
      </c>
      <c r="AB52" s="67">
        <f ca="1">IF(Summary!$C$8="Patients", 'Parameters calculator (hide)'!$I$63,'Parameters calculator (hide)'!$I$62)</f>
        <v>596.4</v>
      </c>
      <c r="AC52" s="67">
        <f t="shared" ca="1" si="2"/>
        <v>56.799999999999955</v>
      </c>
    </row>
    <row r="53" spans="8:29" x14ac:dyDescent="0.25">
      <c r="H53" s="298">
        <f>'Summary Calculations (hide)'!A55</f>
        <v>44214</v>
      </c>
      <c r="I53" t="str">
        <f>'Summary Calculations (hide)'!B55</f>
        <v/>
      </c>
      <c r="J53" t="str">
        <f>'Summary Calculations (hide)'!C55</f>
        <v/>
      </c>
      <c r="K53">
        <f>'Summary Calculations (hide)'!D55</f>
        <v>3</v>
      </c>
      <c r="L53" s="67">
        <f ca="1">VLOOKUP($K53,'SPC background (hide)'!$AG$2:$AS$54,3,0)</f>
        <v>5</v>
      </c>
      <c r="M53" s="67">
        <f t="shared" ca="1" si="0"/>
        <v>142.0497</v>
      </c>
      <c r="N53" s="67">
        <f t="shared" ca="1" si="1"/>
        <v>5.7151595744680854</v>
      </c>
      <c r="O53" s="67"/>
      <c r="P53" s="67"/>
      <c r="Q53" s="67"/>
      <c r="R53" s="5">
        <f ca="1">(VLOOKUP(K53,'Summary Calculations (hide)'!$D$15:$L$67,8,0)+VLOOKUP(K53,'Summary Calculations (hide)'!$D$15:$L$67,9,0))*IF(Summary!$C$8="Patients",'Summary Calculations (hide)'!$I$9,1)</f>
        <v>161.53846153846155</v>
      </c>
      <c r="AA53" s="67">
        <f ca="1">IF(Summary!$C$8="Patients", 'Parameters calculator (hide)'!$H$63,'Parameters calculator (hide)'!$H$62)</f>
        <v>539.6</v>
      </c>
      <c r="AB53" s="67">
        <f ca="1">IF(Summary!$C$8="Patients", 'Parameters calculator (hide)'!$I$63,'Parameters calculator (hide)'!$I$62)</f>
        <v>596.4</v>
      </c>
      <c r="AC53" s="67">
        <f t="shared" ca="1" si="2"/>
        <v>56.799999999999955</v>
      </c>
    </row>
    <row r="54" spans="8:29" x14ac:dyDescent="0.25">
      <c r="H54" s="298">
        <f>'Summary Calculations (hide)'!A56</f>
        <v>44221</v>
      </c>
      <c r="I54" t="str">
        <f>'Summary Calculations (hide)'!B56</f>
        <v/>
      </c>
      <c r="J54" t="str">
        <f>'Summary Calculations (hide)'!C56</f>
        <v/>
      </c>
      <c r="K54">
        <f>'Summary Calculations (hide)'!D56</f>
        <v>4</v>
      </c>
      <c r="L54" s="67">
        <f ca="1">VLOOKUP($K54,'SPC background (hide)'!$AG$2:$AS$54,3,0)</f>
        <v>5</v>
      </c>
      <c r="M54" s="67">
        <f t="shared" ca="1" si="0"/>
        <v>142.0497</v>
      </c>
      <c r="N54" s="67">
        <f t="shared" ca="1" si="1"/>
        <v>5.7151595744680854</v>
      </c>
      <c r="O54" s="67"/>
      <c r="P54" s="67"/>
      <c r="Q54" s="67"/>
      <c r="R54" s="5">
        <f ca="1">(VLOOKUP(K54,'Summary Calculations (hide)'!$D$15:$L$67,8,0)+VLOOKUP(K54,'Summary Calculations (hide)'!$D$15:$L$67,9,0))*IF(Summary!$C$8="Patients",'Summary Calculations (hide)'!$I$9,1)</f>
        <v>161.53846153846155</v>
      </c>
      <c r="AA54" s="67">
        <f ca="1">IF(Summary!$C$8="Patients", 'Parameters calculator (hide)'!$H$63,'Parameters calculator (hide)'!$H$62)</f>
        <v>539.6</v>
      </c>
      <c r="AB54" s="67">
        <f ca="1">IF(Summary!$C$8="Patients", 'Parameters calculator (hide)'!$I$63,'Parameters calculator (hide)'!$I$62)</f>
        <v>596.4</v>
      </c>
      <c r="AC54" s="67">
        <f t="shared" ca="1" si="2"/>
        <v>56.799999999999955</v>
      </c>
    </row>
    <row r="55" spans="8:29" x14ac:dyDescent="0.25">
      <c r="H55" s="298">
        <f>'Summary Calculations (hide)'!A57</f>
        <v>44228</v>
      </c>
      <c r="I55" t="str">
        <f>'Summary Calculations (hide)'!B57</f>
        <v/>
      </c>
      <c r="J55" t="str">
        <f>'Summary Calculations (hide)'!C57</f>
        <v>Feb</v>
      </c>
      <c r="K55">
        <f>'Summary Calculations (hide)'!D57</f>
        <v>5</v>
      </c>
      <c r="L55" s="67">
        <f ca="1">VLOOKUP($K55,'SPC background (hide)'!$AG$2:$AS$54,3,0)</f>
        <v>5</v>
      </c>
      <c r="M55" s="67">
        <f t="shared" ca="1" si="0"/>
        <v>142.0497</v>
      </c>
      <c r="N55" s="67">
        <f t="shared" ca="1" si="1"/>
        <v>5.7151595744680854</v>
      </c>
      <c r="O55" s="67"/>
      <c r="P55" s="67"/>
      <c r="Q55" s="67"/>
      <c r="R55" s="5">
        <f ca="1">(VLOOKUP(K55,'Summary Calculations (hide)'!$D$15:$L$67,8,0)+VLOOKUP(K55,'Summary Calculations (hide)'!$D$15:$L$67,9,0))*IF(Summary!$C$8="Patients",'Summary Calculations (hide)'!$I$9,1)</f>
        <v>161.53846153846155</v>
      </c>
      <c r="AA55" s="67">
        <f ca="1">IF(Summary!$C$8="Patients", 'Parameters calculator (hide)'!$H$63,'Parameters calculator (hide)'!$H$62)</f>
        <v>539.6</v>
      </c>
      <c r="AB55" s="67">
        <f ca="1">IF(Summary!$C$8="Patients", 'Parameters calculator (hide)'!$I$63,'Parameters calculator (hide)'!$I$62)</f>
        <v>596.4</v>
      </c>
      <c r="AC55" s="67">
        <f t="shared" ca="1" si="2"/>
        <v>56.799999999999955</v>
      </c>
    </row>
    <row r="56" spans="8:29" x14ac:dyDescent="0.25">
      <c r="H56" s="298">
        <f>'Summary Calculations (hide)'!A58</f>
        <v>44235</v>
      </c>
      <c r="I56" t="str">
        <f>'Summary Calculations (hide)'!B58</f>
        <v/>
      </c>
      <c r="J56" t="str">
        <f>'Summary Calculations (hide)'!C58</f>
        <v/>
      </c>
      <c r="K56">
        <f>'Summary Calculations (hide)'!D58</f>
        <v>6</v>
      </c>
      <c r="L56" s="67">
        <f ca="1">VLOOKUP($K56,'SPC background (hide)'!$AG$2:$AS$54,3,0)</f>
        <v>5</v>
      </c>
      <c r="M56" s="67">
        <f t="shared" ca="1" si="0"/>
        <v>142.0497</v>
      </c>
      <c r="N56" s="67">
        <f t="shared" ca="1" si="1"/>
        <v>5.7151595744680854</v>
      </c>
      <c r="O56" s="67"/>
      <c r="P56" s="67"/>
      <c r="Q56" s="67"/>
      <c r="R56" s="5">
        <f ca="1">(VLOOKUP(K56,'Summary Calculations (hide)'!$D$15:$L$67,8,0)+VLOOKUP(K56,'Summary Calculations (hide)'!$D$15:$L$67,9,0))*IF(Summary!$C$8="Patients",'Summary Calculations (hide)'!$I$9,1)</f>
        <v>161.53846153846155</v>
      </c>
      <c r="AA56" s="67">
        <f ca="1">IF(Summary!$C$8="Patients", 'Parameters calculator (hide)'!$H$63,'Parameters calculator (hide)'!$H$62)</f>
        <v>539.6</v>
      </c>
      <c r="AB56" s="67">
        <f ca="1">IF(Summary!$C$8="Patients", 'Parameters calculator (hide)'!$I$63,'Parameters calculator (hide)'!$I$62)</f>
        <v>596.4</v>
      </c>
      <c r="AC56" s="67">
        <f t="shared" ca="1" si="2"/>
        <v>56.799999999999955</v>
      </c>
    </row>
    <row r="57" spans="8:29" x14ac:dyDescent="0.25">
      <c r="H57" s="298">
        <f>'Summary Calculations (hide)'!A59</f>
        <v>44242</v>
      </c>
      <c r="I57" t="str">
        <f>'Summary Calculations (hide)'!B59</f>
        <v/>
      </c>
      <c r="J57" t="str">
        <f>'Summary Calculations (hide)'!C59</f>
        <v/>
      </c>
      <c r="K57">
        <f>'Summary Calculations (hide)'!D59</f>
        <v>7</v>
      </c>
      <c r="L57" s="67">
        <f ca="1">VLOOKUP($K57,'SPC background (hide)'!$AG$2:$AS$54,3,0)</f>
        <v>5</v>
      </c>
      <c r="M57" s="67">
        <f t="shared" ca="1" si="0"/>
        <v>142.0497</v>
      </c>
      <c r="N57" s="67">
        <f t="shared" ca="1" si="1"/>
        <v>5.7151595744680854</v>
      </c>
      <c r="O57" s="67"/>
      <c r="P57" s="67"/>
      <c r="Q57" s="67"/>
      <c r="R57" s="5">
        <f ca="1">(VLOOKUP(K57,'Summary Calculations (hide)'!$D$15:$L$67,8,0)+VLOOKUP(K57,'Summary Calculations (hide)'!$D$15:$L$67,9,0))*IF(Summary!$C$8="Patients",'Summary Calculations (hide)'!$I$9,1)</f>
        <v>161.53846153846155</v>
      </c>
      <c r="AA57" s="67">
        <f ca="1">IF(Summary!$C$8="Patients", 'Parameters calculator (hide)'!$H$63,'Parameters calculator (hide)'!$H$62)</f>
        <v>539.6</v>
      </c>
      <c r="AB57" s="67">
        <f ca="1">IF(Summary!$C$8="Patients", 'Parameters calculator (hide)'!$I$63,'Parameters calculator (hide)'!$I$62)</f>
        <v>596.4</v>
      </c>
      <c r="AC57" s="67">
        <f t="shared" ca="1" si="2"/>
        <v>56.799999999999955</v>
      </c>
    </row>
    <row r="58" spans="8:29" x14ac:dyDescent="0.25">
      <c r="H58" s="298">
        <f>'Summary Calculations (hide)'!A60</f>
        <v>44249</v>
      </c>
      <c r="I58" t="str">
        <f>'Summary Calculations (hide)'!B60</f>
        <v/>
      </c>
      <c r="J58" t="str">
        <f>'Summary Calculations (hide)'!C60</f>
        <v/>
      </c>
      <c r="K58">
        <f>'Summary Calculations (hide)'!D60</f>
        <v>8</v>
      </c>
      <c r="L58" s="67">
        <f ca="1">VLOOKUP($K58,'SPC background (hide)'!$AG$2:$AS$54,3,0)</f>
        <v>5</v>
      </c>
      <c r="M58" s="67">
        <f t="shared" ca="1" si="0"/>
        <v>142.0497</v>
      </c>
      <c r="N58" s="67">
        <f t="shared" ca="1" si="1"/>
        <v>5.7151595744680854</v>
      </c>
      <c r="O58" s="67"/>
      <c r="P58" s="67"/>
      <c r="Q58" s="67"/>
      <c r="R58" s="5">
        <f ca="1">(VLOOKUP(K58,'Summary Calculations (hide)'!$D$15:$L$67,8,0)+VLOOKUP(K58,'Summary Calculations (hide)'!$D$15:$L$67,9,0))*IF(Summary!$C$8="Patients",'Summary Calculations (hide)'!$I$9,1)</f>
        <v>161.53846153846155</v>
      </c>
      <c r="AA58" s="67">
        <f ca="1">IF(Summary!$C$8="Patients", 'Parameters calculator (hide)'!$H$63,'Parameters calculator (hide)'!$H$62)</f>
        <v>539.6</v>
      </c>
      <c r="AB58" s="67">
        <f ca="1">IF(Summary!$C$8="Patients", 'Parameters calculator (hide)'!$I$63,'Parameters calculator (hide)'!$I$62)</f>
        <v>596.4</v>
      </c>
      <c r="AC58" s="67">
        <f t="shared" ca="1" si="2"/>
        <v>56.799999999999955</v>
      </c>
    </row>
    <row r="59" spans="8:29" x14ac:dyDescent="0.25">
      <c r="H59" s="298">
        <f>'Summary Calculations (hide)'!A61</f>
        <v>44256</v>
      </c>
      <c r="I59" t="str">
        <f>'Summary Calculations (hide)'!B61</f>
        <v/>
      </c>
      <c r="J59" t="str">
        <f>'Summary Calculations (hide)'!C61</f>
        <v>Mar</v>
      </c>
      <c r="K59">
        <f>'Summary Calculations (hide)'!D61</f>
        <v>9</v>
      </c>
      <c r="L59" s="67">
        <f ca="1">VLOOKUP($K59,'SPC background (hide)'!$AG$2:$AS$54,3,0)</f>
        <v>5</v>
      </c>
      <c r="M59" s="67">
        <f t="shared" ca="1" si="0"/>
        <v>142.0497</v>
      </c>
      <c r="N59" s="67">
        <f t="shared" ca="1" si="1"/>
        <v>5.7151595744680854</v>
      </c>
      <c r="O59" s="67"/>
      <c r="P59" s="67"/>
      <c r="Q59" s="67"/>
      <c r="R59" s="5">
        <f ca="1">(VLOOKUP(K59,'Summary Calculations (hide)'!$D$15:$L$67,8,0)+VLOOKUP(K59,'Summary Calculations (hide)'!$D$15:$L$67,9,0))*IF(Summary!$C$8="Patients",'Summary Calculations (hide)'!$I$9,1)</f>
        <v>161.53846153846155</v>
      </c>
      <c r="AA59" s="67">
        <f ca="1">IF(Summary!$C$8="Patients", 'Parameters calculator (hide)'!$H$63,'Parameters calculator (hide)'!$H$62)</f>
        <v>539.6</v>
      </c>
      <c r="AB59" s="67">
        <f ca="1">IF(Summary!$C$8="Patients", 'Parameters calculator (hide)'!$I$63,'Parameters calculator (hide)'!$I$62)</f>
        <v>596.4</v>
      </c>
      <c r="AC59" s="67">
        <f t="shared" ca="1" si="2"/>
        <v>56.799999999999955</v>
      </c>
    </row>
    <row r="60" spans="8:29" x14ac:dyDescent="0.25">
      <c r="H60" s="298">
        <f>'Summary Calculations (hide)'!A62</f>
        <v>44263</v>
      </c>
      <c r="I60" t="str">
        <f>'Summary Calculations (hide)'!B62</f>
        <v/>
      </c>
      <c r="J60" t="str">
        <f>'Summary Calculations (hide)'!C62</f>
        <v/>
      </c>
      <c r="K60">
        <f>'Summary Calculations (hide)'!D62</f>
        <v>10</v>
      </c>
      <c r="L60" s="67">
        <f ca="1">VLOOKUP($K60,'SPC background (hide)'!$AG$2:$AS$54,3,0)</f>
        <v>1</v>
      </c>
      <c r="M60" s="67">
        <f t="shared" ca="1" si="0"/>
        <v>142.0497</v>
      </c>
      <c r="N60" s="67">
        <f t="shared" ca="1" si="1"/>
        <v>5.7151595744680854</v>
      </c>
      <c r="O60" s="67"/>
      <c r="P60" s="67"/>
      <c r="Q60" s="67"/>
      <c r="R60" s="5">
        <f ca="1">(VLOOKUP(K60,'Summary Calculations (hide)'!$D$15:$L$67,8,0)+VLOOKUP(K60,'Summary Calculations (hide)'!$D$15:$L$67,9,0))*IF(Summary!$C$8="Patients",'Summary Calculations (hide)'!$I$9,1)</f>
        <v>161.53846153846155</v>
      </c>
      <c r="AA60" s="67">
        <f ca="1">IF(Summary!$C$8="Patients", 'Parameters calculator (hide)'!$H$63,'Parameters calculator (hide)'!$H$62)</f>
        <v>539.6</v>
      </c>
      <c r="AB60" s="67">
        <f ca="1">IF(Summary!$C$8="Patients", 'Parameters calculator (hide)'!$I$63,'Parameters calculator (hide)'!$I$62)</f>
        <v>596.4</v>
      </c>
      <c r="AC60" s="67">
        <f t="shared" ca="1" si="2"/>
        <v>56.799999999999955</v>
      </c>
    </row>
    <row r="61" spans="8:29" x14ac:dyDescent="0.25">
      <c r="H61" s="298">
        <f>'Summary Calculations (hide)'!A63</f>
        <v>44270</v>
      </c>
      <c r="I61" t="str">
        <f>'Summary Calculations (hide)'!B63</f>
        <v/>
      </c>
      <c r="J61" t="str">
        <f>'Summary Calculations (hide)'!C63</f>
        <v/>
      </c>
      <c r="K61">
        <f>'Summary Calculations (hide)'!D63</f>
        <v>11</v>
      </c>
      <c r="L61" s="67">
        <f ca="1">VLOOKUP($K61,'SPC background (hide)'!$AG$2:$AS$54,3,0)</f>
        <v>1</v>
      </c>
      <c r="M61" s="67">
        <f t="shared" ca="1" si="0"/>
        <v>142.0497</v>
      </c>
      <c r="N61" s="67">
        <f t="shared" ca="1" si="1"/>
        <v>5.7151595744680854</v>
      </c>
      <c r="O61" s="67"/>
      <c r="P61" s="67"/>
      <c r="Q61" s="67"/>
      <c r="R61" s="5">
        <f ca="1">(VLOOKUP(K61,'Summary Calculations (hide)'!$D$15:$L$67,8,0)+VLOOKUP(K61,'Summary Calculations (hide)'!$D$15:$L$67,9,0))*IF(Summary!$C$8="Patients",'Summary Calculations (hide)'!$I$9,1)</f>
        <v>161.53846153846155</v>
      </c>
      <c r="AA61" s="67">
        <f ca="1">IF(Summary!$C$8="Patients", 'Parameters calculator (hide)'!$H$63,'Parameters calculator (hide)'!$H$62)</f>
        <v>539.6</v>
      </c>
      <c r="AB61" s="67">
        <f ca="1">IF(Summary!$C$8="Patients", 'Parameters calculator (hide)'!$I$63,'Parameters calculator (hide)'!$I$62)</f>
        <v>596.4</v>
      </c>
      <c r="AC61" s="67">
        <f t="shared" ca="1" si="2"/>
        <v>56.799999999999955</v>
      </c>
    </row>
    <row r="62" spans="8:29" x14ac:dyDescent="0.25">
      <c r="H62" s="298">
        <f>'Summary Calculations (hide)'!A64</f>
        <v>44277</v>
      </c>
      <c r="I62" t="str">
        <f>'Summary Calculations (hide)'!B64</f>
        <v/>
      </c>
      <c r="J62" t="str">
        <f>'Summary Calculations (hide)'!C64</f>
        <v/>
      </c>
      <c r="K62">
        <f>'Summary Calculations (hide)'!D64</f>
        <v>12</v>
      </c>
      <c r="L62" s="67">
        <f ca="1">VLOOKUP($K62,'SPC background (hide)'!$AG$2:$AS$54,3,0)</f>
        <v>1</v>
      </c>
      <c r="M62" s="67">
        <f t="shared" ca="1" si="0"/>
        <v>142.0497</v>
      </c>
      <c r="N62" s="67">
        <f t="shared" ca="1" si="1"/>
        <v>5.7151595744680854</v>
      </c>
      <c r="O62" s="67"/>
      <c r="P62" s="67"/>
      <c r="Q62" s="67"/>
      <c r="R62" s="5">
        <f ca="1">(VLOOKUP(K62,'Summary Calculations (hide)'!$D$15:$L$67,8,0)+VLOOKUP(K62,'Summary Calculations (hide)'!$D$15:$L$67,9,0))*IF(Summary!$C$8="Patients",'Summary Calculations (hide)'!$I$9,1)</f>
        <v>161.53846153846155</v>
      </c>
      <c r="AA62" s="67">
        <f ca="1">IF(Summary!$C$8="Patients", 'Parameters calculator (hide)'!$H$63,'Parameters calculator (hide)'!$H$62)</f>
        <v>539.6</v>
      </c>
      <c r="AB62" s="67">
        <f ca="1">IF(Summary!$C$8="Patients", 'Parameters calculator (hide)'!$I$63,'Parameters calculator (hide)'!$I$62)</f>
        <v>596.4</v>
      </c>
      <c r="AC62" s="67">
        <f t="shared" ca="1" si="2"/>
        <v>56.799999999999955</v>
      </c>
    </row>
    <row r="63" spans="8:29" x14ac:dyDescent="0.25">
      <c r="H63" s="298">
        <f>'Summary Calculations (hide)'!A65</f>
        <v>44284</v>
      </c>
      <c r="I63" t="str">
        <f>'Summary Calculations (hide)'!B65</f>
        <v/>
      </c>
      <c r="J63" t="str">
        <f>'Summary Calculations (hide)'!C65</f>
        <v/>
      </c>
      <c r="K63">
        <f>'Summary Calculations (hide)'!D65</f>
        <v>13</v>
      </c>
      <c r="L63" s="67">
        <f ca="1">VLOOKUP($K63,'SPC background (hide)'!$AG$2:$AS$54,3,0)</f>
        <v>1</v>
      </c>
      <c r="M63" s="67">
        <f t="shared" ca="1" si="0"/>
        <v>142.0497</v>
      </c>
      <c r="N63" s="67">
        <f t="shared" ca="1" si="1"/>
        <v>5.7151595744680854</v>
      </c>
      <c r="O63" s="67"/>
      <c r="P63" s="67"/>
      <c r="Q63" s="67"/>
      <c r="R63" s="5">
        <f ca="1">(VLOOKUP(K63,'Summary Calculations (hide)'!$D$15:$L$67,8,0)+VLOOKUP(K63,'Summary Calculations (hide)'!$D$15:$L$67,9,0))*IF(Summary!$C$8="Patients",'Summary Calculations (hide)'!$I$9,1)</f>
        <v>161.53846153846155</v>
      </c>
      <c r="AA63" s="67">
        <f ca="1">IF(Summary!$C$8="Patients", 'Parameters calculator (hide)'!$H$63,'Parameters calculator (hide)'!$H$62)</f>
        <v>539.6</v>
      </c>
      <c r="AB63" s="67">
        <f ca="1">IF(Summary!$C$8="Patients", 'Parameters calculator (hide)'!$I$63,'Parameters calculator (hide)'!$I$62)</f>
        <v>596.4</v>
      </c>
      <c r="AC63" s="67">
        <f t="shared" ca="1" si="2"/>
        <v>56.799999999999955</v>
      </c>
    </row>
    <row r="64" spans="8:29" x14ac:dyDescent="0.25">
      <c r="H64" s="298">
        <f>'Summary Calculations (hide)'!A66</f>
        <v>44291</v>
      </c>
      <c r="I64" t="str">
        <f>'Summary Calculations (hide)'!B66</f>
        <v/>
      </c>
      <c r="J64" t="str">
        <f>'Summary Calculations (hide)'!C66</f>
        <v>Apr</v>
      </c>
      <c r="K64">
        <f>'Summary Calculations (hide)'!D66</f>
        <v>14</v>
      </c>
      <c r="L64" s="67">
        <f ca="1">VLOOKUP($K64,'SPC background (hide)'!$AG$2:$AS$54,3,0)</f>
        <v>1</v>
      </c>
      <c r="M64" s="67">
        <f t="shared" ca="1" si="0"/>
        <v>142.0497</v>
      </c>
      <c r="N64" s="67">
        <f t="shared" ca="1" si="1"/>
        <v>5.7151595744680854</v>
      </c>
      <c r="O64" s="67"/>
      <c r="P64" s="67"/>
      <c r="Q64" s="67"/>
      <c r="R64" s="5">
        <f ca="1">(VLOOKUP(K64,'Summary Calculations (hide)'!$D$15:$L$67,8,0)+VLOOKUP(K64,'Summary Calculations (hide)'!$D$15:$L$67,9,0))*IF(Summary!$C$8="Patients",'Summary Calculations (hide)'!$I$9,1)</f>
        <v>161.53846153846155</v>
      </c>
      <c r="AA64" s="67">
        <f ca="1">IF(Summary!$C$8="Patients", 'Parameters calculator (hide)'!$H$63,'Parameters calculator (hide)'!$H$62)</f>
        <v>539.6</v>
      </c>
      <c r="AB64" s="67">
        <f ca="1">IF(Summary!$C$8="Patients", 'Parameters calculator (hide)'!$I$63,'Parameters calculator (hide)'!$I$62)</f>
        <v>596.4</v>
      </c>
      <c r="AC64" s="67">
        <f t="shared" ca="1" si="2"/>
        <v>56.799999999999955</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D12" sqref="D12"/>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3" t="s">
        <v>23</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45">
        <f>Capacity!C3</f>
        <v>43934</v>
      </c>
      <c r="D6" s="128"/>
      <c r="E6" s="65"/>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row>
    <row r="7" spans="2:62" x14ac:dyDescent="0.25">
      <c r="D7" s="128"/>
      <c r="E7" s="65"/>
      <c r="F7" s="126"/>
      <c r="G7" s="126"/>
      <c r="H7" s="126"/>
      <c r="I7" s="126"/>
      <c r="J7" s="126"/>
      <c r="K7" s="126"/>
      <c r="L7" s="126"/>
      <c r="M7" s="126"/>
      <c r="N7" s="126"/>
      <c r="O7" s="126"/>
      <c r="P7" s="126"/>
      <c r="Q7" s="126"/>
      <c r="R7" s="126"/>
      <c r="S7" s="126"/>
      <c r="T7" s="126"/>
      <c r="U7" s="126"/>
      <c r="V7" s="126"/>
      <c r="W7" s="126"/>
      <c r="X7" s="126"/>
      <c r="Y7" s="126"/>
      <c r="Z7" s="126"/>
      <c r="AA7" s="126"/>
      <c r="AB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row>
    <row r="8" spans="2:62" x14ac:dyDescent="0.25">
      <c r="B8" s="306" t="s">
        <v>1162</v>
      </c>
      <c r="C8" s="311" t="s">
        <v>22</v>
      </c>
      <c r="D8" s="65"/>
      <c r="E8" s="65"/>
      <c r="F8" s="126"/>
      <c r="G8" s="126"/>
      <c r="H8" s="126"/>
      <c r="I8" s="126"/>
      <c r="J8" s="126"/>
      <c r="K8" s="126"/>
      <c r="L8" s="126"/>
      <c r="M8" s="126"/>
      <c r="N8" s="126"/>
      <c r="O8" s="126"/>
      <c r="P8" s="126"/>
      <c r="Q8" s="126"/>
      <c r="R8" s="126"/>
      <c r="S8" s="126"/>
      <c r="T8" s="126"/>
      <c r="U8" s="126"/>
      <c r="V8" s="126"/>
      <c r="W8" s="126"/>
      <c r="X8" s="126"/>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row>
    <row r="9" spans="2:62" x14ac:dyDescent="0.25">
      <c r="F9" s="126"/>
      <c r="G9" s="126"/>
      <c r="H9" s="126"/>
      <c r="I9" s="126"/>
      <c r="J9" s="126"/>
      <c r="K9" s="126"/>
      <c r="L9" s="126"/>
      <c r="M9" s="126"/>
      <c r="N9" s="126"/>
      <c r="O9" s="126"/>
      <c r="P9" s="126"/>
      <c r="Q9" s="126"/>
      <c r="R9" s="126"/>
      <c r="S9" s="126"/>
      <c r="T9" s="126"/>
      <c r="U9" s="126"/>
      <c r="V9" s="126"/>
      <c r="W9" s="126"/>
      <c r="X9" s="126"/>
      <c r="Y9" s="126"/>
      <c r="Z9" s="126"/>
      <c r="AA9" s="126"/>
      <c r="AB9" s="126"/>
      <c r="AC9" s="126"/>
      <c r="AD9" s="126"/>
      <c r="AE9" s="126"/>
      <c r="AF9" s="126"/>
      <c r="AG9" s="126"/>
      <c r="AH9" s="126"/>
      <c r="AI9" s="126"/>
      <c r="AJ9" s="126"/>
      <c r="AK9" s="126"/>
      <c r="AL9" s="126"/>
      <c r="AM9" s="126"/>
      <c r="AN9" s="126"/>
      <c r="AO9" s="126"/>
      <c r="AP9" s="126"/>
      <c r="AQ9" s="126"/>
      <c r="AR9" s="126"/>
      <c r="AS9" s="126"/>
      <c r="AT9" s="126"/>
      <c r="AU9" s="126"/>
      <c r="AV9" s="126"/>
      <c r="AW9" s="126"/>
      <c r="AX9" s="126"/>
      <c r="AY9" s="126"/>
      <c r="AZ9" s="126"/>
      <c r="BA9" s="126"/>
      <c r="BB9" s="126"/>
      <c r="BC9" s="126"/>
      <c r="BD9" s="126"/>
      <c r="BE9" s="126"/>
      <c r="BF9" s="126"/>
      <c r="BG9" s="126"/>
      <c r="BH9" s="126"/>
      <c r="BI9" s="126"/>
      <c r="BJ9" s="126"/>
    </row>
    <row r="10" spans="2:62" x14ac:dyDescent="0.25">
      <c r="D10" s="308" t="s">
        <v>1160</v>
      </c>
      <c r="F10" s="126"/>
      <c r="G10" s="126"/>
      <c r="H10" s="126"/>
      <c r="I10" s="126"/>
      <c r="J10" s="126"/>
      <c r="K10" s="126"/>
      <c r="L10" s="126"/>
      <c r="M10" s="126"/>
      <c r="N10" s="126"/>
      <c r="O10" s="126"/>
      <c r="P10" s="126"/>
      <c r="Q10" s="126"/>
      <c r="R10" s="126"/>
      <c r="S10" s="126"/>
      <c r="T10" s="126"/>
      <c r="U10" s="126"/>
      <c r="V10" s="126"/>
      <c r="W10" s="126"/>
      <c r="X10" s="126"/>
      <c r="Y10" s="126"/>
      <c r="Z10" s="126"/>
      <c r="AA10" s="126"/>
      <c r="AB10" s="126"/>
      <c r="AC10" s="126"/>
      <c r="AD10" s="126"/>
      <c r="AE10" s="126"/>
      <c r="AF10" s="126"/>
      <c r="AG10" s="126"/>
      <c r="AH10" s="126"/>
      <c r="AI10" s="126"/>
      <c r="AJ10" s="126"/>
      <c r="AK10" s="126"/>
      <c r="AL10" s="126"/>
      <c r="AM10" s="126"/>
      <c r="AN10" s="126"/>
      <c r="AO10" s="126"/>
      <c r="AP10" s="126"/>
      <c r="AQ10" s="126"/>
      <c r="AR10" s="126"/>
      <c r="AS10" s="126"/>
      <c r="AT10" s="126"/>
      <c r="AU10" s="126"/>
      <c r="AV10" s="126"/>
      <c r="AW10" s="126"/>
      <c r="AX10" s="126"/>
      <c r="AY10" s="126"/>
      <c r="AZ10" s="126"/>
      <c r="BA10" s="126"/>
      <c r="BB10" s="126"/>
      <c r="BC10" s="126"/>
      <c r="BD10" s="126"/>
      <c r="BE10" s="126"/>
      <c r="BF10" s="126"/>
      <c r="BG10" s="126"/>
      <c r="BH10" s="126"/>
      <c r="BI10" s="126"/>
      <c r="BJ10" s="126"/>
    </row>
    <row r="11" spans="2:62" ht="27.6" x14ac:dyDescent="0.25">
      <c r="B11" s="1" t="s">
        <v>1164</v>
      </c>
      <c r="C11" s="315">
        <v>0</v>
      </c>
      <c r="D11" s="310">
        <f ca="1">'Summary Calculations (hide)'!X70</f>
        <v>142.0496999999998</v>
      </c>
      <c r="E11" s="127"/>
      <c r="F11" s="126"/>
      <c r="G11" s="126"/>
      <c r="H11" s="126"/>
      <c r="I11" s="126"/>
      <c r="J11" s="126"/>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c r="AP11" s="126"/>
      <c r="AQ11" s="126"/>
      <c r="AR11" s="126"/>
      <c r="AS11" s="126"/>
      <c r="AT11" s="126"/>
      <c r="AU11" s="126"/>
      <c r="AV11" s="126"/>
      <c r="AW11" s="126"/>
      <c r="AX11" s="126"/>
      <c r="AY11" s="126"/>
      <c r="AZ11" s="126"/>
      <c r="BA11" s="126"/>
      <c r="BB11" s="126"/>
      <c r="BC11" s="126"/>
      <c r="BD11" s="126"/>
      <c r="BE11" s="126"/>
      <c r="BF11" s="126"/>
      <c r="BG11" s="126"/>
      <c r="BH11" s="126"/>
      <c r="BI11" s="126"/>
      <c r="BJ11" s="126"/>
    </row>
    <row r="12" spans="2:62" x14ac:dyDescent="0.25">
      <c r="B12" s="81"/>
      <c r="D12" s="310">
        <f ca="1">IF(OR(C11="",C11=1),"",D11*(1+C11))</f>
        <v>142.0496999999998</v>
      </c>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c r="AM12" s="126"/>
      <c r="AN12" s="126"/>
      <c r="AO12" s="126"/>
      <c r="AP12" s="126"/>
      <c r="AQ12" s="126"/>
      <c r="AR12" s="126"/>
      <c r="AS12" s="126"/>
      <c r="AT12" s="126"/>
      <c r="AU12" s="126"/>
      <c r="AV12" s="126"/>
      <c r="AW12" s="126"/>
      <c r="AX12" s="126"/>
      <c r="AY12" s="126"/>
      <c r="AZ12" s="126"/>
      <c r="BA12" s="126"/>
      <c r="BB12" s="126"/>
      <c r="BC12" s="126"/>
      <c r="BD12" s="126"/>
      <c r="BE12" s="126"/>
      <c r="BF12" s="126"/>
      <c r="BG12" s="126"/>
      <c r="BH12" s="126"/>
      <c r="BI12" s="126"/>
      <c r="BJ12" s="126"/>
    </row>
    <row r="13" spans="2:62" x14ac:dyDescent="0.25">
      <c r="B13" s="344"/>
      <c r="F13" s="126"/>
      <c r="G13" s="126"/>
      <c r="H13" s="126"/>
      <c r="I13" s="126"/>
      <c r="J13" s="126"/>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row>
    <row r="14" spans="2:62" x14ac:dyDescent="0.25">
      <c r="B14" s="67" t="s">
        <v>1159</v>
      </c>
      <c r="C14" s="153"/>
      <c r="F14" s="126"/>
      <c r="G14" s="126"/>
      <c r="H14" s="126"/>
      <c r="I14" s="126"/>
      <c r="J14" s="126"/>
      <c r="K14" s="126"/>
      <c r="L14" s="126"/>
      <c r="M14" s="126"/>
      <c r="N14" s="126"/>
      <c r="O14" s="126"/>
      <c r="P14" s="126"/>
      <c r="Q14" s="126"/>
      <c r="R14" s="126"/>
      <c r="S14" s="126"/>
      <c r="T14" s="126"/>
      <c r="U14" s="126"/>
      <c r="V14" s="126"/>
      <c r="W14" s="126"/>
      <c r="X14" s="126"/>
      <c r="Y14" s="126"/>
      <c r="Z14" s="126"/>
      <c r="AA14" s="126"/>
      <c r="AB14" s="126"/>
      <c r="AC14" s="126"/>
      <c r="AD14" s="126"/>
      <c r="AE14" s="126"/>
      <c r="AF14" s="126"/>
      <c r="AG14" s="126"/>
      <c r="AH14" s="126"/>
      <c r="AI14" s="126"/>
      <c r="AJ14" s="126"/>
      <c r="AK14" s="126"/>
      <c r="AL14" s="126"/>
      <c r="AM14" s="126"/>
      <c r="AN14" s="126"/>
      <c r="AO14" s="126"/>
      <c r="AP14" s="126"/>
      <c r="AQ14" s="126"/>
      <c r="AR14" s="126"/>
      <c r="AS14" s="126"/>
      <c r="AT14" s="126"/>
      <c r="AU14" s="126"/>
      <c r="AV14" s="126"/>
      <c r="AW14" s="126"/>
      <c r="AX14" s="126"/>
      <c r="AY14" s="126"/>
      <c r="AZ14" s="126"/>
      <c r="BA14" s="126"/>
      <c r="BB14" s="126"/>
      <c r="BC14" s="126"/>
      <c r="BD14" s="126"/>
      <c r="BE14" s="126"/>
      <c r="BF14" s="126"/>
      <c r="BG14" s="126"/>
      <c r="BH14" s="126"/>
      <c r="BI14" s="126"/>
      <c r="BJ14" s="126"/>
    </row>
    <row r="15" spans="2:62" x14ac:dyDescent="0.25">
      <c r="B15" s="67" t="s">
        <v>1155</v>
      </c>
      <c r="C15" s="315"/>
      <c r="D15" s="309">
        <f ca="1">'Parameters calculator (hide)'!B43</f>
        <v>0.05</v>
      </c>
      <c r="F15" s="126"/>
      <c r="G15" s="126"/>
      <c r="H15" s="126"/>
      <c r="I15" s="126"/>
      <c r="J15" s="126"/>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6"/>
      <c r="AH15" s="126"/>
      <c r="AI15" s="126"/>
      <c r="AJ15" s="126"/>
      <c r="AK15" s="126"/>
      <c r="AL15" s="126"/>
      <c r="AM15" s="126"/>
      <c r="AN15" s="126"/>
      <c r="AO15" s="126"/>
      <c r="AP15" s="126"/>
      <c r="AQ15" s="126"/>
      <c r="AR15" s="126"/>
      <c r="AS15" s="126"/>
      <c r="AT15" s="126"/>
      <c r="AU15" s="126"/>
      <c r="AV15" s="126"/>
      <c r="AW15" s="126"/>
      <c r="AX15" s="126"/>
      <c r="AY15" s="126"/>
      <c r="AZ15" s="126"/>
      <c r="BA15" s="126"/>
      <c r="BB15" s="126"/>
      <c r="BC15" s="126"/>
      <c r="BD15" s="126"/>
      <c r="BE15" s="126"/>
      <c r="BF15" s="126"/>
      <c r="BG15" s="126"/>
      <c r="BH15" s="126"/>
      <c r="BI15" s="126"/>
      <c r="BJ15" s="126"/>
    </row>
    <row r="16" spans="2:62" x14ac:dyDescent="0.25">
      <c r="B16" s="67" t="s">
        <v>1156</v>
      </c>
      <c r="C16" s="315"/>
      <c r="D16" s="309">
        <f ca="1">'Parameters calculator (hide)'!B44</f>
        <v>1.0999999999999998E-2</v>
      </c>
      <c r="F16" s="126"/>
      <c r="G16" s="126"/>
      <c r="H16" s="126"/>
      <c r="I16" s="126"/>
      <c r="J16" s="126"/>
      <c r="K16" s="126"/>
      <c r="L16" s="126"/>
      <c r="M16" s="126"/>
      <c r="N16" s="126"/>
      <c r="O16" s="126"/>
      <c r="P16" s="126"/>
      <c r="Q16" s="126"/>
      <c r="R16" s="126"/>
      <c r="S16" s="126"/>
      <c r="T16" s="126"/>
      <c r="U16" s="126"/>
      <c r="V16" s="126"/>
      <c r="W16" s="126"/>
      <c r="X16" s="126"/>
      <c r="Y16" s="126"/>
      <c r="Z16" s="126"/>
      <c r="AA16" s="126"/>
      <c r="AB16" s="126"/>
      <c r="AC16" s="126"/>
      <c r="AD16" s="126"/>
      <c r="AE16" s="126"/>
      <c r="AF16" s="126"/>
      <c r="AG16" s="126"/>
      <c r="AH16" s="126"/>
      <c r="AI16" s="126"/>
      <c r="AJ16" s="126"/>
      <c r="AK16" s="126"/>
      <c r="AL16" s="126"/>
      <c r="AM16" s="126"/>
      <c r="AN16" s="126"/>
      <c r="AO16" s="126"/>
      <c r="AP16" s="126"/>
      <c r="AQ16" s="126"/>
      <c r="AR16" s="126"/>
      <c r="AS16" s="126"/>
      <c r="AT16" s="126"/>
      <c r="AU16" s="126"/>
      <c r="AV16" s="126"/>
      <c r="AW16" s="126"/>
      <c r="AX16" s="126"/>
      <c r="AY16" s="126"/>
      <c r="AZ16" s="126"/>
      <c r="BA16" s="126"/>
      <c r="BB16" s="126"/>
      <c r="BC16" s="126"/>
      <c r="BD16" s="126"/>
      <c r="BE16" s="126"/>
      <c r="BF16" s="126"/>
      <c r="BG16" s="126"/>
      <c r="BH16" s="126"/>
      <c r="BI16" s="126"/>
      <c r="BJ16" s="126"/>
    </row>
    <row r="17" spans="2:62" x14ac:dyDescent="0.25">
      <c r="B17" s="67" t="s">
        <v>1157</v>
      </c>
      <c r="C17" s="315"/>
      <c r="D17" s="309">
        <f ca="1">'Parameters calculator (hide)'!B45</f>
        <v>7.9999999999999988E-2</v>
      </c>
      <c r="F17" s="126"/>
      <c r="G17" s="126"/>
      <c r="H17" s="126"/>
      <c r="I17" s="126"/>
      <c r="J17" s="126"/>
      <c r="K17" s="126"/>
      <c r="L17" s="126"/>
      <c r="M17" s="126"/>
      <c r="N17" s="126"/>
      <c r="O17" s="126"/>
      <c r="P17" s="126"/>
      <c r="Q17" s="126"/>
      <c r="R17" s="126"/>
      <c r="S17" s="126"/>
      <c r="T17" s="126"/>
      <c r="U17" s="126"/>
      <c r="V17" s="126"/>
      <c r="W17" s="126"/>
      <c r="X17" s="126"/>
      <c r="Y17" s="126"/>
      <c r="Z17" s="126"/>
      <c r="AA17" s="126"/>
      <c r="AB17" s="126"/>
      <c r="AC17" s="126"/>
      <c r="AD17" s="126"/>
      <c r="AE17" s="126"/>
      <c r="AF17" s="126"/>
      <c r="AG17" s="126"/>
      <c r="AH17" s="126"/>
      <c r="AI17" s="126"/>
      <c r="AJ17" s="126"/>
      <c r="AK17" s="126"/>
      <c r="AL17" s="126"/>
      <c r="AM17" s="126"/>
      <c r="AN17" s="126"/>
      <c r="AO17" s="126"/>
      <c r="AP17" s="126"/>
      <c r="AQ17" s="126"/>
      <c r="AR17" s="126"/>
      <c r="AS17" s="126"/>
      <c r="AT17" s="126"/>
      <c r="AU17" s="126"/>
      <c r="AV17" s="126"/>
      <c r="AW17" s="126"/>
      <c r="AX17" s="126"/>
      <c r="AY17" s="126"/>
      <c r="AZ17" s="126"/>
      <c r="BA17" s="126"/>
      <c r="BB17" s="126"/>
      <c r="BC17" s="126"/>
      <c r="BD17" s="126"/>
      <c r="BE17" s="126"/>
      <c r="BF17" s="126"/>
      <c r="BG17" s="126"/>
      <c r="BH17" s="126"/>
      <c r="BI17" s="126"/>
      <c r="BJ17" s="126"/>
    </row>
    <row r="18" spans="2:62" x14ac:dyDescent="0.25">
      <c r="B18" s="67" t="s">
        <v>1158</v>
      </c>
      <c r="C18" s="315"/>
      <c r="D18" s="309">
        <f ca="1">'Parameters calculator (hide)'!B46</f>
        <v>0.2</v>
      </c>
      <c r="F18" s="126"/>
      <c r="G18" s="126"/>
      <c r="H18" s="126"/>
      <c r="I18" s="126"/>
      <c r="J18" s="126"/>
      <c r="K18" s="126"/>
      <c r="L18" s="126"/>
      <c r="M18" s="126"/>
      <c r="N18" s="126"/>
      <c r="O18" s="126"/>
      <c r="P18" s="126"/>
      <c r="Q18" s="126"/>
      <c r="R18" s="126"/>
      <c r="S18" s="126"/>
      <c r="T18" s="126"/>
      <c r="U18" s="126"/>
      <c r="V18" s="126"/>
      <c r="W18" s="126"/>
      <c r="X18" s="126"/>
      <c r="Y18" s="126"/>
      <c r="Z18" s="126"/>
      <c r="AA18" s="126"/>
      <c r="AB18" s="126"/>
      <c r="AC18" s="126"/>
      <c r="AD18" s="126"/>
      <c r="AE18" s="126"/>
      <c r="AF18" s="126"/>
      <c r="AG18" s="126"/>
      <c r="AH18" s="126"/>
      <c r="AI18" s="126"/>
      <c r="AJ18" s="126"/>
      <c r="AK18" s="126"/>
      <c r="AL18" s="126"/>
      <c r="AM18" s="126"/>
      <c r="AN18" s="126"/>
      <c r="AO18" s="126"/>
      <c r="AP18" s="126"/>
      <c r="AQ18" s="126"/>
      <c r="AR18" s="126"/>
      <c r="AS18" s="126"/>
      <c r="AT18" s="126"/>
      <c r="AU18" s="126"/>
      <c r="AV18" s="126"/>
      <c r="AW18" s="126"/>
      <c r="AX18" s="126"/>
      <c r="AY18" s="126"/>
      <c r="AZ18" s="126"/>
      <c r="BA18" s="126"/>
      <c r="BB18" s="126"/>
      <c r="BC18" s="126"/>
      <c r="BD18" s="126"/>
      <c r="BE18" s="126"/>
      <c r="BF18" s="126"/>
      <c r="BG18" s="126"/>
      <c r="BH18" s="126"/>
      <c r="BI18" s="126"/>
      <c r="BJ18" s="126"/>
    </row>
    <row r="19" spans="2:62" x14ac:dyDescent="0.25">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c r="AX19" s="126"/>
      <c r="AY19" s="126"/>
      <c r="AZ19" s="126"/>
      <c r="BA19" s="126"/>
      <c r="BB19" s="126"/>
      <c r="BC19" s="126"/>
      <c r="BD19" s="126"/>
      <c r="BE19" s="126"/>
      <c r="BF19" s="126"/>
      <c r="BG19" s="126"/>
      <c r="BH19" s="126"/>
      <c r="BI19" s="126"/>
      <c r="BJ19" s="126"/>
    </row>
    <row r="20" spans="2:62" x14ac:dyDescent="0.25">
      <c r="B20" s="81" t="s">
        <v>515</v>
      </c>
      <c r="C20" s="154" t="s">
        <v>20</v>
      </c>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row>
    <row r="21" spans="2:62" x14ac:dyDescent="0.25">
      <c r="F21" s="126"/>
      <c r="G21" s="126"/>
      <c r="H21" s="126"/>
      <c r="I21" s="126"/>
      <c r="J21" s="126"/>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126"/>
      <c r="AK21" s="126"/>
      <c r="AL21" s="126"/>
      <c r="AM21" s="126"/>
      <c r="AN21" s="126"/>
      <c r="AO21" s="126"/>
      <c r="AP21" s="126"/>
      <c r="AQ21" s="126"/>
      <c r="AR21" s="126"/>
      <c r="AS21" s="126"/>
      <c r="AT21" s="126"/>
      <c r="AU21" s="126"/>
      <c r="AV21" s="126"/>
      <c r="AW21" s="126"/>
      <c r="AX21" s="126"/>
      <c r="AY21" s="126"/>
      <c r="AZ21" s="126"/>
      <c r="BA21" s="126"/>
      <c r="BB21" s="126"/>
      <c r="BC21" s="126"/>
      <c r="BD21" s="126"/>
      <c r="BE21" s="126"/>
      <c r="BF21" s="126"/>
      <c r="BG21" s="126"/>
      <c r="BH21" s="126"/>
      <c r="BI21" s="126"/>
      <c r="BJ21" s="126"/>
    </row>
    <row r="22" spans="2:62" ht="14.25" customHeight="1" x14ac:dyDescent="0.25">
      <c r="B22" s="405" t="s">
        <v>512</v>
      </c>
      <c r="C22" s="406" t="s">
        <v>511</v>
      </c>
      <c r="D22" s="406"/>
      <c r="F22" s="126"/>
      <c r="G22" s="126"/>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row>
    <row r="23" spans="2:62" x14ac:dyDescent="0.25">
      <c r="B23" s="407"/>
      <c r="C23" s="408"/>
      <c r="D23" s="408"/>
      <c r="F23" s="126"/>
      <c r="G23" s="126"/>
      <c r="H23" s="126"/>
      <c r="I23" s="126"/>
      <c r="J23" s="126"/>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126"/>
      <c r="AH23" s="126"/>
      <c r="AI23" s="126"/>
      <c r="AJ23" s="126"/>
      <c r="AK23" s="126"/>
      <c r="AL23" s="126"/>
      <c r="AM23" s="126"/>
      <c r="AN23" s="126"/>
      <c r="AO23" s="126"/>
      <c r="AP23" s="126"/>
      <c r="AQ23" s="126"/>
      <c r="AR23" s="126"/>
      <c r="AS23" s="126"/>
      <c r="AT23" s="126"/>
      <c r="AU23" s="126"/>
      <c r="AV23" s="126"/>
      <c r="AW23" s="126"/>
      <c r="AX23" s="126"/>
      <c r="AY23" s="126"/>
      <c r="AZ23" s="126"/>
      <c r="BA23" s="126"/>
      <c r="BB23" s="126"/>
      <c r="BC23" s="126"/>
      <c r="BD23" s="126"/>
      <c r="BE23" s="126"/>
      <c r="BF23" s="126"/>
      <c r="BG23" s="126"/>
      <c r="BH23" s="126"/>
      <c r="BI23" s="126"/>
      <c r="BJ23" s="126"/>
    </row>
    <row r="24" spans="2:62" ht="27.6" x14ac:dyDescent="0.25">
      <c r="B24" s="458"/>
      <c r="C24" s="144" t="s">
        <v>484</v>
      </c>
      <c r="D24" s="144" t="s">
        <v>485</v>
      </c>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c r="BE24" s="136"/>
      <c r="BF24" s="126"/>
      <c r="BG24" s="126"/>
      <c r="BH24" s="126"/>
      <c r="BI24" s="126"/>
      <c r="BJ24" s="126"/>
    </row>
    <row r="25" spans="2:62" x14ac:dyDescent="0.25">
      <c r="B25" s="245" t="s">
        <v>521</v>
      </c>
      <c r="C25" s="246">
        <f>IF(B25="","",COUNTIF(F25:BE25,"X"))</f>
        <v>0</v>
      </c>
      <c r="D25" s="246" t="s">
        <v>522</v>
      </c>
      <c r="F25" s="157"/>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8"/>
      <c r="BF25" s="126"/>
      <c r="BG25" s="126"/>
    </row>
    <row r="26" spans="2:62" x14ac:dyDescent="0.25">
      <c r="B26" s="164" t="s">
        <v>1116</v>
      </c>
      <c r="C26" s="221">
        <f t="shared" ref="C26:C89" si="0">IF(B26="","",COUNTIF(F26:BE26,"X"))</f>
        <v>0</v>
      </c>
      <c r="D26" s="165"/>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30"/>
      <c r="BG26" s="126"/>
    </row>
    <row r="27" spans="2:62" x14ac:dyDescent="0.25">
      <c r="B27" s="164" t="s">
        <v>1117</v>
      </c>
      <c r="C27" s="221">
        <f t="shared" si="0"/>
        <v>0</v>
      </c>
      <c r="D27" s="165"/>
      <c r="F27" s="156"/>
      <c r="G27" s="156"/>
      <c r="H27" s="156"/>
      <c r="I27" s="156"/>
      <c r="J27" s="156"/>
      <c r="K27" s="156"/>
      <c r="L27" s="156"/>
      <c r="M27" s="156"/>
      <c r="N27" s="156"/>
      <c r="O27" s="156"/>
      <c r="P27" s="156"/>
      <c r="Q27" s="156"/>
      <c r="R27" s="156"/>
      <c r="S27" s="156"/>
      <c r="T27" s="156"/>
      <c r="U27" s="156"/>
      <c r="V27" s="156"/>
      <c r="W27" s="156"/>
      <c r="X27" s="156"/>
      <c r="Y27" s="156"/>
      <c r="Z27" s="156"/>
      <c r="AA27" s="156"/>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row>
    <row r="28" spans="2:62" x14ac:dyDescent="0.25">
      <c r="B28" s="164"/>
      <c r="C28" s="221" t="str">
        <f t="shared" si="0"/>
        <v/>
      </c>
      <c r="D28" s="165"/>
      <c r="F28" s="156"/>
      <c r="G28" s="156"/>
      <c r="H28" s="156"/>
      <c r="I28" s="156"/>
      <c r="J28" s="156"/>
      <c r="K28" s="156"/>
      <c r="L28" s="156"/>
      <c r="M28" s="156"/>
      <c r="N28" s="156"/>
      <c r="O28" s="156"/>
      <c r="P28" s="156"/>
      <c r="Q28" s="156"/>
      <c r="R28" s="156"/>
      <c r="S28" s="156"/>
      <c r="T28" s="156"/>
      <c r="U28" s="156"/>
      <c r="V28" s="156"/>
      <c r="W28" s="156"/>
      <c r="X28" s="156"/>
      <c r="Y28" s="156"/>
      <c r="Z28" s="156"/>
      <c r="AA28" s="156"/>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row>
    <row r="29" spans="2:62" x14ac:dyDescent="0.25">
      <c r="B29" s="164"/>
      <c r="C29" s="221" t="str">
        <f t="shared" si="0"/>
        <v/>
      </c>
      <c r="D29" s="165"/>
      <c r="F29" s="156"/>
      <c r="G29" s="156"/>
      <c r="H29" s="156"/>
      <c r="I29" s="156"/>
      <c r="J29" s="156"/>
      <c r="K29" s="156"/>
      <c r="L29" s="156"/>
      <c r="M29" s="156"/>
      <c r="N29" s="156"/>
      <c r="O29" s="156"/>
      <c r="P29" s="156"/>
      <c r="Q29" s="156"/>
      <c r="R29" s="156"/>
      <c r="S29" s="156"/>
      <c r="T29" s="156"/>
      <c r="U29" s="156"/>
      <c r="V29" s="156"/>
      <c r="W29" s="156"/>
      <c r="X29" s="156"/>
      <c r="Y29" s="156"/>
      <c r="Z29" s="156"/>
      <c r="AA29" s="156"/>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row>
    <row r="30" spans="2:62" x14ac:dyDescent="0.25">
      <c r="B30" s="164"/>
      <c r="C30" s="221" t="str">
        <f t="shared" si="0"/>
        <v/>
      </c>
      <c r="D30" s="165"/>
      <c r="F30" s="156"/>
      <c r="G30" s="156"/>
      <c r="H30" s="156"/>
      <c r="I30" s="156"/>
      <c r="J30" s="156"/>
      <c r="K30" s="156"/>
      <c r="L30" s="156"/>
      <c r="M30" s="156"/>
      <c r="N30" s="156"/>
      <c r="O30" s="156"/>
      <c r="P30" s="156"/>
      <c r="Q30" s="156"/>
      <c r="R30" s="156"/>
      <c r="S30" s="156"/>
      <c r="T30" s="156"/>
      <c r="U30" s="156"/>
      <c r="V30" s="156"/>
      <c r="W30" s="156"/>
      <c r="X30" s="156"/>
      <c r="Y30" s="156"/>
      <c r="Z30" s="156"/>
      <c r="AA30" s="156"/>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row>
    <row r="31" spans="2:62" x14ac:dyDescent="0.25">
      <c r="B31" s="164"/>
      <c r="C31" s="221" t="str">
        <f t="shared" si="0"/>
        <v/>
      </c>
      <c r="D31" s="165"/>
      <c r="F31" s="156"/>
      <c r="G31" s="156"/>
      <c r="H31" s="156"/>
      <c r="I31" s="156"/>
      <c r="J31" s="156"/>
      <c r="K31" s="156"/>
      <c r="L31" s="156"/>
      <c r="M31" s="156"/>
      <c r="N31" s="156"/>
      <c r="O31" s="156"/>
      <c r="P31" s="156"/>
      <c r="Q31" s="156"/>
      <c r="R31" s="156"/>
      <c r="S31" s="156"/>
      <c r="T31" s="156"/>
      <c r="U31" s="156"/>
      <c r="V31" s="156"/>
      <c r="W31" s="156"/>
      <c r="X31" s="156"/>
      <c r="Y31" s="156"/>
      <c r="Z31" s="156"/>
      <c r="AA31" s="156"/>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row>
    <row r="32" spans="2:62" x14ac:dyDescent="0.25">
      <c r="B32" s="164"/>
      <c r="C32" s="221" t="str">
        <f t="shared" si="0"/>
        <v/>
      </c>
      <c r="D32" s="165"/>
      <c r="F32" s="156"/>
      <c r="G32" s="156"/>
      <c r="H32" s="156"/>
      <c r="I32" s="156"/>
      <c r="J32" s="156"/>
      <c r="K32" s="156"/>
      <c r="L32" s="156"/>
      <c r="M32" s="156"/>
      <c r="N32" s="156"/>
      <c r="O32" s="156"/>
      <c r="P32" s="156"/>
      <c r="Q32" s="156"/>
      <c r="R32" s="156"/>
      <c r="S32" s="156"/>
      <c r="T32" s="156"/>
      <c r="U32" s="156"/>
      <c r="V32" s="156"/>
      <c r="W32" s="156"/>
      <c r="X32" s="156"/>
      <c r="Y32" s="156"/>
      <c r="Z32" s="156"/>
      <c r="AA32" s="156"/>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row>
    <row r="33" spans="2:57" x14ac:dyDescent="0.25">
      <c r="B33" s="164"/>
      <c r="C33" s="221" t="str">
        <f t="shared" si="0"/>
        <v/>
      </c>
      <c r="D33" s="165"/>
      <c r="F33" s="156"/>
      <c r="G33" s="156"/>
      <c r="H33" s="156"/>
      <c r="I33" s="156"/>
      <c r="J33" s="156"/>
      <c r="K33" s="156"/>
      <c r="L33" s="156"/>
      <c r="M33" s="156"/>
      <c r="N33" s="156"/>
      <c r="O33" s="156"/>
      <c r="P33" s="156"/>
      <c r="Q33" s="156"/>
      <c r="R33" s="156"/>
      <c r="S33" s="156"/>
      <c r="T33" s="156"/>
      <c r="U33" s="156"/>
      <c r="V33" s="156"/>
      <c r="W33" s="156"/>
      <c r="X33" s="156"/>
      <c r="Y33" s="156"/>
      <c r="Z33" s="156"/>
      <c r="AA33" s="156"/>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row>
    <row r="34" spans="2:57" x14ac:dyDescent="0.25">
      <c r="B34" s="164"/>
      <c r="C34" s="221" t="str">
        <f t="shared" si="0"/>
        <v/>
      </c>
      <c r="D34" s="165"/>
      <c r="F34" s="159"/>
      <c r="G34" s="159"/>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c r="AH34" s="160"/>
      <c r="AI34" s="160"/>
      <c r="AJ34" s="160"/>
      <c r="AK34" s="160"/>
      <c r="AL34" s="160"/>
      <c r="AM34" s="160"/>
      <c r="AN34" s="160"/>
      <c r="AO34" s="160"/>
      <c r="AP34" s="160"/>
      <c r="AQ34" s="160"/>
      <c r="AR34" s="160"/>
      <c r="AS34" s="160"/>
      <c r="AT34" s="160"/>
      <c r="AU34" s="160"/>
      <c r="AV34" s="160"/>
      <c r="AW34" s="160"/>
      <c r="AX34" s="160"/>
      <c r="AY34" s="160"/>
      <c r="AZ34" s="160"/>
      <c r="BA34" s="160"/>
      <c r="BB34" s="160"/>
      <c r="BC34" s="160"/>
      <c r="BD34" s="160"/>
      <c r="BE34" s="159"/>
    </row>
    <row r="35" spans="2:57" x14ac:dyDescent="0.25">
      <c r="B35" s="164"/>
      <c r="C35" s="221" t="str">
        <f t="shared" si="0"/>
        <v/>
      </c>
      <c r="D35" s="165"/>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row>
    <row r="36" spans="2:57" x14ac:dyDescent="0.25">
      <c r="B36" s="164"/>
      <c r="C36" s="221" t="str">
        <f t="shared" si="0"/>
        <v/>
      </c>
      <c r="D36" s="165"/>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6"/>
      <c r="AI36" s="156"/>
      <c r="AJ36" s="156"/>
      <c r="AK36" s="156"/>
      <c r="AL36" s="156"/>
      <c r="AM36" s="156"/>
      <c r="AN36" s="156"/>
      <c r="AO36" s="156"/>
      <c r="AP36" s="156"/>
      <c r="AQ36" s="156"/>
      <c r="AR36" s="156"/>
      <c r="AS36" s="156"/>
      <c r="AT36" s="156"/>
      <c r="AU36" s="156"/>
      <c r="AV36" s="156"/>
      <c r="AW36" s="156"/>
      <c r="AX36" s="156"/>
      <c r="AY36" s="156"/>
      <c r="AZ36" s="156"/>
      <c r="BA36" s="156"/>
      <c r="BB36" s="156"/>
      <c r="BC36" s="156"/>
      <c r="BD36" s="156"/>
      <c r="BE36" s="156"/>
    </row>
    <row r="37" spans="2:57" x14ac:dyDescent="0.25">
      <c r="B37" s="164"/>
      <c r="C37" s="221" t="str">
        <f t="shared" si="0"/>
        <v/>
      </c>
      <c r="D37" s="165"/>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row>
    <row r="38" spans="2:57" x14ac:dyDescent="0.25">
      <c r="B38" s="164"/>
      <c r="C38" s="221" t="str">
        <f t="shared" si="0"/>
        <v/>
      </c>
      <c r="D38" s="165"/>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row>
    <row r="39" spans="2:57" x14ac:dyDescent="0.25">
      <c r="B39" s="164"/>
      <c r="C39" s="221" t="str">
        <f t="shared" si="0"/>
        <v/>
      </c>
      <c r="D39" s="165"/>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row>
    <row r="40" spans="2:57" x14ac:dyDescent="0.25">
      <c r="B40" s="164"/>
      <c r="C40" s="221" t="str">
        <f t="shared" si="0"/>
        <v/>
      </c>
      <c r="D40" s="165"/>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row>
    <row r="41" spans="2:57" x14ac:dyDescent="0.25">
      <c r="B41" s="164"/>
      <c r="C41" s="221" t="str">
        <f t="shared" si="0"/>
        <v/>
      </c>
      <c r="D41" s="165"/>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row>
    <row r="42" spans="2:57" x14ac:dyDescent="0.25">
      <c r="B42" s="164"/>
      <c r="C42" s="221" t="str">
        <f t="shared" si="0"/>
        <v/>
      </c>
      <c r="D42" s="165"/>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row>
    <row r="43" spans="2:57" x14ac:dyDescent="0.25">
      <c r="B43" s="164"/>
      <c r="C43" s="221" t="str">
        <f t="shared" si="0"/>
        <v/>
      </c>
      <c r="D43" s="165"/>
      <c r="F43" s="159"/>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row>
    <row r="44" spans="2:57" x14ac:dyDescent="0.25">
      <c r="B44" s="164"/>
      <c r="C44" s="221" t="str">
        <f t="shared" si="0"/>
        <v/>
      </c>
      <c r="D44" s="165"/>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row>
    <row r="45" spans="2:57" x14ac:dyDescent="0.25">
      <c r="B45" s="164"/>
      <c r="C45" s="221" t="str">
        <f t="shared" si="0"/>
        <v/>
      </c>
      <c r="D45" s="165"/>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row>
    <row r="46" spans="2:57" x14ac:dyDescent="0.25">
      <c r="B46" s="126"/>
      <c r="C46" s="130" t="str">
        <f t="shared" si="0"/>
        <v/>
      </c>
      <c r="D46" s="130" t="str">
        <f>IF(B46="","",Capacity!R39)</f>
        <v/>
      </c>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6" t="str">
        <f>IF(Capacity!N40="","",Capacity!N40)</f>
        <v/>
      </c>
      <c r="C47" s="130" t="str">
        <f t="shared" si="0"/>
        <v/>
      </c>
      <c r="D47" s="130" t="str">
        <f>IF(B47="","",Capacity!R40)</f>
        <v/>
      </c>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6" t="str">
        <f>IF(Capacity!N41="","",Capacity!N41)</f>
        <v/>
      </c>
      <c r="C48" s="130" t="str">
        <f t="shared" si="0"/>
        <v/>
      </c>
      <c r="D48" s="130" t="str">
        <f>IF(B48="","",Capacity!R41)</f>
        <v/>
      </c>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6" t="str">
        <f>IF(Capacity!N42="","",Capacity!N42)</f>
        <v/>
      </c>
      <c r="C49" s="130" t="str">
        <f t="shared" si="0"/>
        <v/>
      </c>
      <c r="D49" s="130" t="str">
        <f>IF(B49="","",Capacity!R42)</f>
        <v/>
      </c>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6" t="str">
        <f>IF(Capacity!N43="","",Capacity!N43)</f>
        <v/>
      </c>
      <c r="C50" s="130" t="str">
        <f t="shared" si="0"/>
        <v/>
      </c>
      <c r="D50" s="130" t="str">
        <f>IF(B50="","",Capacity!R43)</f>
        <v/>
      </c>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6" t="str">
        <f>IF(Capacity!N44="","",Capacity!N44)</f>
        <v/>
      </c>
      <c r="C51" s="130" t="str">
        <f t="shared" si="0"/>
        <v/>
      </c>
      <c r="D51" s="130" t="str">
        <f>IF(B51="","",Capacity!R44)</f>
        <v/>
      </c>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6" t="str">
        <f>IF(Capacity!N45="","",Capacity!N45)</f>
        <v/>
      </c>
      <c r="C52" s="130" t="str">
        <f t="shared" si="0"/>
        <v/>
      </c>
      <c r="D52" s="130" t="str">
        <f>IF(B52="","",Capacity!R45)</f>
        <v/>
      </c>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6" t="str">
        <f>IF(Capacity!N46="","",Capacity!N46)</f>
        <v/>
      </c>
      <c r="C53" s="130" t="str">
        <f t="shared" si="0"/>
        <v/>
      </c>
      <c r="D53" s="130" t="str">
        <f>IF(B53="","",Capacity!R46)</f>
        <v/>
      </c>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6" t="str">
        <f>IF(Capacity!N47="","",Capacity!N47)</f>
        <v/>
      </c>
      <c r="C54" s="130" t="str">
        <f t="shared" si="0"/>
        <v/>
      </c>
      <c r="D54" s="130" t="str">
        <f>IF(B54="","",Capacity!R47)</f>
        <v/>
      </c>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6" t="str">
        <f>IF(Capacity!N48="","",Capacity!N48)</f>
        <v/>
      </c>
      <c r="C55" s="130" t="str">
        <f t="shared" si="0"/>
        <v/>
      </c>
      <c r="D55" s="130" t="str">
        <f>IF(B55="","",Capacity!R48)</f>
        <v/>
      </c>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6" t="str">
        <f>IF(Capacity!N49="","",Capacity!N49)</f>
        <v/>
      </c>
      <c r="C56" s="130" t="str">
        <f t="shared" si="0"/>
        <v/>
      </c>
      <c r="D56" s="130" t="str">
        <f>IF(B56="","",Capacity!R49)</f>
        <v/>
      </c>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6" t="str">
        <f>IF(Capacity!N50="","",Capacity!N50)</f>
        <v/>
      </c>
      <c r="C57" s="130" t="str">
        <f t="shared" si="0"/>
        <v/>
      </c>
      <c r="D57" s="130" t="str">
        <f>IF(B57="","",Capacity!R50)</f>
        <v/>
      </c>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6" t="str">
        <f>IF(Capacity!N51="","",Capacity!N51)</f>
        <v/>
      </c>
      <c r="C58" s="130" t="str">
        <f t="shared" si="0"/>
        <v/>
      </c>
      <c r="D58" s="130" t="str">
        <f>IF(B58="","",Capacity!R51)</f>
        <v/>
      </c>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6" t="str">
        <f>IF(Capacity!N52="","",Capacity!N52)</f>
        <v/>
      </c>
      <c r="C59" s="130" t="str">
        <f t="shared" si="0"/>
        <v/>
      </c>
      <c r="D59" s="130" t="str">
        <f>IF(B59="","",Capacity!R52)</f>
        <v/>
      </c>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6" t="str">
        <f>IF(Capacity!N53="","",Capacity!N53)</f>
        <v/>
      </c>
      <c r="C60" s="130" t="str">
        <f t="shared" si="0"/>
        <v/>
      </c>
      <c r="D60" s="130" t="str">
        <f>IF(B60="","",Capacity!R53)</f>
        <v/>
      </c>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6" t="str">
        <f>IF(Capacity!N54="","",Capacity!N54)</f>
        <v/>
      </c>
      <c r="C61" s="130" t="str">
        <f t="shared" si="0"/>
        <v/>
      </c>
      <c r="D61" s="130" t="str">
        <f>IF(B61="","",Capacity!R54)</f>
        <v/>
      </c>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6" t="str">
        <f>IF(Capacity!N55="","",Capacity!N55)</f>
        <v/>
      </c>
      <c r="C62" s="130" t="str">
        <f t="shared" si="0"/>
        <v/>
      </c>
      <c r="D62" s="130" t="str">
        <f>IF(B62="","",Capacity!R55)</f>
        <v/>
      </c>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6" t="str">
        <f>IF(Capacity!N56="","",Capacity!N56)</f>
        <v/>
      </c>
      <c r="C63" s="130" t="str">
        <f t="shared" si="0"/>
        <v/>
      </c>
      <c r="D63" s="130" t="str">
        <f>IF(B63="","",Capacity!R56)</f>
        <v/>
      </c>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6" t="str">
        <f>IF(Capacity!N57="","",Capacity!N57)</f>
        <v/>
      </c>
      <c r="C64" s="130" t="str">
        <f t="shared" si="0"/>
        <v/>
      </c>
      <c r="D64" s="130" t="str">
        <f>IF(B64="","",Capacity!R57)</f>
        <v/>
      </c>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6" t="str">
        <f>IF(Capacity!N58="","",Capacity!N58)</f>
        <v/>
      </c>
      <c r="C65" s="130" t="str">
        <f t="shared" si="0"/>
        <v/>
      </c>
      <c r="D65" s="130" t="str">
        <f>IF(B65="","",Capacity!R58)</f>
        <v/>
      </c>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6" t="str">
        <f>IF(Capacity!N59="","",Capacity!N59)</f>
        <v/>
      </c>
      <c r="C66" s="130" t="str">
        <f t="shared" si="0"/>
        <v/>
      </c>
      <c r="D66" s="130" t="str">
        <f>IF(B66="","",Capacity!R59)</f>
        <v/>
      </c>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6" t="str">
        <f>IF(Capacity!N60="","",Capacity!N60)</f>
        <v/>
      </c>
      <c r="C67" s="130" t="str">
        <f t="shared" si="0"/>
        <v/>
      </c>
      <c r="D67" s="130" t="str">
        <f>IF(B67="","",Capacity!R60)</f>
        <v/>
      </c>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6" t="str">
        <f>IF(Capacity!N61="","",Capacity!N61)</f>
        <v/>
      </c>
      <c r="C68" s="130" t="str">
        <f t="shared" si="0"/>
        <v/>
      </c>
      <c r="D68" s="130" t="str">
        <f>IF(B68="","",Capacity!R61)</f>
        <v/>
      </c>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6" t="str">
        <f>IF(Capacity!N62="","",Capacity!N62)</f>
        <v/>
      </c>
      <c r="C69" s="130" t="str">
        <f t="shared" si="0"/>
        <v/>
      </c>
      <c r="D69" s="130" t="str">
        <f>IF(B69="","",Capacity!R62)</f>
        <v/>
      </c>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6" t="str">
        <f>IF(Capacity!N63="","",Capacity!N63)</f>
        <v/>
      </c>
      <c r="C70" s="130" t="str">
        <f t="shared" si="0"/>
        <v/>
      </c>
      <c r="D70" s="130" t="str">
        <f>IF(B70="","",Capacity!R63)</f>
        <v/>
      </c>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6" t="str">
        <f>IF(Capacity!N64="","",Capacity!N64)</f>
        <v/>
      </c>
      <c r="C71" s="130" t="str">
        <f t="shared" si="0"/>
        <v/>
      </c>
      <c r="D71" s="130" t="str">
        <f>IF(B71="","",Capacity!R64)</f>
        <v/>
      </c>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6" t="str">
        <f>IF(Capacity!N65="","",Capacity!N65)</f>
        <v/>
      </c>
      <c r="C72" s="130" t="str">
        <f t="shared" si="0"/>
        <v/>
      </c>
      <c r="D72" s="130" t="str">
        <f>IF(B72="","",Capacity!R65)</f>
        <v/>
      </c>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6" t="str">
        <f>IF(Capacity!N66="","",Capacity!N66)</f>
        <v/>
      </c>
      <c r="C73" s="130" t="str">
        <f t="shared" si="0"/>
        <v/>
      </c>
      <c r="D73" s="130" t="str">
        <f>IF(B73="","",Capacity!R66)</f>
        <v/>
      </c>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6" t="str">
        <f>IF(Capacity!N67="","",Capacity!N67)</f>
        <v/>
      </c>
      <c r="C74" s="130" t="str">
        <f t="shared" si="0"/>
        <v/>
      </c>
      <c r="D74" s="130" t="str">
        <f>IF(B74="","",Capacity!R67)</f>
        <v/>
      </c>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6" t="str">
        <f>IF(Capacity!N68="","",Capacity!N68)</f>
        <v/>
      </c>
      <c r="C75" s="130" t="str">
        <f t="shared" si="0"/>
        <v/>
      </c>
      <c r="D75" s="130" t="str">
        <f>IF(B75="","",Capacity!R68)</f>
        <v/>
      </c>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6" t="str">
        <f>IF(Capacity!N69="","",Capacity!N69)</f>
        <v/>
      </c>
      <c r="C76" s="130" t="str">
        <f t="shared" si="0"/>
        <v/>
      </c>
      <c r="D76" s="130" t="str">
        <f>IF(B76="","",Capacity!R69)</f>
        <v/>
      </c>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6" t="str">
        <f>IF(Capacity!N70="","",Capacity!N70)</f>
        <v/>
      </c>
      <c r="C77" s="130" t="str">
        <f t="shared" si="0"/>
        <v/>
      </c>
      <c r="D77" s="130" t="str">
        <f>IF(B77="","",Capacity!R70)</f>
        <v/>
      </c>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6" t="str">
        <f>IF(Capacity!N71="","",Capacity!N71)</f>
        <v/>
      </c>
      <c r="C78" s="130" t="str">
        <f t="shared" si="0"/>
        <v/>
      </c>
      <c r="D78" s="130" t="str">
        <f>IF(B78="","",Capacity!R71)</f>
        <v/>
      </c>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6" t="str">
        <f>IF(Capacity!N72="","",Capacity!N72)</f>
        <v/>
      </c>
      <c r="C79" s="130" t="str">
        <f t="shared" si="0"/>
        <v/>
      </c>
      <c r="D79" s="130" t="str">
        <f>IF(B79="","",Capacity!R72)</f>
        <v/>
      </c>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6" t="str">
        <f>IF(Capacity!N73="","",Capacity!N73)</f>
        <v/>
      </c>
      <c r="C80" s="130" t="str">
        <f t="shared" si="0"/>
        <v/>
      </c>
      <c r="D80" s="130" t="str">
        <f>IF(B80="","",Capacity!R73)</f>
        <v/>
      </c>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6" t="str">
        <f>IF(Capacity!N74="","",Capacity!N74)</f>
        <v/>
      </c>
      <c r="C81" s="130" t="str">
        <f t="shared" si="0"/>
        <v/>
      </c>
      <c r="D81" s="130" t="str">
        <f>IF(B81="","",Capacity!R74)</f>
        <v/>
      </c>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6" t="str">
        <f>IF(Capacity!N75="","",Capacity!N75)</f>
        <v/>
      </c>
      <c r="C82" s="130" t="str">
        <f t="shared" si="0"/>
        <v/>
      </c>
      <c r="D82" s="130" t="str">
        <f>IF(B82="","",Capacity!R75)</f>
        <v/>
      </c>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6" t="str">
        <f>IF(Capacity!N76="","",Capacity!N76)</f>
        <v/>
      </c>
      <c r="C83" s="130" t="str">
        <f t="shared" si="0"/>
        <v/>
      </c>
      <c r="D83" s="130" t="str">
        <f>IF(B83="","",Capacity!R76)</f>
        <v/>
      </c>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6" t="str">
        <f>IF(Capacity!N77="","",Capacity!N77)</f>
        <v/>
      </c>
      <c r="C84" s="130" t="str">
        <f t="shared" si="0"/>
        <v/>
      </c>
      <c r="D84" s="130" t="str">
        <f>IF(B84="","",Capacity!R77)</f>
        <v/>
      </c>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6" t="str">
        <f>IF(Capacity!N78="","",Capacity!N78)</f>
        <v/>
      </c>
      <c r="C85" s="130" t="str">
        <f t="shared" si="0"/>
        <v/>
      </c>
      <c r="D85" s="130" t="str">
        <f>IF(B85="","",Capacity!R78)</f>
        <v/>
      </c>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6" t="str">
        <f>IF(Capacity!N79="","",Capacity!N79)</f>
        <v/>
      </c>
      <c r="C86" s="130" t="str">
        <f t="shared" si="0"/>
        <v/>
      </c>
      <c r="D86" s="130" t="str">
        <f>IF(B86="","",Capacity!R79)</f>
        <v/>
      </c>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6" t="str">
        <f>IF(Capacity!N80="","",Capacity!N80)</f>
        <v/>
      </c>
      <c r="C87" s="130" t="str">
        <f t="shared" si="0"/>
        <v/>
      </c>
      <c r="D87" s="130" t="str">
        <f>IF(B87="","",Capacity!R80)</f>
        <v/>
      </c>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6" t="str">
        <f>IF(Capacity!N81="","",Capacity!N81)</f>
        <v/>
      </c>
      <c r="C88" s="130" t="str">
        <f t="shared" si="0"/>
        <v/>
      </c>
      <c r="D88" s="130" t="str">
        <f>IF(B88="","",Capacity!R81)</f>
        <v/>
      </c>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6" t="str">
        <f>IF(Capacity!N82="","",Capacity!N82)</f>
        <v/>
      </c>
      <c r="C89" s="130" t="str">
        <f t="shared" si="0"/>
        <v/>
      </c>
      <c r="D89" s="130" t="str">
        <f>IF(B89="","",Capacity!R82)</f>
        <v/>
      </c>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6" t="str">
        <f>IF(Capacity!N83="","",Capacity!N83)</f>
        <v/>
      </c>
      <c r="C90" s="130" t="str">
        <f t="shared" ref="C90:C123" si="1">IF(B90="","",COUNTIF(F90:BE90,"X"))</f>
        <v/>
      </c>
      <c r="D90" s="130" t="str">
        <f>IF(B90="","",Capacity!R83)</f>
        <v/>
      </c>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6" t="str">
        <f>IF(Capacity!N84="","",Capacity!N84)</f>
        <v/>
      </c>
      <c r="C91" s="130" t="str">
        <f t="shared" si="1"/>
        <v/>
      </c>
      <c r="D91" s="130" t="str">
        <f>IF(B91="","",Capacity!R84)</f>
        <v/>
      </c>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6" t="str">
        <f>IF(Capacity!N85="","",Capacity!N85)</f>
        <v/>
      </c>
      <c r="C92" s="130" t="str">
        <f t="shared" si="1"/>
        <v/>
      </c>
      <c r="D92" s="130" t="str">
        <f>IF(B92="","",Capacity!R85)</f>
        <v/>
      </c>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6" t="str">
        <f>IF(Capacity!N86="","",Capacity!N86)</f>
        <v/>
      </c>
      <c r="C93" s="130" t="str">
        <f t="shared" si="1"/>
        <v/>
      </c>
      <c r="D93" s="130" t="str">
        <f>IF(B93="","",Capacity!R86)</f>
        <v/>
      </c>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6" t="str">
        <f>IF(Capacity!N87="","",Capacity!N87)</f>
        <v/>
      </c>
      <c r="C94" s="130" t="str">
        <f t="shared" si="1"/>
        <v/>
      </c>
      <c r="D94" s="130" t="str">
        <f>IF(B94="","",Capacity!R87)</f>
        <v/>
      </c>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6" t="str">
        <f>IF(Capacity!N88="","",Capacity!N88)</f>
        <v/>
      </c>
      <c r="C95" s="130" t="str">
        <f t="shared" si="1"/>
        <v/>
      </c>
      <c r="D95" s="130" t="str">
        <f>IF(B95="","",Capacity!R88)</f>
        <v/>
      </c>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6" t="str">
        <f>IF(Capacity!N89="","",Capacity!N89)</f>
        <v/>
      </c>
      <c r="C96" s="130" t="str">
        <f t="shared" si="1"/>
        <v/>
      </c>
      <c r="D96" s="130" t="str">
        <f>IF(B96="","",Capacity!R89)</f>
        <v/>
      </c>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6" t="str">
        <f>IF(Capacity!N90="","",Capacity!N90)</f>
        <v/>
      </c>
      <c r="C97" s="130" t="str">
        <f t="shared" si="1"/>
        <v/>
      </c>
      <c r="D97" s="130" t="str">
        <f>IF(B97="","",Capacity!R90)</f>
        <v/>
      </c>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6" t="str">
        <f>IF(Capacity!N91="","",Capacity!N91)</f>
        <v/>
      </c>
      <c r="C98" s="130" t="str">
        <f t="shared" si="1"/>
        <v/>
      </c>
      <c r="D98" s="130" t="str">
        <f>IF(B98="","",Capacity!R91)</f>
        <v/>
      </c>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6" t="str">
        <f>IF(Capacity!N92="","",Capacity!N92)</f>
        <v/>
      </c>
      <c r="C99" s="130" t="str">
        <f t="shared" si="1"/>
        <v/>
      </c>
      <c r="D99" s="130" t="str">
        <f>IF(B99="","",Capacity!R92)</f>
        <v/>
      </c>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6" t="str">
        <f>IF(Capacity!N93="","",Capacity!N93)</f>
        <v/>
      </c>
      <c r="C100" s="130" t="str">
        <f t="shared" si="1"/>
        <v/>
      </c>
      <c r="D100" s="130" t="str">
        <f>IF(B100="","",Capacity!R93)</f>
        <v/>
      </c>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6" t="str">
        <f>IF(Capacity!N94="","",Capacity!N94)</f>
        <v/>
      </c>
      <c r="C101" s="130" t="str">
        <f t="shared" si="1"/>
        <v/>
      </c>
      <c r="D101" s="130" t="str">
        <f>IF(B101="","",Capacity!R94)</f>
        <v/>
      </c>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6" t="str">
        <f>IF(Capacity!N95="","",Capacity!N95)</f>
        <v/>
      </c>
      <c r="C102" s="130" t="str">
        <f t="shared" si="1"/>
        <v/>
      </c>
      <c r="D102" s="130" t="str">
        <f>IF(B102="","",Capacity!R95)</f>
        <v/>
      </c>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6" t="str">
        <f>IF(Capacity!N96="","",Capacity!N96)</f>
        <v/>
      </c>
      <c r="C103" s="130" t="str">
        <f t="shared" si="1"/>
        <v/>
      </c>
      <c r="D103" s="130" t="str">
        <f>IF(B103="","",Capacity!R96)</f>
        <v/>
      </c>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6" t="str">
        <f>IF(Capacity!N97="","",Capacity!N97)</f>
        <v/>
      </c>
      <c r="C104" s="130" t="str">
        <f t="shared" si="1"/>
        <v/>
      </c>
      <c r="D104" s="130" t="str">
        <f>IF(B104="","",Capacity!R97)</f>
        <v/>
      </c>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6" t="str">
        <f>IF(Capacity!N98="","",Capacity!N98)</f>
        <v/>
      </c>
      <c r="C105" s="130" t="str">
        <f t="shared" si="1"/>
        <v/>
      </c>
      <c r="D105" s="130" t="str">
        <f>IF(B105="","",Capacity!R98)</f>
        <v/>
      </c>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6" t="str">
        <f>IF(Capacity!N99="","",Capacity!N99)</f>
        <v/>
      </c>
      <c r="C106" s="130" t="str">
        <f t="shared" si="1"/>
        <v/>
      </c>
      <c r="D106" s="130" t="str">
        <f>IF(B106="","",Capacity!R99)</f>
        <v/>
      </c>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6" t="str">
        <f>IF(Capacity!N100="","",Capacity!N100)</f>
        <v/>
      </c>
      <c r="C107" s="130" t="str">
        <f t="shared" si="1"/>
        <v/>
      </c>
      <c r="D107" s="130" t="str">
        <f>IF(B107="","",Capacity!R100)</f>
        <v/>
      </c>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6" t="str">
        <f>IF(Capacity!N101="","",Capacity!N101)</f>
        <v/>
      </c>
      <c r="C108" s="130" t="str">
        <f t="shared" si="1"/>
        <v/>
      </c>
      <c r="D108" s="130" t="str">
        <f>IF(B108="","",Capacity!R101)</f>
        <v/>
      </c>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6" t="str">
        <f>IF(Capacity!N102="","",Capacity!N102)</f>
        <v/>
      </c>
      <c r="C109" s="130" t="str">
        <f t="shared" si="1"/>
        <v/>
      </c>
      <c r="D109" s="130" t="str">
        <f>IF(B109="","",Capacity!R102)</f>
        <v/>
      </c>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6" t="str">
        <f>IF(Capacity!N103="","",Capacity!N103)</f>
        <v/>
      </c>
      <c r="C110" s="130" t="str">
        <f t="shared" si="1"/>
        <v/>
      </c>
      <c r="D110" s="130" t="str">
        <f>IF(B110="","",Capacity!R103)</f>
        <v/>
      </c>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6" t="str">
        <f>IF(Capacity!N104="","",Capacity!N104)</f>
        <v/>
      </c>
      <c r="C111" s="130" t="str">
        <f t="shared" si="1"/>
        <v/>
      </c>
      <c r="D111" s="130" t="str">
        <f>IF(B111="","",Capacity!R104)</f>
        <v/>
      </c>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6" t="str">
        <f>IF(Capacity!N105="","",Capacity!N105)</f>
        <v/>
      </c>
      <c r="C112" s="130" t="str">
        <f t="shared" si="1"/>
        <v/>
      </c>
      <c r="D112" s="130" t="str">
        <f>IF(B112="","",Capacity!R105)</f>
        <v/>
      </c>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6" t="str">
        <f>IF(Capacity!N106="","",Capacity!N106)</f>
        <v/>
      </c>
      <c r="C113" s="130" t="str">
        <f t="shared" si="1"/>
        <v/>
      </c>
      <c r="D113" s="130" t="str">
        <f>IF(B113="","",Capacity!R106)</f>
        <v/>
      </c>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6" t="str">
        <f>IF(Capacity!N107="","",Capacity!N107)</f>
        <v/>
      </c>
      <c r="C114" s="130" t="str">
        <f t="shared" si="1"/>
        <v/>
      </c>
      <c r="D114" s="130" t="str">
        <f>IF(B114="","",Capacity!R107)</f>
        <v/>
      </c>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6" t="str">
        <f>IF(Capacity!N108="","",Capacity!N108)</f>
        <v/>
      </c>
      <c r="C115" s="130" t="str">
        <f t="shared" si="1"/>
        <v/>
      </c>
      <c r="D115" s="130" t="str">
        <f>IF(B115="","",Capacity!R108)</f>
        <v/>
      </c>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6" t="str">
        <f>IF(Capacity!N109="","",Capacity!N109)</f>
        <v/>
      </c>
      <c r="C116" s="130" t="str">
        <f t="shared" si="1"/>
        <v/>
      </c>
      <c r="D116" s="130" t="str">
        <f>IF(B116="","",Capacity!R109)</f>
        <v/>
      </c>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6" t="str">
        <f>IF(Capacity!N110="","",Capacity!N110)</f>
        <v/>
      </c>
      <c r="C117" s="130" t="str">
        <f t="shared" si="1"/>
        <v/>
      </c>
      <c r="D117" s="130" t="str">
        <f>IF(B117="","",Capacity!R110)</f>
        <v/>
      </c>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6" t="str">
        <f>IF(Capacity!N111="","",Capacity!N111)</f>
        <v/>
      </c>
      <c r="C118" s="130" t="str">
        <f t="shared" si="1"/>
        <v/>
      </c>
      <c r="D118" s="130" t="str">
        <f>IF(B118="","",Capacity!R111)</f>
        <v/>
      </c>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6" t="str">
        <f>IF(Capacity!N112="","",Capacity!N112)</f>
        <v/>
      </c>
      <c r="C119" s="130" t="str">
        <f t="shared" si="1"/>
        <v/>
      </c>
      <c r="D119" s="130" t="str">
        <f>IF(B119="","",Capacity!R112)</f>
        <v/>
      </c>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6" t="str">
        <f>IF(Capacity!N113="","",Capacity!N113)</f>
        <v/>
      </c>
      <c r="C120" s="130" t="str">
        <f t="shared" si="1"/>
        <v/>
      </c>
      <c r="D120" s="130" t="str">
        <f>IF(B120="","",Capacity!R113)</f>
        <v/>
      </c>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6" t="str">
        <f>IF(Capacity!N114="","",Capacity!N114)</f>
        <v/>
      </c>
      <c r="C121" s="130" t="str">
        <f t="shared" si="1"/>
        <v/>
      </c>
      <c r="D121" s="130" t="str">
        <f>IF(B121="","",Capacity!R114)</f>
        <v/>
      </c>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6" t="str">
        <f>IF(Capacity!N115="","",Capacity!N115)</f>
        <v/>
      </c>
      <c r="C122" s="130" t="str">
        <f t="shared" si="1"/>
        <v/>
      </c>
      <c r="D122" s="130" t="str">
        <f>IF(B122="","",Capacity!R115)</f>
        <v/>
      </c>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6" t="str">
        <f>IF(Capacity!N116="","",Capacity!N116)</f>
        <v/>
      </c>
      <c r="C123" s="130" t="str">
        <f t="shared" si="1"/>
        <v/>
      </c>
      <c r="D123" s="130" t="str">
        <f>IF(B123="","",Capacity!R116)</f>
        <v/>
      </c>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6"/>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XAWgfcjIn7rUAVcJnijq4rTR1NAnobyGOn3E7JpDTKMm9UuWrInNxldsiPznw5bTZEs2/kIpsX7vNpZGAVrk0w==" saltValue="IzLGw2TQJsBcO60y5YIoZg=="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-1</formula1>
      <formula2>1</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hidden="1" customWidth="1"/>
    <col min="7" max="7" width="9" style="67"/>
    <col min="8" max="8" width="9" style="67"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1167</v>
      </c>
      <c r="AE3" t="s">
        <v>1168</v>
      </c>
    </row>
    <row r="4" spans="1:31" x14ac:dyDescent="0.25">
      <c r="A4" s="87">
        <f ca="1">IF(Planning!$C$6="",TODAY()-WEEKDAY(TODAY(),3)+7,Planning!$C$6)</f>
        <v>43934</v>
      </c>
      <c r="B4">
        <f ca="1">IF(WEEKNUM(A4)=53,1,WEEKNUM(A4))</f>
        <v>16</v>
      </c>
      <c r="C4" s="5">
        <f ca="1">IF(Planning!$C$8="No",VLOOKUP(B4,'Summary Calculations (hide)'!$D$15:$U$67,17,0),IF('Demand adjustments for Covid'!$F$9="Yes",'Demand background (hide)'!DS4,VLOOKUP(B4,'Summary Calculations (hide)'!$D$15:$F$67,2,0))*IF(Planning!$C$11="",1,1+Planning!$C$11)*'Summary Calculations (hide)'!$L$4/IF(Summary!$C$8="Patients",'Summary Calculations (hide)'!$I$9,1))</f>
        <v>10.003499999999999</v>
      </c>
      <c r="D4" s="5">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3.0010499999999993</v>
      </c>
      <c r="E4" s="5">
        <f ca="1">VLOOKUP($B4,'Summary Calculations (hide)'!$D$15:$U$67,15,0)</f>
        <v>20</v>
      </c>
      <c r="F4" s="5">
        <f ca="1">VLOOKUP($B4,'Summary Calculations (hide)'!$D$15:$U$67,16,0)</f>
        <v>0</v>
      </c>
      <c r="G4" s="5">
        <f ca="1">SUM(E4:F4)</f>
        <v>20</v>
      </c>
      <c r="H4" s="5">
        <f ca="1">IF(G4+SUM(I4:AC4)&lt;0,0,G4+SUM(I4:AC4))</f>
        <v>20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10.003499999999999</v>
      </c>
      <c r="AE4" s="67">
        <f ca="1">VLOOKUP($B4,'Summary Calculations (hide)'!$D$15:$U$67,18,0)</f>
        <v>3.0010499999999993</v>
      </c>
    </row>
    <row r="5" spans="1:31" x14ac:dyDescent="0.25">
      <c r="A5" s="87">
        <f ca="1">A4+7</f>
        <v>43941</v>
      </c>
      <c r="B5" s="67">
        <f t="shared" ref="B5:B55" ca="1" si="0">IF(WEEKNUM(A5)=53,1,WEEKNUM(A5))</f>
        <v>17</v>
      </c>
      <c r="C5" s="5">
        <f ca="1">IF(Planning!$C$8="No",VLOOKUP(B5,'Summary Calculations (hide)'!$D$15:$U$67,17,0),IF('Demand adjustments for Covid'!$F$9="Yes",'Demand background (hide)'!DS5,VLOOKUP(B5,'Summary Calculations (hide)'!$D$15:$F$67,2,0))*IF(Planning!$C$11="",1,1+Planning!$C$11)*'Summary Calculations (hide)'!$L$4/IF(Summary!$C$8="Patients",'Summary Calculations (hide)'!$I$9,1))</f>
        <v>10.003499999999999</v>
      </c>
      <c r="D5" s="5">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3.0010499999999993</v>
      </c>
      <c r="E5" s="5">
        <f ca="1">VLOOKUP($B5,'Summary Calculations (hide)'!$D$15:$U$67,15,0)</f>
        <v>20</v>
      </c>
      <c r="F5" s="5">
        <f ca="1">VLOOKUP($B5,'Summary Calculations (hide)'!$D$15:$U$67,16,0)</f>
        <v>0</v>
      </c>
      <c r="G5" s="5">
        <f t="shared" ref="G5:G55" ca="1" si="1">SUM(E5:F5)</f>
        <v>20</v>
      </c>
      <c r="H5" s="5">
        <f t="shared" ref="H5:H55" ca="1" si="2">IF(G5+SUM(I5:AC5)&lt;0,0,G5+SUM(I5:AC5))</f>
        <v>20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10.003499999999999</v>
      </c>
      <c r="AE5" s="67">
        <f ca="1">VLOOKUP($B5,'Summary Calculations (hide)'!$D$15:$U$67,18,0)</f>
        <v>3.0010499999999993</v>
      </c>
    </row>
    <row r="6" spans="1:31" x14ac:dyDescent="0.25">
      <c r="A6" s="87">
        <f t="shared" ref="A6:A55" ca="1" si="3">A5+7</f>
        <v>43948</v>
      </c>
      <c r="B6" s="67">
        <f t="shared" ca="1" si="0"/>
        <v>18</v>
      </c>
      <c r="C6" s="5">
        <f ca="1">IF(Planning!$C$8="No",VLOOKUP(B6,'Summary Calculations (hide)'!$D$15:$U$67,17,0),IF('Demand adjustments for Covid'!$F$9="Yes",'Demand background (hide)'!DS6,VLOOKUP(B6,'Summary Calculations (hide)'!$D$15:$F$67,2,0))*IF(Planning!$C$11="",1,1+Planning!$C$11)*'Summary Calculations (hide)'!$L$4/IF(Summary!$C$8="Patients",'Summary Calculations (hide)'!$I$9,1))</f>
        <v>10.003499999999999</v>
      </c>
      <c r="D6" s="5">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3.0010499999999993</v>
      </c>
      <c r="E6" s="5">
        <f ca="1">VLOOKUP($B6,'Summary Calculations (hide)'!$D$15:$U$67,15,0)</f>
        <v>20</v>
      </c>
      <c r="F6" s="5">
        <f ca="1">VLOOKUP($B6,'Summary Calculations (hide)'!$D$15:$U$67,16,0)</f>
        <v>0</v>
      </c>
      <c r="G6" s="5">
        <f t="shared" ca="1" si="1"/>
        <v>20</v>
      </c>
      <c r="H6" s="5">
        <f t="shared" ca="1" si="2"/>
        <v>20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10.003499999999999</v>
      </c>
      <c r="AE6" s="67">
        <f ca="1">VLOOKUP($B6,'Summary Calculations (hide)'!$D$15:$U$67,18,0)</f>
        <v>3.0010499999999993</v>
      </c>
    </row>
    <row r="7" spans="1:31" x14ac:dyDescent="0.25">
      <c r="A7" s="87">
        <f t="shared" ca="1" si="3"/>
        <v>43955</v>
      </c>
      <c r="B7" s="67">
        <f t="shared" ca="1" si="0"/>
        <v>19</v>
      </c>
      <c r="C7" s="5">
        <f ca="1">IF(Planning!$C$8="No",VLOOKUP(B7,'Summary Calculations (hide)'!$D$15:$U$67,17,0),IF('Demand adjustments for Covid'!$F$9="Yes",'Demand background (hide)'!DS7,VLOOKUP(B7,'Summary Calculations (hide)'!$D$15:$F$67,2,0))*IF(Planning!$C$11="",1,1+Planning!$C$11)*'Summary Calculations (hide)'!$L$4/IF(Summary!$C$8="Patients",'Summary Calculations (hide)'!$I$9,1))</f>
        <v>10.003499999999999</v>
      </c>
      <c r="D7" s="5">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3.0010499999999993</v>
      </c>
      <c r="E7" s="5">
        <f ca="1">VLOOKUP($B7,'Summary Calculations (hide)'!$D$15:$U$67,15,0)</f>
        <v>20</v>
      </c>
      <c r="F7" s="5">
        <f ca="1">VLOOKUP($B7,'Summary Calculations (hide)'!$D$15:$U$67,16,0)</f>
        <v>0</v>
      </c>
      <c r="G7" s="5">
        <f t="shared" ca="1" si="1"/>
        <v>20</v>
      </c>
      <c r="H7" s="5">
        <f t="shared" ca="1" si="2"/>
        <v>20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10.003499999999999</v>
      </c>
      <c r="AE7" s="67">
        <f ca="1">VLOOKUP($B7,'Summary Calculations (hide)'!$D$15:$U$67,18,0)</f>
        <v>3.0010499999999993</v>
      </c>
    </row>
    <row r="8" spans="1:31" x14ac:dyDescent="0.25">
      <c r="A8" s="87">
        <f t="shared" ca="1" si="3"/>
        <v>43962</v>
      </c>
      <c r="B8" s="67">
        <f t="shared" ca="1" si="0"/>
        <v>20</v>
      </c>
      <c r="C8" s="5">
        <f ca="1">IF(Planning!$C$8="No",VLOOKUP(B8,'Summary Calculations (hide)'!$D$15:$U$67,17,0),IF('Demand adjustments for Covid'!$F$9="Yes",'Demand background (hide)'!DS8,VLOOKUP(B8,'Summary Calculations (hide)'!$D$15:$F$67,2,0))*IF(Planning!$C$11="",1,1+Planning!$C$11)*'Summary Calculations (hide)'!$L$4/IF(Summary!$C$8="Patients",'Summary Calculations (hide)'!$I$9,1))</f>
        <v>10.003499999999999</v>
      </c>
      <c r="D8" s="5">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3.0010499999999993</v>
      </c>
      <c r="E8" s="5">
        <f ca="1">VLOOKUP($B8,'Summary Calculations (hide)'!$D$15:$U$67,15,0)</f>
        <v>20</v>
      </c>
      <c r="F8" s="5">
        <f ca="1">VLOOKUP($B8,'Summary Calculations (hide)'!$D$15:$U$67,16,0)</f>
        <v>0</v>
      </c>
      <c r="G8" s="5">
        <f t="shared" ca="1" si="1"/>
        <v>20</v>
      </c>
      <c r="H8" s="5">
        <f t="shared" ca="1" si="2"/>
        <v>20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10.003499999999999</v>
      </c>
      <c r="AE8" s="67">
        <f ca="1">VLOOKUP($B8,'Summary Calculations (hide)'!$D$15:$U$67,18,0)</f>
        <v>3.0010499999999993</v>
      </c>
    </row>
    <row r="9" spans="1:31" x14ac:dyDescent="0.25">
      <c r="A9" s="87">
        <f t="shared" ca="1" si="3"/>
        <v>43969</v>
      </c>
      <c r="B9" s="67">
        <f t="shared" ca="1" si="0"/>
        <v>21</v>
      </c>
      <c r="C9" s="5">
        <f ca="1">IF(Planning!$C$8="No",VLOOKUP(B9,'Summary Calculations (hide)'!$D$15:$U$67,17,0),IF('Demand adjustments for Covid'!$F$9="Yes",'Demand background (hide)'!DS9,VLOOKUP(B9,'Summary Calculations (hide)'!$D$15:$F$67,2,0))*IF(Planning!$C$11="",1,1+Planning!$C$11)*'Summary Calculations (hide)'!$L$4/IF(Summary!$C$8="Patients",'Summary Calculations (hide)'!$I$9,1))</f>
        <v>43.015050000000002</v>
      </c>
      <c r="D9" s="5">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3.0010499999999922</v>
      </c>
      <c r="E9" s="5">
        <f ca="1">VLOOKUP($B9,'Summary Calculations (hide)'!$D$15:$U$67,15,0)</f>
        <v>20</v>
      </c>
      <c r="F9" s="5">
        <f ca="1">VLOOKUP($B9,'Summary Calculations (hide)'!$D$15:$U$67,16,0)</f>
        <v>0</v>
      </c>
      <c r="G9" s="5">
        <f t="shared" ca="1" si="1"/>
        <v>20</v>
      </c>
      <c r="H9" s="5">
        <f t="shared" ca="1" si="2"/>
        <v>20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43.015050000000002</v>
      </c>
      <c r="AE9" s="67">
        <f ca="1">VLOOKUP($B9,'Summary Calculations (hide)'!$D$15:$U$67,18,0)</f>
        <v>3.0010499999999922</v>
      </c>
    </row>
    <row r="10" spans="1:31" x14ac:dyDescent="0.25">
      <c r="A10" s="87">
        <f t="shared" ca="1" si="3"/>
        <v>43976</v>
      </c>
      <c r="B10" s="67">
        <f t="shared" ca="1" si="0"/>
        <v>22</v>
      </c>
      <c r="C10" s="5">
        <f ca="1">IF(Planning!$C$8="No",VLOOKUP(B10,'Summary Calculations (hide)'!$D$15:$U$67,17,0),IF('Demand adjustments for Covid'!$F$9="Yes",'Demand background (hide)'!DS10,VLOOKUP(B10,'Summary Calculations (hide)'!$D$15:$F$67,2,0))*IF(Planning!$C$11="",1,1+Planning!$C$11)*'Summary Calculations (hide)'!$L$4/IF(Summary!$C$8="Patients",'Summary Calculations (hide)'!$I$9,1))</f>
        <v>76.026600000000002</v>
      </c>
      <c r="D10" s="5">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3.0010499999999922</v>
      </c>
      <c r="E10" s="5">
        <f ca="1">VLOOKUP($B10,'Summary Calculations (hide)'!$D$15:$U$67,15,0)</f>
        <v>40</v>
      </c>
      <c r="F10" s="5">
        <f ca="1">VLOOKUP($B10,'Summary Calculations (hide)'!$D$15:$U$67,16,0)</f>
        <v>0</v>
      </c>
      <c r="G10" s="5">
        <f t="shared" ca="1" si="1"/>
        <v>40</v>
      </c>
      <c r="H10" s="5">
        <f t="shared" ca="1" si="2"/>
        <v>40</v>
      </c>
      <c r="I10" s="67">
        <f ca="1">IF(OFFSET(Planning!$E$25,0,ROW(A7),1,1)&lt;&gt;"",-'Planning (hide)'!$G10,0)</f>
        <v>0</v>
      </c>
      <c r="J10" s="67">
        <f ca="1">IF(OFFSET(Planning!$E$25,COLUMN(A7),ROW(A7),1,1)&lt;&gt;"",OFFSET(Planning!$D$25,COLUMN(A7),0,1,1),0)</f>
        <v>0</v>
      </c>
      <c r="K10" s="67">
        <f ca="1">IF(OFFSET(Planning!$E$25,COLUMN(B7),ROW(B7),1,1)&lt;&gt;"",OFFSET(Planning!$D$25,COLUMN(B7),0,1,1),0)</f>
        <v>0</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76.026600000000002</v>
      </c>
      <c r="AE10" s="67">
        <f ca="1">VLOOKUP($B10,'Summary Calculations (hide)'!$D$15:$U$67,18,0)</f>
        <v>3.0010499999999922</v>
      </c>
    </row>
    <row r="11" spans="1:31" x14ac:dyDescent="0.25">
      <c r="A11" s="87">
        <f t="shared" ca="1" si="3"/>
        <v>43983</v>
      </c>
      <c r="B11" s="67">
        <f t="shared" ca="1" si="0"/>
        <v>23</v>
      </c>
      <c r="C11" s="5">
        <f ca="1">IF(Planning!$C$8="No",VLOOKUP(B11,'Summary Calculations (hide)'!$D$15:$U$67,17,0),IF('Demand adjustments for Covid'!$F$9="Yes",'Demand background (hide)'!DS11,VLOOKUP(B11,'Summary Calculations (hide)'!$D$15:$F$67,2,0))*IF(Planning!$C$11="",1,1+Planning!$C$11)*'Summary Calculations (hide)'!$L$4/IF(Summary!$C$8="Patients",'Summary Calculations (hide)'!$I$9,1))</f>
        <v>109.03814999999999</v>
      </c>
      <c r="D11" s="5">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3.0010499999999922</v>
      </c>
      <c r="E11" s="5">
        <f ca="1">VLOOKUP($B11,'Summary Calculations (hide)'!$D$15:$U$67,15,0)</f>
        <v>80</v>
      </c>
      <c r="F11" s="5">
        <f ca="1">VLOOKUP($B11,'Summary Calculations (hide)'!$D$15:$U$67,16,0)</f>
        <v>0</v>
      </c>
      <c r="G11" s="5">
        <f t="shared" ca="1" si="1"/>
        <v>80</v>
      </c>
      <c r="H11" s="5">
        <f t="shared" ca="1" si="2"/>
        <v>80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109.03814999999999</v>
      </c>
      <c r="AE11" s="67">
        <f ca="1">VLOOKUP($B11,'Summary Calculations (hide)'!$D$15:$U$67,18,0)</f>
        <v>3.0010499999999922</v>
      </c>
    </row>
    <row r="12" spans="1:31" x14ac:dyDescent="0.25">
      <c r="A12" s="87">
        <f t="shared" ca="1" si="3"/>
        <v>43990</v>
      </c>
      <c r="B12" s="67">
        <f t="shared" ca="1" si="0"/>
        <v>24</v>
      </c>
      <c r="C12" s="5">
        <f ca="1">IF(Planning!$C$8="No",VLOOKUP(B12,'Summary Calculations (hide)'!$D$15:$U$67,17,0),IF('Demand adjustments for Covid'!$F$9="Yes",'Demand background (hide)'!DS12,VLOOKUP(B12,'Summary Calculations (hide)'!$D$15:$F$67,2,0))*IF(Planning!$C$11="",1,1+Planning!$C$11)*'Summary Calculations (hide)'!$L$4/IF(Summary!$C$8="Patients",'Summary Calculations (hide)'!$I$9,1))</f>
        <v>142.0497</v>
      </c>
      <c r="D12" s="5">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3.0010499999999922</v>
      </c>
      <c r="E12" s="5">
        <f ca="1">VLOOKUP($B12,'Summary Calculations (hide)'!$D$15:$U$67,15,0)</f>
        <v>120</v>
      </c>
      <c r="F12" s="5">
        <f ca="1">VLOOKUP($B12,'Summary Calculations (hide)'!$D$15:$U$67,16,0)</f>
        <v>0</v>
      </c>
      <c r="G12" s="5">
        <f t="shared" ca="1" si="1"/>
        <v>120</v>
      </c>
      <c r="H12" s="5">
        <f t="shared" ca="1" si="2"/>
        <v>120</v>
      </c>
      <c r="I12" s="67">
        <f ca="1">IF(OFFSET(Planning!$E$25,0,ROW(A9),1,1)&lt;&gt;"",-'Planning (hide)'!$G12,0)</f>
        <v>0</v>
      </c>
      <c r="J12" s="67">
        <f ca="1">IF(OFFSET(Planning!$E$25,COLUMN(A9),ROW(A9),1,1)&lt;&gt;"",OFFSET(Planning!$D$25,COLUMN(A9),0,1,1),0)</f>
        <v>0</v>
      </c>
      <c r="K12" s="67">
        <f ca="1">IF(OFFSET(Planning!$E$25,COLUMN(B9),ROW(B9),1,1)&lt;&gt;"",OFFSET(Planning!$D$25,COLUMN(B9),0,1,1),0)</f>
        <v>0</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142.0497</v>
      </c>
      <c r="AE12" s="67">
        <f ca="1">VLOOKUP($B12,'Summary Calculations (hide)'!$D$15:$U$67,18,0)</f>
        <v>3.0010499999999922</v>
      </c>
    </row>
    <row r="13" spans="1:31" x14ac:dyDescent="0.25">
      <c r="A13" s="87">
        <f t="shared" ca="1" si="3"/>
        <v>43997</v>
      </c>
      <c r="B13" s="67">
        <f t="shared" ca="1" si="0"/>
        <v>25</v>
      </c>
      <c r="C13" s="5">
        <f ca="1">IF(Planning!$C$8="No",VLOOKUP(B13,'Summary Calculations (hide)'!$D$15:$U$67,17,0),IF('Demand adjustments for Covid'!$F$9="Yes",'Demand background (hide)'!DS13,VLOOKUP(B13,'Summary Calculations (hide)'!$D$15:$F$67,2,0))*IF(Planning!$C$11="",1,1+Planning!$C$11)*'Summary Calculations (hide)'!$L$4/IF(Summary!$C$8="Patients",'Summary Calculations (hide)'!$I$9,1))</f>
        <v>162.05670000000001</v>
      </c>
      <c r="D13" s="5">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14.004899999999964</v>
      </c>
      <c r="E13" s="5">
        <f ca="1">VLOOKUP($B13,'Summary Calculations (hide)'!$D$15:$U$67,15,0)</f>
        <v>150</v>
      </c>
      <c r="F13" s="5">
        <f ca="1">VLOOKUP($B13,'Summary Calculations (hide)'!$D$15:$U$67,16,0)</f>
        <v>0</v>
      </c>
      <c r="G13" s="5">
        <f t="shared" ca="1" si="1"/>
        <v>150</v>
      </c>
      <c r="H13" s="5">
        <f t="shared" ca="1" si="2"/>
        <v>150</v>
      </c>
      <c r="I13" s="67">
        <f ca="1">IF(OFFSET(Planning!$E$25,0,ROW(A10),1,1)&lt;&gt;"",-'Planning (hide)'!$G13,0)</f>
        <v>0</v>
      </c>
      <c r="J13" s="67">
        <f ca="1">IF(OFFSET(Planning!$E$25,COLUMN(A10),ROW(A10),1,1)&lt;&gt;"",OFFSET(Planning!$D$25,COLUMN(A10),0,1,1),0)</f>
        <v>0</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162.05670000000001</v>
      </c>
      <c r="AE13" s="67">
        <f ca="1">VLOOKUP($B13,'Summary Calculations (hide)'!$D$15:$U$67,18,0)</f>
        <v>14.004899999999964</v>
      </c>
    </row>
    <row r="14" spans="1:31" x14ac:dyDescent="0.25">
      <c r="A14" s="87">
        <f t="shared" ca="1" si="3"/>
        <v>44004</v>
      </c>
      <c r="B14" s="67">
        <f t="shared" ca="1" si="0"/>
        <v>26</v>
      </c>
      <c r="C14" s="5">
        <f ca="1">IF(Planning!$C$8="No",VLOOKUP(B14,'Summary Calculations (hide)'!$D$15:$U$67,17,0),IF('Demand adjustments for Covid'!$F$9="Yes",'Demand background (hide)'!DS14,VLOOKUP(B14,'Summary Calculations (hide)'!$D$15:$F$67,2,0))*IF(Planning!$C$11="",1,1+Planning!$C$11)*'Summary Calculations (hide)'!$L$4/IF(Summary!$C$8="Patients",'Summary Calculations (hide)'!$I$9,1))</f>
        <v>174.06089999999998</v>
      </c>
      <c r="D14" s="5">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15.205320000000029</v>
      </c>
      <c r="E14" s="5">
        <f ca="1">VLOOKUP($B14,'Summary Calculations (hide)'!$D$15:$U$67,15,0)</f>
        <v>180</v>
      </c>
      <c r="F14" s="5">
        <f ca="1">VLOOKUP($B14,'Summary Calculations (hide)'!$D$15:$U$67,16,0)</f>
        <v>0</v>
      </c>
      <c r="G14" s="5">
        <f t="shared" ca="1" si="1"/>
        <v>180</v>
      </c>
      <c r="H14" s="5">
        <f t="shared" ca="1" si="2"/>
        <v>180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174.06089999999998</v>
      </c>
      <c r="AE14" s="67">
        <f ca="1">VLOOKUP($B14,'Summary Calculations (hide)'!$D$15:$U$67,18,0)</f>
        <v>15.205320000000029</v>
      </c>
    </row>
    <row r="15" spans="1:31" x14ac:dyDescent="0.25">
      <c r="A15" s="87">
        <f t="shared" ca="1" si="3"/>
        <v>44011</v>
      </c>
      <c r="B15" s="67">
        <f t="shared" ca="1" si="0"/>
        <v>27</v>
      </c>
      <c r="C15" s="5">
        <f ca="1">IF(Planning!$C$8="No",VLOOKUP(B15,'Summary Calculations (hide)'!$D$15:$U$67,17,0),IF('Demand adjustments for Covid'!$F$9="Yes",'Demand background (hide)'!DS15,VLOOKUP(B15,'Summary Calculations (hide)'!$D$15:$F$67,2,0))*IF(Planning!$C$11="",1,1+Planning!$C$11)*'Summary Calculations (hide)'!$L$4/IF(Summary!$C$8="Patients",'Summary Calculations (hide)'!$I$9,1))</f>
        <v>160.05599999999998</v>
      </c>
      <c r="D15" s="5">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13.80483000000001</v>
      </c>
      <c r="E15" s="5">
        <f ca="1">VLOOKUP($B15,'Summary Calculations (hide)'!$D$15:$U$67,15,0)</f>
        <v>180</v>
      </c>
      <c r="F15" s="5">
        <f ca="1">VLOOKUP($B15,'Summary Calculations (hide)'!$D$15:$U$67,16,0)</f>
        <v>0</v>
      </c>
      <c r="G15" s="5">
        <f t="shared" ca="1" si="1"/>
        <v>180</v>
      </c>
      <c r="H15" s="5">
        <f t="shared" ca="1" si="2"/>
        <v>180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160.05599999999998</v>
      </c>
      <c r="AE15" s="67">
        <f ca="1">VLOOKUP($B15,'Summary Calculations (hide)'!$D$15:$U$67,18,0)</f>
        <v>13.80483000000001</v>
      </c>
    </row>
    <row r="16" spans="1:31" x14ac:dyDescent="0.25">
      <c r="A16" s="87">
        <f t="shared" ca="1" si="3"/>
        <v>44018</v>
      </c>
      <c r="B16" s="67">
        <f t="shared" ca="1" si="0"/>
        <v>28</v>
      </c>
      <c r="C16" s="5">
        <f ca="1">IF(Planning!$C$8="No",VLOOKUP(B16,'Summary Calculations (hide)'!$D$15:$U$67,17,0),IF('Demand adjustments for Covid'!$F$9="Yes",'Demand background (hide)'!DS16,VLOOKUP(B16,'Summary Calculations (hide)'!$D$15:$F$67,2,0))*IF(Planning!$C$11="",1,1+Planning!$C$11)*'Summary Calculations (hide)'!$L$4/IF(Summary!$C$8="Patients",'Summary Calculations (hide)'!$I$9,1))</f>
        <v>130.0455</v>
      </c>
      <c r="D16" s="5">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12.004199999999997</v>
      </c>
      <c r="E16" s="5">
        <f ca="1">VLOOKUP($B16,'Summary Calculations (hide)'!$D$15:$U$67,15,0)</f>
        <v>161.53846153846155</v>
      </c>
      <c r="F16" s="5">
        <f ca="1">VLOOKUP($B16,'Summary Calculations (hide)'!$D$15:$U$67,16,0)</f>
        <v>10</v>
      </c>
      <c r="G16" s="5">
        <f t="shared" ca="1" si="1"/>
        <v>171.53846153846155</v>
      </c>
      <c r="H16" s="5">
        <f t="shared" ca="1" si="2"/>
        <v>171.53846153846155</v>
      </c>
      <c r="I16" s="67">
        <f ca="1">IF(OFFSET(Planning!$E$25,0,ROW(A13),1,1)&lt;&gt;"",-'Planning (hide)'!$G16,0)</f>
        <v>0</v>
      </c>
      <c r="J16" s="67">
        <f ca="1">IF(OFFSET(Planning!$E$25,COLUMN(A13),ROW(A13),1,1)&lt;&gt;"",OFFSET(Planning!$D$25,COLUMN(A13),0,1,1),0)</f>
        <v>0</v>
      </c>
      <c r="K16" s="67">
        <f ca="1">IF(OFFSET(Planning!$E$25,COLUMN(B13),ROW(B13),1,1)&lt;&gt;"",OFFSET(Planning!$D$25,COLUMN(B13),0,1,1),0)</f>
        <v>0</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130.0455</v>
      </c>
      <c r="AE16" s="67">
        <f ca="1">VLOOKUP($B16,'Summary Calculations (hide)'!$D$15:$U$67,18,0)</f>
        <v>12.004199999999997</v>
      </c>
    </row>
    <row r="17" spans="1:31" x14ac:dyDescent="0.25">
      <c r="A17" s="87">
        <f t="shared" ca="1" si="3"/>
        <v>44025</v>
      </c>
      <c r="B17" s="67">
        <f t="shared" ca="1" si="0"/>
        <v>29</v>
      </c>
      <c r="C17" s="5">
        <f ca="1">IF(Planning!$C$8="No",VLOOKUP(B17,'Summary Calculations (hide)'!$D$15:$U$67,17,0),IF('Demand adjustments for Covid'!$F$9="Yes",'Demand background (hide)'!DS17,VLOOKUP(B17,'Summary Calculations (hide)'!$D$15:$F$67,2,0))*IF(Planning!$C$11="",1,1+Planning!$C$11)*'Summary Calculations (hide)'!$L$4/IF(Summary!$C$8="Patients",'Summary Calculations (hide)'!$I$9,1))</f>
        <v>146.05109999999999</v>
      </c>
      <c r="D17" s="5">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13.604759999999999</v>
      </c>
      <c r="E17" s="5">
        <f ca="1">VLOOKUP($B17,'Summary Calculations (hide)'!$D$15:$U$67,15,0)</f>
        <v>161.53846153846155</v>
      </c>
      <c r="F17" s="5">
        <f ca="1">VLOOKUP($B17,'Summary Calculations (hide)'!$D$15:$U$67,16,0)</f>
        <v>10</v>
      </c>
      <c r="G17" s="5">
        <f t="shared" ca="1" si="1"/>
        <v>171.53846153846155</v>
      </c>
      <c r="H17" s="5">
        <f t="shared" ca="1" si="2"/>
        <v>171.53846153846155</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146.05109999999999</v>
      </c>
      <c r="AE17" s="67">
        <f ca="1">VLOOKUP($B17,'Summary Calculations (hide)'!$D$15:$U$67,18,0)</f>
        <v>13.604759999999999</v>
      </c>
    </row>
    <row r="18" spans="1:31" x14ac:dyDescent="0.25">
      <c r="A18" s="87">
        <f t="shared" ca="1" si="3"/>
        <v>44032</v>
      </c>
      <c r="B18" s="67">
        <f t="shared" ca="1" si="0"/>
        <v>30</v>
      </c>
      <c r="C18" s="5">
        <f ca="1">IF(Planning!$C$8="No",VLOOKUP(B18,'Summary Calculations (hide)'!$D$15:$U$67,17,0),IF('Demand adjustments for Covid'!$F$9="Yes",'Demand background (hide)'!DS18,VLOOKUP(B18,'Summary Calculations (hide)'!$D$15:$F$67,2,0))*IF(Planning!$C$11="",1,1+Planning!$C$11)*'Summary Calculations (hide)'!$L$4/IF(Summary!$C$8="Patients",'Summary Calculations (hide)'!$I$9,1))</f>
        <v>138.04829999999998</v>
      </c>
      <c r="D18" s="5">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13.80483000000001</v>
      </c>
      <c r="E18" s="5">
        <f ca="1">VLOOKUP($B18,'Summary Calculations (hide)'!$D$15:$U$67,15,0)</f>
        <v>161.53846153846155</v>
      </c>
      <c r="F18" s="5">
        <f ca="1">VLOOKUP($B18,'Summary Calculations (hide)'!$D$15:$U$67,16,0)</f>
        <v>10</v>
      </c>
      <c r="G18" s="5">
        <f t="shared" ca="1" si="1"/>
        <v>171.53846153846155</v>
      </c>
      <c r="H18" s="5">
        <f t="shared" ca="1" si="2"/>
        <v>171.53846153846155</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138.04829999999998</v>
      </c>
      <c r="AE18" s="67">
        <f ca="1">VLOOKUP($B18,'Summary Calculations (hide)'!$D$15:$U$67,18,0)</f>
        <v>13.80483000000001</v>
      </c>
    </row>
    <row r="19" spans="1:31" x14ac:dyDescent="0.25">
      <c r="A19" s="87">
        <f t="shared" ca="1" si="3"/>
        <v>44039</v>
      </c>
      <c r="B19" s="67">
        <f t="shared" ca="1" si="0"/>
        <v>31</v>
      </c>
      <c r="C19" s="5">
        <f ca="1">IF(Planning!$C$8="No",VLOOKUP(B19,'Summary Calculations (hide)'!$D$15:$U$67,17,0),IF('Demand adjustments for Covid'!$F$9="Yes",'Demand background (hide)'!DS19,VLOOKUP(B19,'Summary Calculations (hide)'!$D$15:$F$67,2,0))*IF(Planning!$C$11="",1,1+Planning!$C$11)*'Summary Calculations (hide)'!$L$4/IF(Summary!$C$8="Patients",'Summary Calculations (hide)'!$I$9,1))</f>
        <v>126.04409999999999</v>
      </c>
      <c r="D19" s="5">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12.60441000000003</v>
      </c>
      <c r="E19" s="5">
        <f ca="1">VLOOKUP($B19,'Summary Calculations (hide)'!$D$15:$U$67,15,0)</f>
        <v>161.53846153846155</v>
      </c>
      <c r="F19" s="5">
        <f ca="1">VLOOKUP($B19,'Summary Calculations (hide)'!$D$15:$U$67,16,0)</f>
        <v>0</v>
      </c>
      <c r="G19" s="5">
        <f t="shared" ca="1" si="1"/>
        <v>161.53846153846155</v>
      </c>
      <c r="H19" s="5">
        <f t="shared" ca="1" si="2"/>
        <v>161.53846153846155</v>
      </c>
      <c r="I19" s="67">
        <f ca="1">IF(OFFSET(Planning!$E$25,0,ROW(A16),1,1)&lt;&gt;"",-'Planning (hide)'!$G19,0)</f>
        <v>0</v>
      </c>
      <c r="J19" s="67">
        <f ca="1">IF(OFFSET(Planning!$E$25,COLUMN(A16),ROW(A16),1,1)&lt;&gt;"",OFFSET(Planning!$D$25,COLUMN(A16),0,1,1),0)</f>
        <v>0</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126.04409999999999</v>
      </c>
      <c r="AE19" s="67">
        <f ca="1">VLOOKUP($B19,'Summary Calculations (hide)'!$D$15:$U$67,18,0)</f>
        <v>12.60441000000003</v>
      </c>
    </row>
    <row r="20" spans="1:31" x14ac:dyDescent="0.25">
      <c r="A20" s="87">
        <f t="shared" ca="1" si="3"/>
        <v>44046</v>
      </c>
      <c r="B20" s="67">
        <f t="shared" ca="1" si="0"/>
        <v>32</v>
      </c>
      <c r="C20" s="5">
        <f ca="1">IF(Planning!$C$8="No",VLOOKUP(B20,'Summary Calculations (hide)'!$D$15:$U$67,17,0),IF('Demand adjustments for Covid'!$F$9="Yes",'Demand background (hide)'!DS20,VLOOKUP(B20,'Summary Calculations (hide)'!$D$15:$F$67,2,0))*IF(Planning!$C$11="",1,1+Planning!$C$11)*'Summary Calculations (hide)'!$L$4/IF(Summary!$C$8="Patients",'Summary Calculations (hide)'!$I$9,1))</f>
        <v>152.0532</v>
      </c>
      <c r="D20" s="5">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15.20532</v>
      </c>
      <c r="E20" s="5">
        <f ca="1">VLOOKUP($B20,'Summary Calculations (hide)'!$D$15:$U$67,15,0)</f>
        <v>161.53846153846155</v>
      </c>
      <c r="F20" s="5">
        <f ca="1">VLOOKUP($B20,'Summary Calculations (hide)'!$D$15:$U$67,16,0)</f>
        <v>10</v>
      </c>
      <c r="G20" s="5">
        <f t="shared" ca="1" si="1"/>
        <v>171.53846153846155</v>
      </c>
      <c r="H20" s="5">
        <f t="shared" ca="1" si="2"/>
        <v>171.53846153846155</v>
      </c>
      <c r="I20" s="67">
        <f ca="1">IF(OFFSET(Planning!$E$25,0,ROW(A17),1,1)&lt;&gt;"",-'Planning (hide)'!$G20,0)</f>
        <v>0</v>
      </c>
      <c r="J20" s="67">
        <f ca="1">IF(OFFSET(Planning!$E$25,COLUMN(A17),ROW(A17),1,1)&lt;&gt;"",OFFSET(Planning!$D$25,COLUMN(A17),0,1,1),0)</f>
        <v>0</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152.0532</v>
      </c>
      <c r="AE20" s="67">
        <f ca="1">VLOOKUP($B20,'Summary Calculations (hide)'!$D$15:$U$67,18,0)</f>
        <v>15.20532</v>
      </c>
    </row>
    <row r="21" spans="1:31" x14ac:dyDescent="0.25">
      <c r="A21" s="87">
        <f t="shared" ca="1" si="3"/>
        <v>44053</v>
      </c>
      <c r="B21" s="67">
        <f t="shared" ca="1" si="0"/>
        <v>33</v>
      </c>
      <c r="C21" s="5">
        <f ca="1">IF(Planning!$C$8="No",VLOOKUP(B21,'Summary Calculations (hide)'!$D$15:$U$67,17,0),IF('Demand adjustments for Covid'!$F$9="Yes",'Demand background (hide)'!DS21,VLOOKUP(B21,'Summary Calculations (hide)'!$D$15:$F$67,2,0))*IF(Planning!$C$11="",1,1+Planning!$C$11)*'Summary Calculations (hide)'!$L$4/IF(Summary!$C$8="Patients",'Summary Calculations (hide)'!$I$9,1))</f>
        <v>128.04479999999998</v>
      </c>
      <c r="D21" s="5">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12.804480000000012</v>
      </c>
      <c r="E21" s="5">
        <f ca="1">VLOOKUP($B21,'Summary Calculations (hide)'!$D$15:$U$67,15,0)</f>
        <v>161.53846153846155</v>
      </c>
      <c r="F21" s="5">
        <f ca="1">VLOOKUP($B21,'Summary Calculations (hide)'!$D$15:$U$67,16,0)</f>
        <v>10</v>
      </c>
      <c r="G21" s="5">
        <f t="shared" ca="1" si="1"/>
        <v>171.53846153846155</v>
      </c>
      <c r="H21" s="5">
        <f t="shared" ca="1" si="2"/>
        <v>171.53846153846155</v>
      </c>
      <c r="I21" s="67">
        <f ca="1">IF(OFFSET(Planning!$E$25,0,ROW(A18),1,1)&lt;&gt;"",-'Planning (hide)'!$G21,0)</f>
        <v>0</v>
      </c>
      <c r="J21" s="67">
        <f ca="1">IF(OFFSET(Planning!$E$25,COLUMN(A18),ROW(A18),1,1)&lt;&gt;"",OFFSET(Planning!$D$25,COLUMN(A18),0,1,1),0)</f>
        <v>0</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128.04479999999998</v>
      </c>
      <c r="AE21" s="67">
        <f ca="1">VLOOKUP($B21,'Summary Calculations (hide)'!$D$15:$U$67,18,0)</f>
        <v>12.804480000000012</v>
      </c>
    </row>
    <row r="22" spans="1:31" x14ac:dyDescent="0.25">
      <c r="A22" s="87">
        <f t="shared" ca="1" si="3"/>
        <v>44060</v>
      </c>
      <c r="B22" s="67">
        <f t="shared" ca="1" si="0"/>
        <v>34</v>
      </c>
      <c r="C22" s="5">
        <f ca="1">IF(Planning!$C$8="No",VLOOKUP(B22,'Summary Calculations (hide)'!$D$15:$U$67,17,0),IF('Demand adjustments for Covid'!$F$9="Yes",'Demand background (hide)'!DS22,VLOOKUP(B22,'Summary Calculations (hide)'!$D$15:$F$67,2,0))*IF(Planning!$C$11="",1,1+Planning!$C$11)*'Summary Calculations (hide)'!$L$4/IF(Summary!$C$8="Patients",'Summary Calculations (hide)'!$I$9,1))</f>
        <v>152.0532</v>
      </c>
      <c r="D22" s="5">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15.20532</v>
      </c>
      <c r="E22" s="5">
        <f ca="1">VLOOKUP($B22,'Summary Calculations (hide)'!$D$15:$U$67,15,0)</f>
        <v>161.53846153846155</v>
      </c>
      <c r="F22" s="5">
        <f ca="1">VLOOKUP($B22,'Summary Calculations (hide)'!$D$15:$U$67,16,0)</f>
        <v>0</v>
      </c>
      <c r="G22" s="5">
        <f t="shared" ca="1" si="1"/>
        <v>161.53846153846155</v>
      </c>
      <c r="H22" s="5">
        <f t="shared" ca="1" si="2"/>
        <v>161.53846153846155</v>
      </c>
      <c r="I22" s="67">
        <f ca="1">IF(OFFSET(Planning!$E$25,0,ROW(A19),1,1)&lt;&gt;"",-'Planning (hide)'!$G22,0)</f>
        <v>0</v>
      </c>
      <c r="J22" s="67">
        <f ca="1">IF(OFFSET(Planning!$E$25,COLUMN(A19),ROW(A19),1,1)&lt;&gt;"",OFFSET(Planning!$D$25,COLUMN(A19),0,1,1),0)</f>
        <v>0</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152.0532</v>
      </c>
      <c r="AE22" s="67">
        <f ca="1">VLOOKUP($B22,'Summary Calculations (hide)'!$D$15:$U$67,18,0)</f>
        <v>15.20532</v>
      </c>
    </row>
    <row r="23" spans="1:31" x14ac:dyDescent="0.25">
      <c r="A23" s="87">
        <f t="shared" ca="1" si="3"/>
        <v>44067</v>
      </c>
      <c r="B23" s="67">
        <f t="shared" ca="1" si="0"/>
        <v>35</v>
      </c>
      <c r="C23" s="5">
        <f ca="1">IF(Planning!$C$8="No",VLOOKUP(B23,'Summary Calculations (hide)'!$D$15:$U$67,17,0),IF('Demand adjustments for Covid'!$F$9="Yes",'Demand background (hide)'!DS23,VLOOKUP(B23,'Summary Calculations (hide)'!$D$15:$F$67,2,0))*IF(Planning!$C$11="",1,1+Planning!$C$11)*'Summary Calculations (hide)'!$L$4/IF(Summary!$C$8="Patients",'Summary Calculations (hide)'!$I$9,1))</f>
        <v>138.04829999999998</v>
      </c>
      <c r="D23" s="5">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13.80483000000001</v>
      </c>
      <c r="E23" s="5">
        <f ca="1">VLOOKUP($B23,'Summary Calculations (hide)'!$D$15:$U$67,15,0)</f>
        <v>161.53846153846155</v>
      </c>
      <c r="F23" s="5">
        <f ca="1">VLOOKUP($B23,'Summary Calculations (hide)'!$D$15:$U$67,16,0)</f>
        <v>0</v>
      </c>
      <c r="G23" s="5">
        <f t="shared" ca="1" si="1"/>
        <v>161.53846153846155</v>
      </c>
      <c r="H23" s="5">
        <f t="shared" ca="1" si="2"/>
        <v>161.53846153846155</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138.04829999999998</v>
      </c>
      <c r="AE23" s="67">
        <f ca="1">VLOOKUP($B23,'Summary Calculations (hide)'!$D$15:$U$67,18,0)</f>
        <v>13.80483000000001</v>
      </c>
    </row>
    <row r="24" spans="1:31" x14ac:dyDescent="0.25">
      <c r="A24" s="87">
        <f t="shared" ca="1" si="3"/>
        <v>44074</v>
      </c>
      <c r="B24" s="67">
        <f t="shared" ca="1" si="0"/>
        <v>36</v>
      </c>
      <c r="C24" s="5">
        <f ca="1">IF(Planning!$C$8="No",VLOOKUP(B24,'Summary Calculations (hide)'!$D$15:$U$67,17,0),IF('Demand adjustments for Covid'!$F$9="Yes",'Demand background (hide)'!DS24,VLOOKUP(B24,'Summary Calculations (hide)'!$D$15:$F$67,2,0))*IF(Planning!$C$11="",1,1+Planning!$C$11)*'Summary Calculations (hide)'!$L$4/IF(Summary!$C$8="Patients",'Summary Calculations (hide)'!$I$9,1))</f>
        <v>160.05599999999998</v>
      </c>
      <c r="D24" s="5">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16.005599999999987</v>
      </c>
      <c r="E24" s="5">
        <f ca="1">VLOOKUP($B24,'Summary Calculations (hide)'!$D$15:$U$67,15,0)</f>
        <v>161.53846153846155</v>
      </c>
      <c r="F24" s="5">
        <f ca="1">VLOOKUP($B24,'Summary Calculations (hide)'!$D$15:$U$67,16,0)</f>
        <v>0</v>
      </c>
      <c r="G24" s="5">
        <f t="shared" ca="1" si="1"/>
        <v>161.53846153846155</v>
      </c>
      <c r="H24" s="5">
        <f t="shared" ca="1" si="2"/>
        <v>161.53846153846155</v>
      </c>
      <c r="I24" s="67">
        <f ca="1">IF(OFFSET(Planning!$E$25,0,ROW(A21),1,1)&lt;&gt;"",-'Planning (hide)'!$G24,0)</f>
        <v>0</v>
      </c>
      <c r="J24" s="67">
        <f ca="1">IF(OFFSET(Planning!$E$25,COLUMN(A21),ROW(A21),1,1)&lt;&gt;"",OFFSET(Planning!$D$25,COLUMN(A21),0,1,1),0)</f>
        <v>0</v>
      </c>
      <c r="K24" s="67">
        <f ca="1">IF(OFFSET(Planning!$E$25,COLUMN(B21),ROW(B21),1,1)&lt;&gt;"",OFFSET(Planning!$D$25,COLUMN(B21),0,1,1),0)</f>
        <v>0</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160.05599999999998</v>
      </c>
      <c r="AE24" s="67">
        <f ca="1">VLOOKUP($B24,'Summary Calculations (hide)'!$D$15:$U$67,18,0)</f>
        <v>16.005599999999987</v>
      </c>
    </row>
    <row r="25" spans="1:31" x14ac:dyDescent="0.25">
      <c r="A25" s="87">
        <f t="shared" ca="1" si="3"/>
        <v>44081</v>
      </c>
      <c r="B25" s="67">
        <f t="shared" ca="1" si="0"/>
        <v>37</v>
      </c>
      <c r="C25" s="5">
        <f ca="1">IF(Planning!$C$8="No",VLOOKUP(B25,'Summary Calculations (hide)'!$D$15:$U$67,17,0),IF('Demand adjustments for Covid'!$F$9="Yes",'Demand background (hide)'!DS25,VLOOKUP(B25,'Summary Calculations (hide)'!$D$15:$F$67,2,0))*IF(Planning!$C$11="",1,1+Planning!$C$11)*'Summary Calculations (hide)'!$L$4/IF(Summary!$C$8="Patients",'Summary Calculations (hide)'!$I$9,1))</f>
        <v>146.05109999999999</v>
      </c>
      <c r="D25" s="5">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14.605110000000025</v>
      </c>
      <c r="E25" s="5">
        <f ca="1">VLOOKUP($B25,'Summary Calculations (hide)'!$D$15:$U$67,15,0)</f>
        <v>161.53846153846155</v>
      </c>
      <c r="F25" s="5">
        <f ca="1">VLOOKUP($B25,'Summary Calculations (hide)'!$D$15:$U$67,16,0)</f>
        <v>0</v>
      </c>
      <c r="G25" s="5">
        <f t="shared" ca="1" si="1"/>
        <v>161.53846153846155</v>
      </c>
      <c r="H25" s="5">
        <f t="shared" ca="1" si="2"/>
        <v>161.53846153846155</v>
      </c>
      <c r="I25" s="67">
        <f ca="1">IF(OFFSET(Planning!$E$25,0,ROW(A22),1,1)&lt;&gt;"",-'Planning (hide)'!$G25,0)</f>
        <v>0</v>
      </c>
      <c r="J25" s="67">
        <f ca="1">IF(OFFSET(Planning!$E$25,COLUMN(A22),ROW(A22),1,1)&lt;&gt;"",OFFSET(Planning!$D$25,COLUMN(A22),0,1,1),0)</f>
        <v>0</v>
      </c>
      <c r="K25" s="67">
        <f ca="1">IF(OFFSET(Planning!$E$25,COLUMN(B22),ROW(B22),1,1)&lt;&gt;"",OFFSET(Planning!$D$25,COLUMN(B22),0,1,1),0)</f>
        <v>0</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146.05109999999999</v>
      </c>
      <c r="AE25" s="67">
        <f ca="1">VLOOKUP($B25,'Summary Calculations (hide)'!$D$15:$U$67,18,0)</f>
        <v>14.605110000000025</v>
      </c>
    </row>
    <row r="26" spans="1:31" x14ac:dyDescent="0.25">
      <c r="A26" s="87">
        <f t="shared" ca="1" si="3"/>
        <v>44088</v>
      </c>
      <c r="B26" s="67">
        <f t="shared" ca="1" si="0"/>
        <v>38</v>
      </c>
      <c r="C26" s="5">
        <f ca="1">IF(Planning!$C$8="No",VLOOKUP(B26,'Summary Calculations (hide)'!$D$15:$U$67,17,0),IF('Demand adjustments for Covid'!$F$9="Yes",'Demand background (hide)'!DS26,VLOOKUP(B26,'Summary Calculations (hide)'!$D$15:$F$67,2,0))*IF(Planning!$C$11="",1,1+Planning!$C$11)*'Summary Calculations (hide)'!$L$4/IF(Summary!$C$8="Patients",'Summary Calculations (hide)'!$I$9,1))</f>
        <v>148.05179999999999</v>
      </c>
      <c r="D26" s="5">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14.805180000000007</v>
      </c>
      <c r="E26" s="5">
        <f ca="1">VLOOKUP($B26,'Summary Calculations (hide)'!$D$15:$U$67,15,0)</f>
        <v>161.53846153846155</v>
      </c>
      <c r="F26" s="5">
        <f ca="1">VLOOKUP($B26,'Summary Calculations (hide)'!$D$15:$U$67,16,0)</f>
        <v>0</v>
      </c>
      <c r="G26" s="5">
        <f t="shared" ca="1" si="1"/>
        <v>161.53846153846155</v>
      </c>
      <c r="H26" s="5">
        <f t="shared" ca="1" si="2"/>
        <v>161.53846153846155</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148.05179999999999</v>
      </c>
      <c r="AE26" s="67">
        <f ca="1">VLOOKUP($B26,'Summary Calculations (hide)'!$D$15:$U$67,18,0)</f>
        <v>14.805180000000007</v>
      </c>
    </row>
    <row r="27" spans="1:31" x14ac:dyDescent="0.25">
      <c r="A27" s="87">
        <f t="shared" ca="1" si="3"/>
        <v>44095</v>
      </c>
      <c r="B27" s="67">
        <f t="shared" ca="1" si="0"/>
        <v>39</v>
      </c>
      <c r="C27" s="5">
        <f ca="1">IF(Planning!$C$8="No",VLOOKUP(B27,'Summary Calculations (hide)'!$D$15:$U$67,17,0),IF('Demand adjustments for Covid'!$F$9="Yes",'Demand background (hide)'!DS27,VLOOKUP(B27,'Summary Calculations (hide)'!$D$15:$F$67,2,0))*IF(Planning!$C$11="",1,1+Planning!$C$11)*'Summary Calculations (hide)'!$L$4/IF(Summary!$C$8="Patients",'Summary Calculations (hide)'!$I$9,1))</f>
        <v>130.0455</v>
      </c>
      <c r="D27" s="5">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13.004549999999995</v>
      </c>
      <c r="E27" s="5">
        <f ca="1">VLOOKUP($B27,'Summary Calculations (hide)'!$D$15:$U$67,15,0)</f>
        <v>161.53846153846155</v>
      </c>
      <c r="F27" s="5">
        <f ca="1">VLOOKUP($B27,'Summary Calculations (hide)'!$D$15:$U$67,16,0)</f>
        <v>0</v>
      </c>
      <c r="G27" s="5">
        <f t="shared" ca="1" si="1"/>
        <v>161.53846153846155</v>
      </c>
      <c r="H27" s="5">
        <f t="shared" ca="1" si="2"/>
        <v>161.53846153846155</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130.0455</v>
      </c>
      <c r="AE27" s="67">
        <f ca="1">VLOOKUP($B27,'Summary Calculations (hide)'!$D$15:$U$67,18,0)</f>
        <v>13.004549999999995</v>
      </c>
    </row>
    <row r="28" spans="1:31" x14ac:dyDescent="0.25">
      <c r="A28" s="87">
        <f t="shared" ca="1" si="3"/>
        <v>44102</v>
      </c>
      <c r="B28" s="67">
        <f t="shared" ca="1" si="0"/>
        <v>40</v>
      </c>
      <c r="C28" s="5">
        <f ca="1">IF(Planning!$C$8="No",VLOOKUP(B28,'Summary Calculations (hide)'!$D$15:$U$67,17,0),IF('Demand adjustments for Covid'!$F$9="Yes",'Demand background (hide)'!DS28,VLOOKUP(B28,'Summary Calculations (hide)'!$D$15:$F$67,2,0))*IF(Planning!$C$11="",1,1+Planning!$C$11)*'Summary Calculations (hide)'!$L$4/IF(Summary!$C$8="Patients",'Summary Calculations (hide)'!$I$9,1))</f>
        <v>130.0455</v>
      </c>
      <c r="D28" s="5">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13.004549999999995</v>
      </c>
      <c r="E28" s="5">
        <f ca="1">VLOOKUP($B28,'Summary Calculations (hide)'!$D$15:$U$67,15,0)</f>
        <v>161.53846153846155</v>
      </c>
      <c r="F28" s="5">
        <f ca="1">VLOOKUP($B28,'Summary Calculations (hide)'!$D$15:$U$67,16,0)</f>
        <v>0</v>
      </c>
      <c r="G28" s="5">
        <f t="shared" ca="1" si="1"/>
        <v>161.53846153846155</v>
      </c>
      <c r="H28" s="5">
        <f t="shared" ca="1" si="2"/>
        <v>161.53846153846155</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130.0455</v>
      </c>
      <c r="AE28" s="67">
        <f ca="1">VLOOKUP($B28,'Summary Calculations (hide)'!$D$15:$U$67,18,0)</f>
        <v>13.004549999999995</v>
      </c>
    </row>
    <row r="29" spans="1:31" x14ac:dyDescent="0.25">
      <c r="A29" s="87">
        <f t="shared" ca="1" si="3"/>
        <v>44109</v>
      </c>
      <c r="B29" s="67">
        <f t="shared" ca="1" si="0"/>
        <v>41</v>
      </c>
      <c r="C29" s="5">
        <f ca="1">IF(Planning!$C$8="No",VLOOKUP(B29,'Summary Calculations (hide)'!$D$15:$U$67,17,0),IF('Demand adjustments for Covid'!$F$9="Yes",'Demand background (hide)'!DS29,VLOOKUP(B29,'Summary Calculations (hide)'!$D$15:$F$67,2,0))*IF(Planning!$C$11="",1,1+Planning!$C$11)*'Summary Calculations (hide)'!$L$4/IF(Summary!$C$8="Patients",'Summary Calculations (hide)'!$I$9,1))</f>
        <v>120.04199999999999</v>
      </c>
      <c r="D29" s="5">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12.004199999999983</v>
      </c>
      <c r="E29" s="5">
        <f ca="1">VLOOKUP($B29,'Summary Calculations (hide)'!$D$15:$U$67,15,0)</f>
        <v>161.53846153846155</v>
      </c>
      <c r="F29" s="5">
        <f ca="1">VLOOKUP($B29,'Summary Calculations (hide)'!$D$15:$U$67,16,0)</f>
        <v>0</v>
      </c>
      <c r="G29" s="5">
        <f t="shared" ca="1" si="1"/>
        <v>161.53846153846155</v>
      </c>
      <c r="H29" s="5">
        <f t="shared" ca="1" si="2"/>
        <v>161.53846153846155</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120.04199999999999</v>
      </c>
      <c r="AE29" s="67">
        <f ca="1">VLOOKUP($B29,'Summary Calculations (hide)'!$D$15:$U$67,18,0)</f>
        <v>12.004199999999983</v>
      </c>
    </row>
    <row r="30" spans="1:31" x14ac:dyDescent="0.25">
      <c r="A30" s="87">
        <f t="shared" ca="1" si="3"/>
        <v>44116</v>
      </c>
      <c r="B30" s="67">
        <f t="shared" ca="1" si="0"/>
        <v>42</v>
      </c>
      <c r="C30" s="5">
        <f ca="1">IF(Planning!$C$8="No",VLOOKUP(B30,'Summary Calculations (hide)'!$D$15:$U$67,17,0),IF('Demand adjustments for Covid'!$F$9="Yes",'Demand background (hide)'!DS30,VLOOKUP(B30,'Summary Calculations (hide)'!$D$15:$F$67,2,0))*IF(Planning!$C$11="",1,1+Planning!$C$11)*'Summary Calculations (hide)'!$L$4/IF(Summary!$C$8="Patients",'Summary Calculations (hide)'!$I$9,1))</f>
        <v>124.04339999999999</v>
      </c>
      <c r="D30" s="5">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12.404340000000019</v>
      </c>
      <c r="E30" s="5">
        <f ca="1">VLOOKUP($B30,'Summary Calculations (hide)'!$D$15:$U$67,15,0)</f>
        <v>161.53846153846155</v>
      </c>
      <c r="F30" s="5">
        <f ca="1">VLOOKUP($B30,'Summary Calculations (hide)'!$D$15:$U$67,16,0)</f>
        <v>0</v>
      </c>
      <c r="G30" s="5">
        <f t="shared" ca="1" si="1"/>
        <v>161.53846153846155</v>
      </c>
      <c r="H30" s="5">
        <f t="shared" ca="1" si="2"/>
        <v>161.53846153846155</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124.04339999999999</v>
      </c>
      <c r="AE30" s="67">
        <f ca="1">VLOOKUP($B30,'Summary Calculations (hide)'!$D$15:$U$67,18,0)</f>
        <v>12.404340000000019</v>
      </c>
    </row>
    <row r="31" spans="1:31" x14ac:dyDescent="0.25">
      <c r="A31" s="87">
        <f t="shared" ca="1" si="3"/>
        <v>44123</v>
      </c>
      <c r="B31" s="67">
        <f t="shared" ca="1" si="0"/>
        <v>43</v>
      </c>
      <c r="C31" s="5">
        <f ca="1">IF(Planning!$C$8="No",VLOOKUP(B31,'Summary Calculations (hide)'!$D$15:$U$67,17,0),IF('Demand adjustments for Covid'!$F$9="Yes",'Demand background (hide)'!DS31,VLOOKUP(B31,'Summary Calculations (hide)'!$D$15:$F$67,2,0))*IF(Planning!$C$11="",1,1+Planning!$C$11)*'Summary Calculations (hide)'!$L$4/IF(Summary!$C$8="Patients",'Summary Calculations (hide)'!$I$9,1))</f>
        <v>140.04899999999998</v>
      </c>
      <c r="D31" s="5">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14.004899999999992</v>
      </c>
      <c r="E31" s="5">
        <f ca="1">VLOOKUP($B31,'Summary Calculations (hide)'!$D$15:$U$67,15,0)</f>
        <v>161.53846153846155</v>
      </c>
      <c r="F31" s="5">
        <f ca="1">VLOOKUP($B31,'Summary Calculations (hide)'!$D$15:$U$67,16,0)</f>
        <v>0</v>
      </c>
      <c r="G31" s="5">
        <f t="shared" ca="1" si="1"/>
        <v>161.53846153846155</v>
      </c>
      <c r="H31" s="5">
        <f t="shared" ca="1" si="2"/>
        <v>161.53846153846155</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140.04899999999998</v>
      </c>
      <c r="AE31" s="67">
        <f ca="1">VLOOKUP($B31,'Summary Calculations (hide)'!$D$15:$U$67,18,0)</f>
        <v>14.004899999999992</v>
      </c>
    </row>
    <row r="32" spans="1:31" x14ac:dyDescent="0.25">
      <c r="A32" s="87">
        <f t="shared" ca="1" si="3"/>
        <v>44130</v>
      </c>
      <c r="B32" s="67">
        <f t="shared" ca="1" si="0"/>
        <v>44</v>
      </c>
      <c r="C32" s="5">
        <f ca="1">IF(Planning!$C$8="No",VLOOKUP(B32,'Summary Calculations (hide)'!$D$15:$U$67,17,0),IF('Demand adjustments for Covid'!$F$9="Yes",'Demand background (hide)'!DS32,VLOOKUP(B32,'Summary Calculations (hide)'!$D$15:$F$67,2,0))*IF(Planning!$C$11="",1,1+Planning!$C$11)*'Summary Calculations (hide)'!$L$4/IF(Summary!$C$8="Patients",'Summary Calculations (hide)'!$I$9,1))</f>
        <v>148.05179999999999</v>
      </c>
      <c r="D32" s="5">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14.805180000000007</v>
      </c>
      <c r="E32" s="5">
        <f ca="1">VLOOKUP($B32,'Summary Calculations (hide)'!$D$15:$U$67,15,0)</f>
        <v>161.53846153846155</v>
      </c>
      <c r="F32" s="5">
        <f ca="1">VLOOKUP($B32,'Summary Calculations (hide)'!$D$15:$U$67,16,0)</f>
        <v>0</v>
      </c>
      <c r="G32" s="5">
        <f t="shared" ca="1" si="1"/>
        <v>161.53846153846155</v>
      </c>
      <c r="H32" s="5">
        <f t="shared" ca="1" si="2"/>
        <v>161.53846153846155</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148.05179999999999</v>
      </c>
      <c r="AE32" s="67">
        <f ca="1">VLOOKUP($B32,'Summary Calculations (hide)'!$D$15:$U$67,18,0)</f>
        <v>14.805180000000007</v>
      </c>
    </row>
    <row r="33" spans="1:31" x14ac:dyDescent="0.25">
      <c r="A33" s="87">
        <f t="shared" ca="1" si="3"/>
        <v>44137</v>
      </c>
      <c r="B33" s="67">
        <f t="shared" ca="1" si="0"/>
        <v>45</v>
      </c>
      <c r="C33" s="5">
        <f ca="1">IF(Planning!$C$8="No",VLOOKUP(B33,'Summary Calculations (hide)'!$D$15:$U$67,17,0),IF('Demand adjustments for Covid'!$F$9="Yes",'Demand background (hide)'!DS33,VLOOKUP(B33,'Summary Calculations (hide)'!$D$15:$F$67,2,0))*IF(Planning!$C$11="",1,1+Planning!$C$11)*'Summary Calculations (hide)'!$L$4/IF(Summary!$C$8="Patients",'Summary Calculations (hide)'!$I$9,1))</f>
        <v>150.05249999999998</v>
      </c>
      <c r="D33" s="5">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15.005250000000018</v>
      </c>
      <c r="E33" s="5">
        <f ca="1">VLOOKUP($B33,'Summary Calculations (hide)'!$D$15:$U$67,15,0)</f>
        <v>161.53846153846155</v>
      </c>
      <c r="F33" s="5">
        <f ca="1">VLOOKUP($B33,'Summary Calculations (hide)'!$D$15:$U$67,16,0)</f>
        <v>0</v>
      </c>
      <c r="G33" s="5">
        <f t="shared" ca="1" si="1"/>
        <v>161.53846153846155</v>
      </c>
      <c r="H33" s="5">
        <f t="shared" ca="1" si="2"/>
        <v>161.53846153846155</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150.05249999999998</v>
      </c>
      <c r="AE33" s="67">
        <f ca="1">VLOOKUP($B33,'Summary Calculations (hide)'!$D$15:$U$67,18,0)</f>
        <v>15.005250000000018</v>
      </c>
    </row>
    <row r="34" spans="1:31" x14ac:dyDescent="0.25">
      <c r="A34" s="87">
        <f t="shared" ca="1" si="3"/>
        <v>44144</v>
      </c>
      <c r="B34" s="67">
        <f t="shared" ca="1" si="0"/>
        <v>46</v>
      </c>
      <c r="C34" s="5">
        <f ca="1">IF(Planning!$C$8="No",VLOOKUP(B34,'Summary Calculations (hide)'!$D$15:$U$67,17,0),IF('Demand adjustments for Covid'!$F$9="Yes",'Demand background (hide)'!DS34,VLOOKUP(B34,'Summary Calculations (hide)'!$D$15:$F$67,2,0))*IF(Planning!$C$11="",1,1+Planning!$C$11)*'Summary Calculations (hide)'!$L$4/IF(Summary!$C$8="Patients",'Summary Calculations (hide)'!$I$9,1))</f>
        <v>142.0497</v>
      </c>
      <c r="D34" s="5">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14.204970000000003</v>
      </c>
      <c r="E34" s="5">
        <f ca="1">VLOOKUP($B34,'Summary Calculations (hide)'!$D$15:$U$67,15,0)</f>
        <v>161.53846153846155</v>
      </c>
      <c r="F34" s="5">
        <f ca="1">VLOOKUP($B34,'Summary Calculations (hide)'!$D$15:$U$67,16,0)</f>
        <v>0</v>
      </c>
      <c r="G34" s="5">
        <f t="shared" ca="1" si="1"/>
        <v>161.53846153846155</v>
      </c>
      <c r="H34" s="5">
        <f t="shared" ca="1" si="2"/>
        <v>161.53846153846155</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142.0497</v>
      </c>
      <c r="AE34" s="67">
        <f ca="1">VLOOKUP($B34,'Summary Calculations (hide)'!$D$15:$U$67,18,0)</f>
        <v>14.204970000000003</v>
      </c>
    </row>
    <row r="35" spans="1:31" x14ac:dyDescent="0.25">
      <c r="A35" s="87">
        <f t="shared" ca="1" si="3"/>
        <v>44151</v>
      </c>
      <c r="B35" s="67">
        <f t="shared" ca="1" si="0"/>
        <v>47</v>
      </c>
      <c r="C35" s="5">
        <f ca="1">IF(Planning!$C$8="No",VLOOKUP(B35,'Summary Calculations (hide)'!$D$15:$U$67,17,0),IF('Demand adjustments for Covid'!$F$9="Yes",'Demand background (hide)'!DS35,VLOOKUP(B35,'Summary Calculations (hide)'!$D$15:$F$67,2,0))*IF(Planning!$C$11="",1,1+Planning!$C$11)*'Summary Calculations (hide)'!$L$4/IF(Summary!$C$8="Patients",'Summary Calculations (hide)'!$I$9,1))</f>
        <v>132.04619999999997</v>
      </c>
      <c r="D35" s="5">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13.204620000000006</v>
      </c>
      <c r="E35" s="5">
        <f ca="1">VLOOKUP($B35,'Summary Calculations (hide)'!$D$15:$U$67,15,0)</f>
        <v>161.53846153846155</v>
      </c>
      <c r="F35" s="5">
        <f ca="1">VLOOKUP($B35,'Summary Calculations (hide)'!$D$15:$U$67,16,0)</f>
        <v>0</v>
      </c>
      <c r="G35" s="5">
        <f t="shared" ca="1" si="1"/>
        <v>161.53846153846155</v>
      </c>
      <c r="H35" s="5">
        <f t="shared" ca="1" si="2"/>
        <v>161.53846153846155</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132.04619999999997</v>
      </c>
      <c r="AE35" s="67">
        <f ca="1">VLOOKUP($B35,'Summary Calculations (hide)'!$D$15:$U$67,18,0)</f>
        <v>13.204620000000006</v>
      </c>
    </row>
    <row r="36" spans="1:31" x14ac:dyDescent="0.25">
      <c r="A36" s="87">
        <f t="shared" ca="1" si="3"/>
        <v>44158</v>
      </c>
      <c r="B36" s="67">
        <f t="shared" ca="1" si="0"/>
        <v>48</v>
      </c>
      <c r="C36" s="5">
        <f ca="1">IF(Planning!$C$8="No",VLOOKUP(B36,'Summary Calculations (hide)'!$D$15:$U$67,17,0),IF('Demand adjustments for Covid'!$F$9="Yes",'Demand background (hide)'!DS36,VLOOKUP(B36,'Summary Calculations (hide)'!$D$15:$F$67,2,0))*IF(Planning!$C$11="",1,1+Planning!$C$11)*'Summary Calculations (hide)'!$L$4/IF(Summary!$C$8="Patients",'Summary Calculations (hide)'!$I$9,1))</f>
        <v>136.04759999999999</v>
      </c>
      <c r="D36" s="5">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13.604759999999999</v>
      </c>
      <c r="E36" s="5">
        <f ca="1">VLOOKUP($B36,'Summary Calculations (hide)'!$D$15:$U$67,15,0)</f>
        <v>161.53846153846155</v>
      </c>
      <c r="F36" s="5">
        <f ca="1">VLOOKUP($B36,'Summary Calculations (hide)'!$D$15:$U$67,16,0)</f>
        <v>0</v>
      </c>
      <c r="G36" s="5">
        <f t="shared" ca="1" si="1"/>
        <v>161.53846153846155</v>
      </c>
      <c r="H36" s="5">
        <f t="shared" ca="1" si="2"/>
        <v>161.53846153846155</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136.04759999999999</v>
      </c>
      <c r="AE36" s="67">
        <f ca="1">VLOOKUP($B36,'Summary Calculations (hide)'!$D$15:$U$67,18,0)</f>
        <v>13.604759999999999</v>
      </c>
    </row>
    <row r="37" spans="1:31" x14ac:dyDescent="0.25">
      <c r="A37" s="87">
        <f t="shared" ca="1" si="3"/>
        <v>44165</v>
      </c>
      <c r="B37" s="67">
        <f t="shared" ca="1" si="0"/>
        <v>49</v>
      </c>
      <c r="C37" s="5">
        <f ca="1">IF(Planning!$C$8="No",VLOOKUP(B37,'Summary Calculations (hide)'!$D$15:$U$67,17,0),IF('Demand adjustments for Covid'!$F$9="Yes",'Demand background (hide)'!DS37,VLOOKUP(B37,'Summary Calculations (hide)'!$D$15:$F$67,2,0))*IF(Planning!$C$11="",1,1+Planning!$C$11)*'Summary Calculations (hide)'!$L$4/IF(Summary!$C$8="Patients",'Summary Calculations (hide)'!$I$9,1))</f>
        <v>140.04899999999998</v>
      </c>
      <c r="D37" s="5">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14.004899999999992</v>
      </c>
      <c r="E37" s="5">
        <f ca="1">VLOOKUP($B37,'Summary Calculations (hide)'!$D$15:$U$67,15,0)</f>
        <v>161.53846153846155</v>
      </c>
      <c r="F37" s="5">
        <f ca="1">VLOOKUP($B37,'Summary Calculations (hide)'!$D$15:$U$67,16,0)</f>
        <v>0</v>
      </c>
      <c r="G37" s="5">
        <f t="shared" ca="1" si="1"/>
        <v>161.53846153846155</v>
      </c>
      <c r="H37" s="5">
        <f t="shared" ca="1" si="2"/>
        <v>161.53846153846155</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140.04899999999998</v>
      </c>
      <c r="AE37" s="67">
        <f ca="1">VLOOKUP($B37,'Summary Calculations (hide)'!$D$15:$U$67,18,0)</f>
        <v>14.004899999999992</v>
      </c>
    </row>
    <row r="38" spans="1:31" x14ac:dyDescent="0.25">
      <c r="A38" s="87">
        <f t="shared" ca="1" si="3"/>
        <v>44172</v>
      </c>
      <c r="B38" s="67">
        <f t="shared" ca="1" si="0"/>
        <v>50</v>
      </c>
      <c r="C38" s="5">
        <f ca="1">IF(Planning!$C$8="No",VLOOKUP(B38,'Summary Calculations (hide)'!$D$15:$U$67,17,0),IF('Demand adjustments for Covid'!$F$9="Yes",'Demand background (hide)'!DS38,VLOOKUP(B38,'Summary Calculations (hide)'!$D$15:$F$67,2,0))*IF(Planning!$C$11="",1,1+Planning!$C$11)*'Summary Calculations (hide)'!$L$4/IF(Summary!$C$8="Patients",'Summary Calculations (hide)'!$I$9,1))</f>
        <v>144.05039999999997</v>
      </c>
      <c r="D38" s="5">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14.405040000000014</v>
      </c>
      <c r="E38" s="5">
        <f ca="1">VLOOKUP($B38,'Summary Calculations (hide)'!$D$15:$U$67,15,0)</f>
        <v>161.53846153846155</v>
      </c>
      <c r="F38" s="5">
        <f ca="1">VLOOKUP($B38,'Summary Calculations (hide)'!$D$15:$U$67,16,0)</f>
        <v>0</v>
      </c>
      <c r="G38" s="5">
        <f t="shared" ca="1" si="1"/>
        <v>161.53846153846155</v>
      </c>
      <c r="H38" s="5">
        <f t="shared" ca="1" si="2"/>
        <v>161.53846153846155</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144.05039999999997</v>
      </c>
      <c r="AE38" s="67">
        <f ca="1">VLOOKUP($B38,'Summary Calculations (hide)'!$D$15:$U$67,18,0)</f>
        <v>14.405040000000014</v>
      </c>
    </row>
    <row r="39" spans="1:31" x14ac:dyDescent="0.25">
      <c r="A39" s="87">
        <f t="shared" ca="1" si="3"/>
        <v>44179</v>
      </c>
      <c r="B39" s="67">
        <f t="shared" ca="1" si="0"/>
        <v>51</v>
      </c>
      <c r="C39" s="5">
        <f ca="1">IF(Planning!$C$8="No",VLOOKUP(B39,'Summary Calculations (hide)'!$D$15:$U$67,17,0),IF('Demand adjustments for Covid'!$F$9="Yes",'Demand background (hide)'!DS39,VLOOKUP(B39,'Summary Calculations (hide)'!$D$15:$F$67,2,0))*IF(Planning!$C$11="",1,1+Planning!$C$11)*'Summary Calculations (hide)'!$L$4/IF(Summary!$C$8="Patients",'Summary Calculations (hide)'!$I$9,1))</f>
        <v>124.04339999999999</v>
      </c>
      <c r="D39" s="5">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12.404340000000019</v>
      </c>
      <c r="E39" s="5">
        <f ca="1">VLOOKUP($B39,'Summary Calculations (hide)'!$D$15:$U$67,15,0)</f>
        <v>161.53846153846155</v>
      </c>
      <c r="F39" s="5">
        <f ca="1">VLOOKUP($B39,'Summary Calculations (hide)'!$D$15:$U$67,16,0)</f>
        <v>0</v>
      </c>
      <c r="G39" s="5">
        <f t="shared" ca="1" si="1"/>
        <v>161.53846153846155</v>
      </c>
      <c r="H39" s="5">
        <f t="shared" ca="1" si="2"/>
        <v>161.53846153846155</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124.04339999999999</v>
      </c>
      <c r="AE39" s="67">
        <f ca="1">VLOOKUP($B39,'Summary Calculations (hide)'!$D$15:$U$67,18,0)</f>
        <v>12.404340000000019</v>
      </c>
    </row>
    <row r="40" spans="1:31" x14ac:dyDescent="0.25">
      <c r="A40" s="87">
        <f t="shared" ca="1" si="3"/>
        <v>44186</v>
      </c>
      <c r="B40" s="67">
        <f t="shared" ca="1" si="0"/>
        <v>52</v>
      </c>
      <c r="C40" s="5">
        <f ca="1">IF(Planning!$C$8="No",VLOOKUP(B40,'Summary Calculations (hide)'!$D$15:$U$67,17,0),IF('Demand adjustments for Covid'!$F$9="Yes",'Demand background (hide)'!DS40,VLOOKUP(B40,'Summary Calculations (hide)'!$D$15:$F$67,2,0))*IF(Planning!$C$11="",1,1+Planning!$C$11)*'Summary Calculations (hide)'!$L$4/IF(Summary!$C$8="Patients",'Summary Calculations (hide)'!$I$9,1))</f>
        <v>142.0497</v>
      </c>
      <c r="D40" s="5">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14.204970000000003</v>
      </c>
      <c r="E40" s="5">
        <f ca="1">VLOOKUP($B40,'Summary Calculations (hide)'!$D$15:$U$67,15,0)</f>
        <v>161.53846153846155</v>
      </c>
      <c r="F40" s="5">
        <f ca="1">VLOOKUP($B40,'Summary Calculations (hide)'!$D$15:$U$67,16,0)</f>
        <v>0</v>
      </c>
      <c r="G40" s="5">
        <f t="shared" ca="1" si="1"/>
        <v>161.53846153846155</v>
      </c>
      <c r="H40" s="5">
        <f t="shared" ca="1" si="2"/>
        <v>161.53846153846155</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142.0497</v>
      </c>
      <c r="AE40" s="67">
        <f ca="1">VLOOKUP($B40,'Summary Calculations (hide)'!$D$15:$U$67,18,0)</f>
        <v>14.204970000000003</v>
      </c>
    </row>
    <row r="41" spans="1:31" x14ac:dyDescent="0.25">
      <c r="A41" s="87">
        <f t="shared" ca="1" si="3"/>
        <v>44193</v>
      </c>
      <c r="B41" s="67">
        <f t="shared" ca="1" si="0"/>
        <v>1</v>
      </c>
      <c r="C41" s="5">
        <f ca="1">IF(Planning!$C$8="No",VLOOKUP(B41,'Summary Calculations (hide)'!$D$15:$U$67,17,0),IF('Demand adjustments for Covid'!$F$9="Yes",'Demand background (hide)'!DS41,VLOOKUP(B41,'Summary Calculations (hide)'!$D$15:$F$67,2,0))*IF(Planning!$C$11="",1,1+Planning!$C$11)*'Summary Calculations (hide)'!$L$4/IF(Summary!$C$8="Patients",'Summary Calculations (hide)'!$I$9,1))</f>
        <v>140.04899999999998</v>
      </c>
      <c r="D41" s="5">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14.004899999999992</v>
      </c>
      <c r="E41" s="5">
        <f ca="1">VLOOKUP($B41,'Summary Calculations (hide)'!$D$15:$U$67,15,0)</f>
        <v>161.53846153846155</v>
      </c>
      <c r="F41" s="5">
        <f ca="1">VLOOKUP($B41,'Summary Calculations (hide)'!$D$15:$U$67,16,0)</f>
        <v>0</v>
      </c>
      <c r="G41" s="5">
        <f t="shared" ca="1" si="1"/>
        <v>161.53846153846155</v>
      </c>
      <c r="H41" s="5">
        <f t="shared" ca="1" si="2"/>
        <v>161.53846153846155</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140.04899999999998</v>
      </c>
      <c r="AE41" s="67">
        <f ca="1">VLOOKUP($B41,'Summary Calculations (hide)'!$D$15:$U$67,18,0)</f>
        <v>14.004899999999992</v>
      </c>
    </row>
    <row r="42" spans="1:31" x14ac:dyDescent="0.25">
      <c r="A42" s="87">
        <f ca="1">A41+7</f>
        <v>44200</v>
      </c>
      <c r="B42" s="67">
        <f t="shared" ca="1" si="0"/>
        <v>2</v>
      </c>
      <c r="C42" s="5">
        <f ca="1">IF(Planning!$C$8="No",VLOOKUP(B42,'Summary Calculations (hide)'!$D$15:$U$67,17,0),IF('Demand adjustments for Covid'!$F$9="Yes",'Demand background (hide)'!DS42,VLOOKUP(B42,'Summary Calculations (hide)'!$D$15:$F$67,2,0))*IF(Planning!$C$11="",1,1+Planning!$C$11)*'Summary Calculations (hide)'!$L$4/IF(Summary!$C$8="Patients",'Summary Calculations (hide)'!$I$9,1))</f>
        <v>130.0455</v>
      </c>
      <c r="D42" s="5">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13.004549999999995</v>
      </c>
      <c r="E42" s="5">
        <f ca="1">VLOOKUP($B42,'Summary Calculations (hide)'!$D$15:$U$67,15,0)</f>
        <v>161.53846153846155</v>
      </c>
      <c r="F42" s="5">
        <f ca="1">VLOOKUP($B42,'Summary Calculations (hide)'!$D$15:$U$67,16,0)</f>
        <v>0</v>
      </c>
      <c r="G42" s="5">
        <f t="shared" ca="1" si="1"/>
        <v>161.53846153846155</v>
      </c>
      <c r="H42" s="5">
        <f t="shared" ca="1" si="2"/>
        <v>161.53846153846155</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130.0455</v>
      </c>
      <c r="AE42" s="67">
        <f ca="1">VLOOKUP($B42,'Summary Calculations (hide)'!$D$15:$U$67,18,0)</f>
        <v>13.004549999999995</v>
      </c>
    </row>
    <row r="43" spans="1:31" x14ac:dyDescent="0.25">
      <c r="A43" s="87">
        <f t="shared" ca="1" si="3"/>
        <v>44207</v>
      </c>
      <c r="B43" s="67">
        <f t="shared" ca="1" si="0"/>
        <v>3</v>
      </c>
      <c r="C43" s="5">
        <f ca="1">IF(Planning!$C$8="No",VLOOKUP(B43,'Summary Calculations (hide)'!$D$15:$U$67,17,0),IF('Demand adjustments for Covid'!$F$9="Yes",'Demand background (hide)'!DS43,VLOOKUP(B43,'Summary Calculations (hide)'!$D$15:$F$67,2,0))*IF(Planning!$C$11="",1,1+Planning!$C$11)*'Summary Calculations (hide)'!$L$4/IF(Summary!$C$8="Patients",'Summary Calculations (hide)'!$I$9,1))</f>
        <v>120.04199999999999</v>
      </c>
      <c r="D43" s="5">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12.004199999999983</v>
      </c>
      <c r="E43" s="5">
        <f ca="1">VLOOKUP($B43,'Summary Calculations (hide)'!$D$15:$U$67,15,0)</f>
        <v>161.53846153846155</v>
      </c>
      <c r="F43" s="5">
        <f ca="1">VLOOKUP($B43,'Summary Calculations (hide)'!$D$15:$U$67,16,0)</f>
        <v>0</v>
      </c>
      <c r="G43" s="5">
        <f t="shared" ca="1" si="1"/>
        <v>161.53846153846155</v>
      </c>
      <c r="H43" s="5">
        <f t="shared" ca="1" si="2"/>
        <v>161.53846153846155</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120.04199999999999</v>
      </c>
      <c r="AE43" s="67">
        <f ca="1">VLOOKUP($B43,'Summary Calculations (hide)'!$D$15:$U$67,18,0)</f>
        <v>12.004199999999983</v>
      </c>
    </row>
    <row r="44" spans="1:31" x14ac:dyDescent="0.25">
      <c r="A44" s="87">
        <f t="shared" ca="1" si="3"/>
        <v>44214</v>
      </c>
      <c r="B44" s="67">
        <f t="shared" ca="1" si="0"/>
        <v>4</v>
      </c>
      <c r="C44" s="5">
        <f ca="1">IF(Planning!$C$8="No",VLOOKUP(B44,'Summary Calculations (hide)'!$D$15:$U$67,17,0),IF('Demand adjustments for Covid'!$F$9="Yes",'Demand background (hide)'!DS44,VLOOKUP(B44,'Summary Calculations (hide)'!$D$15:$F$67,2,0))*IF(Planning!$C$11="",1,1+Planning!$C$11)*'Summary Calculations (hide)'!$L$4/IF(Summary!$C$8="Patients",'Summary Calculations (hide)'!$I$9,1))</f>
        <v>150.05249999999998</v>
      </c>
      <c r="D44" s="5">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15.005250000000018</v>
      </c>
      <c r="E44" s="5">
        <f ca="1">VLOOKUP($B44,'Summary Calculations (hide)'!$D$15:$U$67,15,0)</f>
        <v>161.53846153846155</v>
      </c>
      <c r="F44" s="5">
        <f ca="1">VLOOKUP($B44,'Summary Calculations (hide)'!$D$15:$U$67,16,0)</f>
        <v>0</v>
      </c>
      <c r="G44" s="5">
        <f t="shared" ca="1" si="1"/>
        <v>161.53846153846155</v>
      </c>
      <c r="H44" s="5">
        <f t="shared" ca="1" si="2"/>
        <v>161.53846153846155</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150.05249999999998</v>
      </c>
      <c r="AE44" s="67">
        <f ca="1">VLOOKUP($B44,'Summary Calculations (hide)'!$D$15:$U$67,18,0)</f>
        <v>15.005250000000018</v>
      </c>
    </row>
    <row r="45" spans="1:31" x14ac:dyDescent="0.25">
      <c r="A45" s="87">
        <f t="shared" ca="1" si="3"/>
        <v>44221</v>
      </c>
      <c r="B45" s="67">
        <f t="shared" ca="1" si="0"/>
        <v>5</v>
      </c>
      <c r="C45" s="5">
        <f ca="1">IF(Planning!$C$8="No",VLOOKUP(B45,'Summary Calculations (hide)'!$D$15:$U$67,17,0),IF('Demand adjustments for Covid'!$F$9="Yes",'Demand background (hide)'!DS45,VLOOKUP(B45,'Summary Calculations (hide)'!$D$15:$F$67,2,0))*IF(Planning!$C$11="",1,1+Planning!$C$11)*'Summary Calculations (hide)'!$L$4/IF(Summary!$C$8="Patients",'Summary Calculations (hide)'!$I$9,1))</f>
        <v>154.05389999999997</v>
      </c>
      <c r="D45" s="5">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15.40539000000004</v>
      </c>
      <c r="E45" s="5">
        <f ca="1">VLOOKUP($B45,'Summary Calculations (hide)'!$D$15:$U$67,15,0)</f>
        <v>161.53846153846155</v>
      </c>
      <c r="F45" s="5">
        <f ca="1">VLOOKUP($B45,'Summary Calculations (hide)'!$D$15:$U$67,16,0)</f>
        <v>0</v>
      </c>
      <c r="G45" s="5">
        <f t="shared" ca="1" si="1"/>
        <v>161.53846153846155</v>
      </c>
      <c r="H45" s="5">
        <f t="shared" ca="1" si="2"/>
        <v>161.53846153846155</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154.05389999999997</v>
      </c>
      <c r="AE45" s="67">
        <f ca="1">VLOOKUP($B45,'Summary Calculations (hide)'!$D$15:$U$67,18,0)</f>
        <v>15.40539000000004</v>
      </c>
    </row>
    <row r="46" spans="1:31" x14ac:dyDescent="0.25">
      <c r="A46" s="87">
        <f t="shared" ca="1" si="3"/>
        <v>44228</v>
      </c>
      <c r="B46" s="67">
        <f t="shared" ca="1" si="0"/>
        <v>6</v>
      </c>
      <c r="C46" s="5">
        <f ca="1">IF(Planning!$C$8="No",VLOOKUP(B46,'Summary Calculations (hide)'!$D$15:$U$67,17,0),IF('Demand adjustments for Covid'!$F$9="Yes",'Demand background (hide)'!DS46,VLOOKUP(B46,'Summary Calculations (hide)'!$D$15:$F$67,2,0))*IF(Planning!$C$11="",1,1+Planning!$C$11)*'Summary Calculations (hide)'!$L$4/IF(Summary!$C$8="Patients",'Summary Calculations (hide)'!$I$9,1))</f>
        <v>140.04899999999998</v>
      </c>
      <c r="D46" s="5">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14.004899999999992</v>
      </c>
      <c r="E46" s="5">
        <f ca="1">VLOOKUP($B46,'Summary Calculations (hide)'!$D$15:$U$67,15,0)</f>
        <v>161.53846153846155</v>
      </c>
      <c r="F46" s="5">
        <f ca="1">VLOOKUP($B46,'Summary Calculations (hide)'!$D$15:$U$67,16,0)</f>
        <v>0</v>
      </c>
      <c r="G46" s="5">
        <f t="shared" ca="1" si="1"/>
        <v>161.53846153846155</v>
      </c>
      <c r="H46" s="5">
        <f t="shared" ca="1" si="2"/>
        <v>161.53846153846155</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140.04899999999998</v>
      </c>
      <c r="AE46" s="67">
        <f ca="1">VLOOKUP($B46,'Summary Calculations (hide)'!$D$15:$U$67,18,0)</f>
        <v>14.004899999999992</v>
      </c>
    </row>
    <row r="47" spans="1:31" x14ac:dyDescent="0.25">
      <c r="A47" s="87">
        <f t="shared" ca="1" si="3"/>
        <v>44235</v>
      </c>
      <c r="B47" s="67">
        <f t="shared" ca="1" si="0"/>
        <v>7</v>
      </c>
      <c r="C47" s="5">
        <f ca="1">IF(Planning!$C$8="No",VLOOKUP(B47,'Summary Calculations (hide)'!$D$15:$U$67,17,0),IF('Demand adjustments for Covid'!$F$9="Yes",'Demand background (hide)'!DS47,VLOOKUP(B47,'Summary Calculations (hide)'!$D$15:$F$67,2,0))*IF(Planning!$C$11="",1,1+Planning!$C$11)*'Summary Calculations (hide)'!$L$4/IF(Summary!$C$8="Patients",'Summary Calculations (hide)'!$I$9,1))</f>
        <v>136.04759999999999</v>
      </c>
      <c r="D47" s="5">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13.604759999999999</v>
      </c>
      <c r="E47" s="5">
        <f ca="1">VLOOKUP($B47,'Summary Calculations (hide)'!$D$15:$U$67,15,0)</f>
        <v>161.53846153846155</v>
      </c>
      <c r="F47" s="5">
        <f ca="1">VLOOKUP($B47,'Summary Calculations (hide)'!$D$15:$U$67,16,0)</f>
        <v>0</v>
      </c>
      <c r="G47" s="5">
        <f t="shared" ca="1" si="1"/>
        <v>161.53846153846155</v>
      </c>
      <c r="H47" s="5">
        <f t="shared" ca="1" si="2"/>
        <v>161.53846153846155</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136.04759999999999</v>
      </c>
      <c r="AE47" s="67">
        <f ca="1">VLOOKUP($B47,'Summary Calculations (hide)'!$D$15:$U$67,18,0)</f>
        <v>13.604759999999999</v>
      </c>
    </row>
    <row r="48" spans="1:31" x14ac:dyDescent="0.25">
      <c r="A48" s="87">
        <f t="shared" ca="1" si="3"/>
        <v>44242</v>
      </c>
      <c r="B48" s="67">
        <f t="shared" ca="1" si="0"/>
        <v>8</v>
      </c>
      <c r="C48" s="5">
        <f ca="1">IF(Planning!$C$8="No",VLOOKUP(B48,'Summary Calculations (hide)'!$D$15:$U$67,17,0),IF('Demand adjustments for Covid'!$F$9="Yes",'Demand background (hide)'!DS48,VLOOKUP(B48,'Summary Calculations (hide)'!$D$15:$F$67,2,0))*IF(Planning!$C$11="",1,1+Planning!$C$11)*'Summary Calculations (hide)'!$L$4/IF(Summary!$C$8="Patients",'Summary Calculations (hide)'!$I$9,1))</f>
        <v>152.0532</v>
      </c>
      <c r="D48" s="5">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15.20532</v>
      </c>
      <c r="E48" s="5">
        <f ca="1">VLOOKUP($B48,'Summary Calculations (hide)'!$D$15:$U$67,15,0)</f>
        <v>161.53846153846155</v>
      </c>
      <c r="F48" s="5">
        <f ca="1">VLOOKUP($B48,'Summary Calculations (hide)'!$D$15:$U$67,16,0)</f>
        <v>0</v>
      </c>
      <c r="G48" s="5">
        <f t="shared" ca="1" si="1"/>
        <v>161.53846153846155</v>
      </c>
      <c r="H48" s="5">
        <f t="shared" ca="1" si="2"/>
        <v>161.53846153846155</v>
      </c>
      <c r="I48" s="67">
        <f ca="1">IF(OFFSET(Planning!$E$25,0,ROW(A45),1,1)&lt;&gt;"",-'Planning (hide)'!$G48,0)</f>
        <v>0</v>
      </c>
      <c r="J48" s="67">
        <f ca="1">IF(OFFSET(Planning!$E$25,COLUMN(A45),ROW(A45),1,1)&lt;&gt;"",OFFSET(Planning!$D$25,COLUMN(A45),0,1,1),0)</f>
        <v>0</v>
      </c>
      <c r="K48" s="67">
        <f ca="1">IF(OFFSET(Planning!$E$25,COLUMN(B45),ROW(B45),1,1)&lt;&gt;"",OFFSET(Planning!$D$25,COLUMN(B45),0,1,1),0)</f>
        <v>0</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152.0532</v>
      </c>
      <c r="AE48" s="67">
        <f ca="1">VLOOKUP($B48,'Summary Calculations (hide)'!$D$15:$U$67,18,0)</f>
        <v>15.20532</v>
      </c>
    </row>
    <row r="49" spans="1:31" x14ac:dyDescent="0.25">
      <c r="A49" s="87">
        <f t="shared" ca="1" si="3"/>
        <v>44249</v>
      </c>
      <c r="B49" s="67">
        <f t="shared" ca="1" si="0"/>
        <v>9</v>
      </c>
      <c r="C49" s="5">
        <f ca="1">IF(Planning!$C$8="No",VLOOKUP(B49,'Summary Calculations (hide)'!$D$15:$U$67,17,0),IF('Demand adjustments for Covid'!$F$9="Yes",'Demand background (hide)'!DS49,VLOOKUP(B49,'Summary Calculations (hide)'!$D$15:$F$67,2,0))*IF(Planning!$C$11="",1,1+Planning!$C$11)*'Summary Calculations (hide)'!$L$4/IF(Summary!$C$8="Patients",'Summary Calculations (hide)'!$I$9,1))</f>
        <v>148.05179999999999</v>
      </c>
      <c r="D49" s="5">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14.805180000000007</v>
      </c>
      <c r="E49" s="5">
        <f ca="1">VLOOKUP($B49,'Summary Calculations (hide)'!$D$15:$U$67,15,0)</f>
        <v>161.53846153846155</v>
      </c>
      <c r="F49" s="5">
        <f ca="1">VLOOKUP($B49,'Summary Calculations (hide)'!$D$15:$U$67,16,0)</f>
        <v>0</v>
      </c>
      <c r="G49" s="5">
        <f t="shared" ca="1" si="1"/>
        <v>161.53846153846155</v>
      </c>
      <c r="H49" s="5">
        <f t="shared" ca="1" si="2"/>
        <v>161.53846153846155</v>
      </c>
      <c r="I49" s="67">
        <f ca="1">IF(OFFSET(Planning!$E$25,0,ROW(A46),1,1)&lt;&gt;"",-'Planning (hide)'!$G49,0)</f>
        <v>0</v>
      </c>
      <c r="J49" s="67">
        <f ca="1">IF(OFFSET(Planning!$E$25,COLUMN(A46),ROW(A46),1,1)&lt;&gt;"",OFFSET(Planning!$D$25,COLUMN(A46),0,1,1),0)</f>
        <v>0</v>
      </c>
      <c r="K49" s="67">
        <f ca="1">IF(OFFSET(Planning!$E$25,COLUMN(B46),ROW(B46),1,1)&lt;&gt;"",OFFSET(Planning!$D$25,COLUMN(B46),0,1,1),0)</f>
        <v>0</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148.05179999999999</v>
      </c>
      <c r="AE49" s="67">
        <f ca="1">VLOOKUP($B49,'Summary Calculations (hide)'!$D$15:$U$67,18,0)</f>
        <v>14.805180000000007</v>
      </c>
    </row>
    <row r="50" spans="1:31" x14ac:dyDescent="0.25">
      <c r="A50" s="87">
        <f t="shared" ca="1" si="3"/>
        <v>44256</v>
      </c>
      <c r="B50" s="67">
        <f t="shared" ca="1" si="0"/>
        <v>10</v>
      </c>
      <c r="C50" s="5">
        <f ca="1">IF(Planning!$C$8="No",VLOOKUP(B50,'Summary Calculations (hide)'!$D$15:$U$67,17,0),IF('Demand adjustments for Covid'!$F$9="Yes",'Demand background (hide)'!DS50,VLOOKUP(B50,'Summary Calculations (hide)'!$D$15:$F$67,2,0))*IF(Planning!$C$11="",1,1+Planning!$C$11)*'Summary Calculations (hide)'!$L$4/IF(Summary!$C$8="Patients",'Summary Calculations (hide)'!$I$9,1))</f>
        <v>148.05179999999999</v>
      </c>
      <c r="D50" s="5">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14.805180000000007</v>
      </c>
      <c r="E50" s="5">
        <f ca="1">VLOOKUP($B50,'Summary Calculations (hide)'!$D$15:$U$67,15,0)</f>
        <v>161.53846153846155</v>
      </c>
      <c r="F50" s="5">
        <f ca="1">VLOOKUP($B50,'Summary Calculations (hide)'!$D$15:$U$67,16,0)</f>
        <v>0</v>
      </c>
      <c r="G50" s="5">
        <f t="shared" ca="1" si="1"/>
        <v>161.53846153846155</v>
      </c>
      <c r="H50" s="5">
        <f t="shared" ca="1" si="2"/>
        <v>161.53846153846155</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148.05179999999999</v>
      </c>
      <c r="AE50" s="67">
        <f ca="1">VLOOKUP($B50,'Summary Calculations (hide)'!$D$15:$U$67,18,0)</f>
        <v>14.805180000000007</v>
      </c>
    </row>
    <row r="51" spans="1:31" x14ac:dyDescent="0.25">
      <c r="A51" s="87">
        <f t="shared" ca="1" si="3"/>
        <v>44263</v>
      </c>
      <c r="B51" s="67">
        <f t="shared" ca="1" si="0"/>
        <v>11</v>
      </c>
      <c r="C51" s="5">
        <f ca="1">IF(Planning!$C$8="No",VLOOKUP(B51,'Summary Calculations (hide)'!$D$15:$U$67,17,0),IF('Demand adjustments for Covid'!$F$9="Yes",'Demand background (hide)'!DS51,VLOOKUP(B51,'Summary Calculations (hide)'!$D$15:$F$67,2,0))*IF(Planning!$C$11="",1,1+Planning!$C$11)*'Summary Calculations (hide)'!$L$4/IF(Summary!$C$8="Patients",'Summary Calculations (hide)'!$I$9,1))</f>
        <v>140.04899999999998</v>
      </c>
      <c r="D51" s="5">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14.004899999999992</v>
      </c>
      <c r="E51" s="5">
        <f ca="1">VLOOKUP($B51,'Summary Calculations (hide)'!$D$15:$U$67,15,0)</f>
        <v>161.53846153846155</v>
      </c>
      <c r="F51" s="5">
        <f ca="1">VLOOKUP($B51,'Summary Calculations (hide)'!$D$15:$U$67,16,0)</f>
        <v>0</v>
      </c>
      <c r="G51" s="5">
        <f t="shared" ca="1" si="1"/>
        <v>161.53846153846155</v>
      </c>
      <c r="H51" s="5">
        <f t="shared" ca="1" si="2"/>
        <v>161.53846153846155</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140.04899999999998</v>
      </c>
      <c r="AE51" s="67">
        <f ca="1">VLOOKUP($B51,'Summary Calculations (hide)'!$D$15:$U$67,18,0)</f>
        <v>14.004899999999992</v>
      </c>
    </row>
    <row r="52" spans="1:31" x14ac:dyDescent="0.25">
      <c r="A52" s="87">
        <f t="shared" ca="1" si="3"/>
        <v>44270</v>
      </c>
      <c r="B52" s="67">
        <f t="shared" ca="1" si="0"/>
        <v>12</v>
      </c>
      <c r="C52" s="5">
        <f ca="1">IF(Planning!$C$8="No",VLOOKUP(B52,'Summary Calculations (hide)'!$D$15:$U$67,17,0),IF('Demand adjustments for Covid'!$F$9="Yes",'Demand background (hide)'!DS52,VLOOKUP(B52,'Summary Calculations (hide)'!$D$15:$F$67,2,0))*IF(Planning!$C$11="",1,1+Planning!$C$11)*'Summary Calculations (hide)'!$L$4/IF(Summary!$C$8="Patients",'Summary Calculations (hide)'!$I$9,1))</f>
        <v>152.0532</v>
      </c>
      <c r="D52" s="5">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15.20532</v>
      </c>
      <c r="E52" s="5">
        <f ca="1">VLOOKUP($B52,'Summary Calculations (hide)'!$D$15:$U$67,15,0)</f>
        <v>161.53846153846155</v>
      </c>
      <c r="F52" s="5">
        <f ca="1">VLOOKUP($B52,'Summary Calculations (hide)'!$D$15:$U$67,16,0)</f>
        <v>0</v>
      </c>
      <c r="G52" s="5">
        <f t="shared" ca="1" si="1"/>
        <v>161.53846153846155</v>
      </c>
      <c r="H52" s="5">
        <f t="shared" ca="1" si="2"/>
        <v>161.53846153846155</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152.0532</v>
      </c>
      <c r="AE52" s="67">
        <f ca="1">VLOOKUP($B52,'Summary Calculations (hide)'!$D$15:$U$67,18,0)</f>
        <v>15.20532</v>
      </c>
    </row>
    <row r="53" spans="1:31" x14ac:dyDescent="0.25">
      <c r="A53" s="87">
        <f t="shared" ca="1" si="3"/>
        <v>44277</v>
      </c>
      <c r="B53" s="67">
        <f t="shared" ca="1" si="0"/>
        <v>13</v>
      </c>
      <c r="C53" s="5">
        <f ca="1">IF(Planning!$C$8="No",VLOOKUP(B53,'Summary Calculations (hide)'!$D$15:$U$67,17,0),IF('Demand adjustments for Covid'!$F$9="Yes",'Demand background (hide)'!DS53,VLOOKUP(B53,'Summary Calculations (hide)'!$D$15:$F$67,2,0))*IF(Planning!$C$11="",1,1+Planning!$C$11)*'Summary Calculations (hide)'!$L$4/IF(Summary!$C$8="Patients",'Summary Calculations (hide)'!$I$9,1))</f>
        <v>146.05109999999999</v>
      </c>
      <c r="D53" s="5">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14.605110000000025</v>
      </c>
      <c r="E53" s="5">
        <f ca="1">VLOOKUP($B53,'Summary Calculations (hide)'!$D$15:$U$67,15,0)</f>
        <v>161.53846153846155</v>
      </c>
      <c r="F53" s="5">
        <f ca="1">VLOOKUP($B53,'Summary Calculations (hide)'!$D$15:$U$67,16,0)</f>
        <v>0</v>
      </c>
      <c r="G53" s="5">
        <f t="shared" ca="1" si="1"/>
        <v>161.53846153846155</v>
      </c>
      <c r="H53" s="5">
        <f t="shared" ca="1" si="2"/>
        <v>161.53846153846155</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146.05109999999999</v>
      </c>
      <c r="AE53" s="67">
        <f ca="1">VLOOKUP($B53,'Summary Calculations (hide)'!$D$15:$U$67,18,0)</f>
        <v>14.605110000000025</v>
      </c>
    </row>
    <row r="54" spans="1:31" x14ac:dyDescent="0.25">
      <c r="A54" s="87">
        <f t="shared" ca="1" si="3"/>
        <v>44284</v>
      </c>
      <c r="B54" s="67">
        <f t="shared" ca="1" si="0"/>
        <v>14</v>
      </c>
      <c r="C54" s="5">
        <f ca="1">IF(Planning!$C$8="No",VLOOKUP(B54,'Summary Calculations (hide)'!$D$15:$U$67,17,0),IF('Demand adjustments for Covid'!$F$9="Yes",'Demand background (hide)'!DS54,VLOOKUP(B54,'Summary Calculations (hide)'!$D$15:$F$67,2,0))*IF(Planning!$C$11="",1,1+Planning!$C$11)*'Summary Calculations (hide)'!$L$4/IF(Summary!$C$8="Patients",'Summary Calculations (hide)'!$I$9,1))</f>
        <v>130.0455</v>
      </c>
      <c r="D54" s="5">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13.004549999999995</v>
      </c>
      <c r="E54" s="5">
        <f ca="1">VLOOKUP($B54,'Summary Calculations (hide)'!$D$15:$U$67,15,0)</f>
        <v>161.53846153846155</v>
      </c>
      <c r="F54" s="5">
        <f ca="1">VLOOKUP($B54,'Summary Calculations (hide)'!$D$15:$U$67,16,0)</f>
        <v>0</v>
      </c>
      <c r="G54" s="5">
        <f t="shared" ca="1" si="1"/>
        <v>161.53846153846155</v>
      </c>
      <c r="H54" s="5">
        <f t="shared" ca="1" si="2"/>
        <v>161.53846153846155</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130.0455</v>
      </c>
      <c r="AE54" s="67">
        <f ca="1">VLOOKUP($B54,'Summary Calculations (hide)'!$D$15:$U$67,18,0)</f>
        <v>13.004549999999995</v>
      </c>
    </row>
    <row r="55" spans="1:31" x14ac:dyDescent="0.25">
      <c r="A55" s="87">
        <f t="shared" ca="1" si="3"/>
        <v>44291</v>
      </c>
      <c r="B55" s="67">
        <f t="shared" ca="1" si="0"/>
        <v>15</v>
      </c>
      <c r="C55" s="5">
        <f ca="1">IF(Planning!$C$8="No",VLOOKUP(B55,'Summary Calculations (hide)'!$D$15:$U$67,17,0),IF('Demand adjustments for Covid'!$F$9="Yes",'Demand background (hide)'!DS55,VLOOKUP(B55,'Summary Calculations (hide)'!$D$15:$F$67,2,0))*IF(Planning!$C$11="",1,1+Planning!$C$11)*'Summary Calculations (hide)'!$L$4/IF(Summary!$C$8="Patients",'Summary Calculations (hide)'!$I$9,1))</f>
        <v>142.0497</v>
      </c>
      <c r="D55" s="5">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13.304654999999997</v>
      </c>
      <c r="E55" s="5">
        <f ca="1">VLOOKUP($B55,'Summary Calculations (hide)'!$D$15:$U$67,15,0)</f>
        <v>161.53846153846155</v>
      </c>
      <c r="F55" s="5">
        <f ca="1">VLOOKUP($B55,'Summary Calculations (hide)'!$D$15:$U$67,16,0)</f>
        <v>0</v>
      </c>
      <c r="G55" s="5">
        <f t="shared" ca="1" si="1"/>
        <v>161.53846153846155</v>
      </c>
      <c r="H55" s="5">
        <f t="shared" ca="1" si="2"/>
        <v>161.53846153846155</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142.0497</v>
      </c>
      <c r="AE55" s="67">
        <f ca="1">VLOOKUP($B55,'Summary Calculations (hide)'!$D$15:$U$67,18,0)</f>
        <v>13.304654999999997</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6" t="s">
        <v>528</v>
      </c>
      <c r="B3" s="166" t="s">
        <v>11</v>
      </c>
    </row>
    <row r="4" spans="1:3" x14ac:dyDescent="0.25">
      <c r="A4" s="167" t="s">
        <v>529</v>
      </c>
      <c r="B4" s="167" t="s">
        <v>530</v>
      </c>
      <c r="C4" s="5">
        <f ca="1">'Summary Calculations (hide)'!X72</f>
        <v>142.0496999999998</v>
      </c>
    </row>
    <row r="5" spans="1:3" x14ac:dyDescent="0.25">
      <c r="A5" s="167" t="s">
        <v>531</v>
      </c>
      <c r="B5" s="167" t="s">
        <v>532</v>
      </c>
      <c r="C5" s="5">
        <f ca="1">'Summary Calculations (hide)'!M70</f>
        <v>125.55336226415092</v>
      </c>
    </row>
    <row r="6" spans="1:3" x14ac:dyDescent="0.25">
      <c r="A6" s="167" t="s">
        <v>533</v>
      </c>
      <c r="B6" s="167" t="s">
        <v>534</v>
      </c>
      <c r="C6" s="5">
        <f ca="1">'Summary Calculations (hide)'!N70</f>
        <v>137.64627254716979</v>
      </c>
    </row>
    <row r="7" spans="1:3" ht="41.4" x14ac:dyDescent="0.25">
      <c r="A7" s="167" t="s">
        <v>99</v>
      </c>
      <c r="B7" s="167" t="s">
        <v>535</v>
      </c>
      <c r="C7">
        <f ca="1">'Parameters calculator (hide)'!B45</f>
        <v>7.9999999999999988E-2</v>
      </c>
    </row>
    <row r="8" spans="1:3" ht="27.6" x14ac:dyDescent="0.25">
      <c r="A8" s="167" t="s">
        <v>536</v>
      </c>
      <c r="B8" s="167" t="s">
        <v>537</v>
      </c>
      <c r="C8">
        <f ca="1">'Parameters calculator (hide)'!B46</f>
        <v>0.2</v>
      </c>
    </row>
    <row r="9" spans="1:3" ht="41.4" x14ac:dyDescent="0.25">
      <c r="A9" s="167" t="s">
        <v>538</v>
      </c>
      <c r="B9" s="167" t="s">
        <v>539</v>
      </c>
      <c r="C9">
        <v>0</v>
      </c>
    </row>
    <row r="10" spans="1:3" ht="27.6" x14ac:dyDescent="0.25">
      <c r="A10" s="167" t="s">
        <v>540</v>
      </c>
      <c r="B10" s="167" t="s">
        <v>541</v>
      </c>
      <c r="C10">
        <v>0</v>
      </c>
    </row>
    <row r="11" spans="1:3" ht="41.4" x14ac:dyDescent="0.25">
      <c r="A11" s="167" t="s">
        <v>542</v>
      </c>
      <c r="B11" s="167" t="s">
        <v>543</v>
      </c>
      <c r="C11">
        <f ca="1">'Parameters calculator (hide)'!B47</f>
        <v>0.8</v>
      </c>
    </row>
    <row r="12" spans="1:3" x14ac:dyDescent="0.25">
      <c r="A12" s="167" t="s">
        <v>494</v>
      </c>
      <c r="B12" s="167" t="s">
        <v>544</v>
      </c>
      <c r="C12" s="5">
        <f ca="1">SUM('Summary Calculations (hide)'!R70:S70)</f>
        <v>142.3222060957911</v>
      </c>
    </row>
    <row r="13" spans="1:3" x14ac:dyDescent="0.25">
      <c r="A13" s="167" t="s">
        <v>545</v>
      </c>
      <c r="B13" s="167" t="s">
        <v>546</v>
      </c>
      <c r="C13" s="5">
        <f ca="1">'Parameters calculator (hide)'!F63</f>
        <v>284</v>
      </c>
    </row>
    <row r="14" spans="1:3" x14ac:dyDescent="0.25">
      <c r="A14" s="167" t="s">
        <v>547</v>
      </c>
      <c r="B14" s="167" t="s">
        <v>548</v>
      </c>
      <c r="C14" s="5">
        <f ca="1">'Parameters calculator (hide)'!B79</f>
        <v>76</v>
      </c>
    </row>
    <row r="15" spans="1:3" x14ac:dyDescent="0.25">
      <c r="A15" s="167" t="s">
        <v>75</v>
      </c>
      <c r="B15" s="167" t="s">
        <v>549</v>
      </c>
      <c r="C15">
        <f ca="1">'Parameters calculator (hide)'!B43+'Parameters calculator (hide)'!B44</f>
        <v>6.0999999999999999E-2</v>
      </c>
    </row>
    <row r="16" spans="1:3" x14ac:dyDescent="0.25">
      <c r="A16" s="167" t="s">
        <v>550</v>
      </c>
      <c r="B16" s="167" t="s">
        <v>551</v>
      </c>
      <c r="C16">
        <v>0</v>
      </c>
    </row>
    <row r="17" spans="1:3" x14ac:dyDescent="0.25">
      <c r="A17" s="167" t="s">
        <v>552</v>
      </c>
      <c r="B17" s="167" t="s">
        <v>553</v>
      </c>
      <c r="C17">
        <f>IF(Summary!$C$8="Patients",0,1)</f>
        <v>1</v>
      </c>
    </row>
    <row r="18" spans="1:3" ht="27.6" x14ac:dyDescent="0.25">
      <c r="A18" s="167" t="s">
        <v>554</v>
      </c>
      <c r="B18" s="167" t="s">
        <v>555</v>
      </c>
      <c r="C18">
        <f ca="1">IF(C17=0,1,'Summary Calculations (hide)'!$I$9)</f>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2020-06-11T12:19:15Z</dcterms:modified>
</cp:coreProperties>
</file>