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E25AA92E-39C7-420E-B9C6-674160F5705D}" xr6:coauthVersionLast="41" xr6:coauthVersionMax="41" xr10:uidLastSave="{00000000-0000-0000-0000-000000000000}"/>
  <bookViews>
    <workbookView xWindow="-108" yWindow="-108" windowWidth="23256" windowHeight="12576" tabRatio="794" firstSheet="3"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s="1"/>
  <c r="B13" i="18"/>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CL196"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Z142" i="31" l="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54" i="15" l="1"/>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8" i="37" l="1"/>
  <c r="C46" i="26"/>
  <c r="D18" i="35"/>
  <c r="I7" i="17"/>
  <c r="C47" i="26"/>
  <c r="C11" i="37"/>
  <c r="M36" i="17"/>
  <c r="M44" i="17"/>
  <c r="T44" i="17" s="1"/>
  <c r="M47" i="17"/>
  <c r="M62" i="17"/>
  <c r="M38" i="17"/>
  <c r="M58" i="17"/>
  <c r="M50" i="17"/>
  <c r="M57" i="17"/>
  <c r="T57" i="17" s="1"/>
  <c r="M59" i="17"/>
  <c r="M35" i="17"/>
  <c r="M67" i="17"/>
  <c r="T67" i="17" s="1"/>
  <c r="M34" i="17"/>
  <c r="M33" i="17"/>
  <c r="M56" i="17"/>
  <c r="M48" i="17"/>
  <c r="M49" i="17"/>
  <c r="M46" i="17"/>
  <c r="M37" i="17"/>
  <c r="M60" i="17"/>
  <c r="M45" i="17"/>
  <c r="T45" i="17" s="1"/>
  <c r="M61" i="17"/>
  <c r="M32" i="17"/>
  <c r="B11" i="39"/>
  <c r="G57" i="26" l="1"/>
  <c r="G56" i="26"/>
  <c r="G55" i="26"/>
  <c r="F62" i="26" s="1"/>
  <c r="J7" i="17"/>
  <c r="L4" i="17" s="1"/>
  <c r="B8" i="39"/>
  <c r="X32" i="17"/>
  <c r="X26" i="17"/>
  <c r="X56" i="17"/>
  <c r="X65" i="17"/>
  <c r="X49" i="17"/>
  <c r="X67" i="17"/>
  <c r="X24" i="17"/>
  <c r="X62" i="17"/>
  <c r="X23" i="17"/>
  <c r="X57" i="17"/>
  <c r="X30" i="17"/>
  <c r="X60" i="17"/>
  <c r="X59" i="17"/>
  <c r="X31" i="17"/>
  <c r="X63" i="17"/>
  <c r="X45" i="17"/>
  <c r="X22" i="17"/>
  <c r="X36" i="17"/>
  <c r="X41" i="17"/>
  <c r="X34" i="17"/>
  <c r="X18" i="17"/>
  <c r="X66" i="17"/>
  <c r="X40" i="17"/>
  <c r="X47" i="17"/>
  <c r="X43" i="17"/>
  <c r="X16" i="17"/>
  <c r="X37" i="17"/>
  <c r="X53" i="17"/>
  <c r="X54" i="17"/>
  <c r="X38" i="17"/>
  <c r="X52" i="17"/>
  <c r="X20" i="17"/>
  <c r="X42" i="17"/>
  <c r="X46" i="17"/>
  <c r="X61" i="17"/>
  <c r="X15" i="17"/>
  <c r="X48" i="17"/>
  <c r="X33" i="17"/>
  <c r="X64" i="17"/>
  <c r="X29" i="17"/>
  <c r="X39" i="17"/>
  <c r="X28" i="17"/>
  <c r="X25" i="17"/>
  <c r="X58" i="17"/>
  <c r="X44" i="17"/>
  <c r="X51" i="17"/>
  <c r="X55" i="17"/>
  <c r="X27" i="17"/>
  <c r="X21" i="17"/>
  <c r="X35" i="17"/>
  <c r="X19" i="17"/>
  <c r="X17" i="17"/>
  <c r="X50" i="17"/>
  <c r="B15" i="39" l="1"/>
  <c r="B16" i="39" s="1"/>
  <c r="B12" i="39"/>
  <c r="B13" i="39" s="1"/>
  <c r="N36" i="39"/>
  <c r="N21" i="39"/>
  <c r="N45" i="39"/>
  <c r="M56" i="39"/>
  <c r="M44" i="39"/>
  <c r="N62" i="39"/>
  <c r="N44" i="39"/>
  <c r="M48" i="39"/>
  <c r="M25" i="39"/>
  <c r="N57" i="39"/>
  <c r="M40" i="39"/>
  <c r="M57" i="39"/>
  <c r="N24" i="39"/>
  <c r="M38" i="39"/>
  <c r="N37" i="39"/>
  <c r="N43" i="39"/>
  <c r="M60" i="39"/>
  <c r="N13" i="39"/>
  <c r="M23" i="39"/>
  <c r="M33" i="39"/>
  <c r="M61" i="39"/>
  <c r="M21" i="39"/>
  <c r="M14" i="39"/>
  <c r="M17" i="39"/>
  <c r="M31" i="39"/>
  <c r="N38" i="39"/>
  <c r="N33" i="39"/>
  <c r="N22" i="39"/>
  <c r="M52" i="39"/>
  <c r="N39" i="39"/>
  <c r="M64" i="39"/>
  <c r="M43" i="39"/>
  <c r="M51" i="39"/>
  <c r="N25" i="39"/>
  <c r="N32" i="39"/>
  <c r="N64" i="39"/>
  <c r="M63" i="39"/>
  <c r="M37" i="39"/>
  <c r="M58" i="39"/>
  <c r="M47" i="39"/>
  <c r="N60" i="39"/>
  <c r="M15" i="39"/>
  <c r="N59" i="39"/>
  <c r="M49" i="39"/>
  <c r="M26" i="39"/>
  <c r="M46" i="39"/>
  <c r="N51" i="39"/>
  <c r="N23" i="39"/>
  <c r="N46" i="39"/>
  <c r="M34" i="39"/>
  <c r="M19" i="39"/>
  <c r="N54" i="39"/>
  <c r="N18" i="39"/>
  <c r="M32" i="39"/>
  <c r="M54" i="39"/>
  <c r="M30" i="39"/>
  <c r="N15" i="39"/>
  <c r="N52" i="39"/>
  <c r="M27" i="39"/>
  <c r="N19" i="39"/>
  <c r="N63" i="39"/>
  <c r="N50" i="39"/>
  <c r="N61" i="39"/>
  <c r="N40" i="39"/>
  <c r="N17" i="39"/>
  <c r="M35" i="39"/>
  <c r="N35" i="39"/>
  <c r="M29" i="39"/>
  <c r="M13" i="39"/>
  <c r="N31" i="39"/>
  <c r="N58" i="39"/>
  <c r="M45" i="39"/>
  <c r="M24" i="39"/>
  <c r="M28" i="39"/>
  <c r="N30" i="39"/>
  <c r="M50" i="39"/>
  <c r="N20" i="39"/>
  <c r="M59" i="39"/>
  <c r="N56" i="39"/>
  <c r="N34" i="39"/>
  <c r="N26" i="39"/>
  <c r="N47" i="39"/>
  <c r="M62" i="39"/>
  <c r="N49" i="39"/>
  <c r="M42" i="39"/>
  <c r="M20" i="39"/>
  <c r="N55" i="39"/>
  <c r="N53" i="39"/>
  <c r="N16" i="39"/>
  <c r="M18" i="39"/>
  <c r="M16" i="39"/>
  <c r="N27" i="39"/>
  <c r="N28" i="39"/>
  <c r="N41" i="39"/>
  <c r="M22" i="39"/>
  <c r="N29" i="39"/>
  <c r="N14" i="39"/>
  <c r="M39" i="39"/>
  <c r="M55" i="39"/>
  <c r="M36" i="39"/>
  <c r="M41" i="39"/>
  <c r="M53" i="39"/>
  <c r="N48" i="39"/>
  <c r="N42" i="39"/>
  <c r="F63" i="26"/>
  <c r="H62" i="26"/>
  <c r="I62" i="26"/>
  <c r="X72" i="17"/>
  <c r="C4" i="37" s="1"/>
  <c r="X71" i="17"/>
  <c r="E30" i="18" s="1"/>
  <c r="X70" i="17"/>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30" i="18" l="1"/>
  <c r="D12" i="35"/>
  <c r="D13" i="35" s="1"/>
  <c r="AB51" i="39"/>
  <c r="AB45" i="39"/>
  <c r="AB60" i="39"/>
  <c r="AB55" i="39"/>
  <c r="AB57" i="39"/>
  <c r="AB26" i="39"/>
  <c r="AB48" i="39"/>
  <c r="AB49" i="39"/>
  <c r="AB31" i="39"/>
  <c r="AB15" i="39"/>
  <c r="AB23" i="39"/>
  <c r="AB14" i="39"/>
  <c r="AB43" i="39"/>
  <c r="AB17" i="39"/>
  <c r="AB40" i="39"/>
  <c r="AB38" i="39"/>
  <c r="AB39" i="39"/>
  <c r="AB61" i="39"/>
  <c r="AB33" i="39"/>
  <c r="I66" i="26"/>
  <c r="AB63" i="39"/>
  <c r="AB54" i="39"/>
  <c r="AB46" i="39"/>
  <c r="AB30" i="39"/>
  <c r="AB53" i="39"/>
  <c r="AB25" i="39"/>
  <c r="AB22" i="39"/>
  <c r="AB37" i="39"/>
  <c r="AB21" i="39"/>
  <c r="AB62" i="39"/>
  <c r="AB20" i="39"/>
  <c r="AB64" i="39"/>
  <c r="AB18" i="39"/>
  <c r="AB41" i="39"/>
  <c r="AB35" i="39"/>
  <c r="AB32" i="39"/>
  <c r="AB47" i="39"/>
  <c r="AB36" i="39"/>
  <c r="AB28" i="39"/>
  <c r="AB19" i="39"/>
  <c r="AB56" i="39"/>
  <c r="AB24" i="39"/>
  <c r="AB29" i="39"/>
  <c r="AB42" i="39"/>
  <c r="AB52" i="39"/>
  <c r="AB27" i="39"/>
  <c r="AB16" i="39"/>
  <c r="AB44" i="39"/>
  <c r="AB58" i="39"/>
  <c r="AB50" i="39"/>
  <c r="AB59" i="39"/>
  <c r="AB34" i="39"/>
  <c r="AC34" i="39" s="1"/>
  <c r="AA26" i="39"/>
  <c r="AA49" i="39"/>
  <c r="AA62" i="39"/>
  <c r="AA61" i="39"/>
  <c r="AA48" i="39"/>
  <c r="AA59" i="39"/>
  <c r="AA46" i="39"/>
  <c r="AA18" i="39"/>
  <c r="AA30" i="39"/>
  <c r="AA22" i="39"/>
  <c r="AA32" i="39"/>
  <c r="AA34" i="39"/>
  <c r="AA47" i="39"/>
  <c r="AA45" i="39"/>
  <c r="AA21" i="39"/>
  <c r="AA31" i="39"/>
  <c r="AA33" i="39"/>
  <c r="AA44" i="39"/>
  <c r="AA17" i="39"/>
  <c r="AA23" i="39"/>
  <c r="AA37" i="39"/>
  <c r="AA52" i="39"/>
  <c r="AA35" i="39"/>
  <c r="AA53" i="39"/>
  <c r="AA13" i="39"/>
  <c r="AA64" i="39"/>
  <c r="AA25" i="39"/>
  <c r="AA57" i="39"/>
  <c r="AA41" i="39"/>
  <c r="AA38" i="39"/>
  <c r="AA58" i="39"/>
  <c r="AA16" i="39"/>
  <c r="AA56" i="39"/>
  <c r="AA15" i="39"/>
  <c r="AA39" i="39"/>
  <c r="H66" i="26"/>
  <c r="AA36" i="39"/>
  <c r="AA19" i="39"/>
  <c r="AA54" i="39"/>
  <c r="AA63" i="39"/>
  <c r="AA28" i="39"/>
  <c r="AA42" i="39"/>
  <c r="AA29" i="39"/>
  <c r="AA51" i="39"/>
  <c r="AA55" i="39"/>
  <c r="AA60" i="39"/>
  <c r="AA43" i="39"/>
  <c r="AA24" i="39"/>
  <c r="AA27" i="39"/>
  <c r="AA14" i="39"/>
  <c r="AA50" i="39"/>
  <c r="AA20" i="39"/>
  <c r="H63" i="26"/>
  <c r="AA40" i="39" s="1"/>
  <c r="C13" i="37"/>
  <c r="I63" i="26"/>
  <c r="AB13" i="39" s="1"/>
  <c r="DX46" i="6"/>
  <c r="N57" i="17"/>
  <c r="U57" i="17" s="1"/>
  <c r="DP33" i="6"/>
  <c r="DT33" i="6" s="1"/>
  <c r="DP34" i="6"/>
  <c r="DT34" i="6" s="1"/>
  <c r="DP45" i="6"/>
  <c r="DT45" i="6" s="1"/>
  <c r="N56" i="17" s="1"/>
  <c r="DP56" i="6"/>
  <c r="DT56" i="6" s="1"/>
  <c r="DX56" i="6" s="1"/>
  <c r="DQ4" i="6"/>
  <c r="DQ6" i="6"/>
  <c r="DQ7" i="6"/>
  <c r="DQ5" i="6"/>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P25" i="6"/>
  <c r="DT25" i="6" s="1"/>
  <c r="N36" i="17" s="1"/>
  <c r="DP43" i="6"/>
  <c r="DT43" i="6" s="1"/>
  <c r="N54" i="17" s="1"/>
  <c r="DP9" i="6"/>
  <c r="DP39" i="6"/>
  <c r="DT39" i="6" s="1"/>
  <c r="N50" i="17" s="1"/>
  <c r="DP5" i="6"/>
  <c r="DP24" i="6"/>
  <c r="DT24" i="6" s="1"/>
  <c r="N35" i="17" s="1"/>
  <c r="DP52" i="6"/>
  <c r="DT52" i="6" s="1"/>
  <c r="N63" i="17" s="1"/>
  <c r="DP51" i="6"/>
  <c r="DT51" i="6" s="1"/>
  <c r="N62" i="17" s="1"/>
  <c r="DP29" i="6"/>
  <c r="DT29" i="6" s="1"/>
  <c r="N40" i="17" s="1"/>
  <c r="DP7" i="6"/>
  <c r="DP16" i="6"/>
  <c r="DT16" i="6" s="1"/>
  <c r="N27" i="17" s="1"/>
  <c r="DP15" i="6"/>
  <c r="DP19" i="6"/>
  <c r="DT19" i="6" s="1"/>
  <c r="N30" i="17" s="1"/>
  <c r="EE7" i="6"/>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AC62" i="39" l="1"/>
  <c r="AC13" i="39"/>
  <c r="AC32" i="39"/>
  <c r="AC27" i="39"/>
  <c r="AC36" i="39"/>
  <c r="AC54" i="39"/>
  <c r="AC17" i="39"/>
  <c r="AC26" i="39"/>
  <c r="AC52" i="39"/>
  <c r="AC47" i="39"/>
  <c r="AC21" i="39"/>
  <c r="AC63" i="39"/>
  <c r="AC43" i="39"/>
  <c r="AC57" i="39"/>
  <c r="AC42" i="39"/>
  <c r="AC37" i="39"/>
  <c r="J66" i="26"/>
  <c r="I71" i="26"/>
  <c r="AC14" i="39"/>
  <c r="AC55" i="39"/>
  <c r="AC59" i="39"/>
  <c r="AC29" i="39"/>
  <c r="AC35" i="39"/>
  <c r="AC22" i="39"/>
  <c r="AC33" i="39"/>
  <c r="AC23" i="39"/>
  <c r="AC60" i="39"/>
  <c r="AC50" i="39"/>
  <c r="AC24" i="39"/>
  <c r="AC41" i="39"/>
  <c r="AC25" i="39"/>
  <c r="AC61" i="39"/>
  <c r="AC15" i="39"/>
  <c r="AC45" i="39"/>
  <c r="AC58" i="39"/>
  <c r="AC56" i="39"/>
  <c r="AC18" i="39"/>
  <c r="AC53" i="39"/>
  <c r="AC39" i="39"/>
  <c r="AC31" i="39"/>
  <c r="AC51" i="39"/>
  <c r="H69" i="26"/>
  <c r="C53" i="18" s="1"/>
  <c r="B61" i="18" s="1"/>
  <c r="H71" i="26"/>
  <c r="C50" i="18"/>
  <c r="AC44" i="39"/>
  <c r="AC19" i="39"/>
  <c r="AC64" i="39"/>
  <c r="AC30" i="39"/>
  <c r="AC38" i="39"/>
  <c r="AC49" i="39"/>
  <c r="AC16" i="39"/>
  <c r="AC28" i="39"/>
  <c r="AC20" i="39"/>
  <c r="AC46" i="39"/>
  <c r="AC40" i="39"/>
  <c r="AC48" i="39"/>
  <c r="EE8" i="6"/>
  <c r="DS10" i="6" s="1"/>
  <c r="DT10" i="6" s="1"/>
  <c r="N21" i="17" s="1"/>
  <c r="N67" i="17"/>
  <c r="U67" i="17" s="1"/>
  <c r="DX34" i="6"/>
  <c r="N45" i="17"/>
  <c r="U45" i="17" s="1"/>
  <c r="DX33" i="6"/>
  <c r="N44" i="17"/>
  <c r="U44" i="17" s="1"/>
  <c r="DX45" i="6"/>
  <c r="T56" i="17" s="1"/>
  <c r="DX23" i="6"/>
  <c r="T34" i="17" s="1"/>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DS9" i="6" l="1"/>
  <c r="DT9" i="6" s="1"/>
  <c r="N20" i="17" s="1"/>
  <c r="DS7" i="6"/>
  <c r="DS4" i="6"/>
  <c r="DT4" i="6" s="1"/>
  <c r="DX4" i="6" s="1"/>
  <c r="DS6" i="6"/>
  <c r="DS5" i="6"/>
  <c r="DS8" i="6"/>
  <c r="M19" i="17" s="1"/>
  <c r="T19" i="17" s="1"/>
  <c r="DT7" i="6"/>
  <c r="DU10" i="6"/>
  <c r="M21" i="17"/>
  <c r="T21" i="17" s="1"/>
  <c r="DU9" i="6"/>
  <c r="M20" i="17"/>
  <c r="T20" i="17" s="1"/>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DU13" i="6"/>
  <c r="DU11" i="6"/>
  <c r="DU14" i="6"/>
  <c r="DU12" i="6"/>
  <c r="DU15" i="6"/>
  <c r="C7" i="36"/>
  <c r="C23" i="36"/>
  <c r="AD23" i="36"/>
  <c r="AD27" i="36"/>
  <c r="C27" i="36"/>
  <c r="AD46" i="36"/>
  <c r="C46" i="36"/>
  <c r="AD24" i="36"/>
  <c r="C24" i="36"/>
  <c r="C6" i="36"/>
  <c r="AD17" i="36"/>
  <c r="AD33" i="36"/>
  <c r="C33" i="36"/>
  <c r="AD30" i="36"/>
  <c r="C22" i="36"/>
  <c r="AD20" i="36"/>
  <c r="AD35" i="36"/>
  <c r="C35" i="36"/>
  <c r="AD29" i="36"/>
  <c r="C20" i="36"/>
  <c r="U41" i="17"/>
  <c r="C28" i="36"/>
  <c r="C17" i="36"/>
  <c r="C30" i="36"/>
  <c r="C29" i="36"/>
  <c r="T30" i="17"/>
  <c r="AD45" i="36" s="1"/>
  <c r="T53" i="17"/>
  <c r="AD34" i="36" s="1"/>
  <c r="T27" i="17"/>
  <c r="DU8" i="6" l="1"/>
  <c r="DT8" i="6"/>
  <c r="N15" i="17"/>
  <c r="M18" i="17"/>
  <c r="T18" i="17" s="1"/>
  <c r="AD7" i="36" s="1"/>
  <c r="DU7" i="6"/>
  <c r="DX7" i="6"/>
  <c r="N18" i="17"/>
  <c r="U18" i="17" s="1"/>
  <c r="M16" i="17"/>
  <c r="T16" i="17" s="1"/>
  <c r="AD5" i="36" s="1"/>
  <c r="DT5" i="6"/>
  <c r="DU5" i="6"/>
  <c r="M17" i="17"/>
  <c r="T17" i="17" s="1"/>
  <c r="AD6" i="36" s="1"/>
  <c r="DT6" i="6"/>
  <c r="DU6" i="6"/>
  <c r="M15" i="17"/>
  <c r="T15" i="17" s="1"/>
  <c r="DU4" i="6"/>
  <c r="EE10" i="6" s="1"/>
  <c r="C45" i="36"/>
  <c r="D45" i="36"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C5" i="36"/>
  <c r="AD22" i="36"/>
  <c r="D23" i="36"/>
  <c r="C44" i="36"/>
  <c r="C51" i="36"/>
  <c r="AD44" i="36"/>
  <c r="C43" i="36"/>
  <c r="C21" i="36"/>
  <c r="D21" i="36" s="1"/>
  <c r="AD21" i="36"/>
  <c r="AE23" i="36"/>
  <c r="C18" i="36"/>
  <c r="D18" i="36" s="1"/>
  <c r="AE27" i="36"/>
  <c r="D27" i="36"/>
  <c r="C34" i="36"/>
  <c r="AD8" i="36"/>
  <c r="C8" i="36"/>
  <c r="D24" i="36"/>
  <c r="AE24" i="36"/>
  <c r="AD4" i="36"/>
  <c r="C4" i="36"/>
  <c r="AE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EA3" i="6" l="1"/>
  <c r="D36" i="40" s="1"/>
  <c r="F36" i="40" s="1"/>
  <c r="N16" i="17"/>
  <c r="U16" i="17" s="1"/>
  <c r="DX5" i="6"/>
  <c r="N17" i="17"/>
  <c r="U17" i="17" s="1"/>
  <c r="AE6" i="36" s="1"/>
  <c r="DX6" i="6"/>
  <c r="D6" i="36"/>
  <c r="U15" i="17"/>
  <c r="D34" i="36"/>
  <c r="C10" i="36"/>
  <c r="C37" i="36"/>
  <c r="AD37" i="36"/>
  <c r="AD53" i="36"/>
  <c r="C38" i="36"/>
  <c r="AD38" i="36"/>
  <c r="AD47" i="36"/>
  <c r="C47" i="36"/>
  <c r="D47" i="36" s="1"/>
  <c r="AD48" i="36"/>
  <c r="C48" i="36"/>
  <c r="D48" i="36" s="1"/>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<sst xmlns="http://schemas.openxmlformats.org/spreadsheetml/2006/main" count="1768" uniqueCount="1248">
  <si>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</si>
  <si>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</si>
  <si>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</si>
  <si>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</si>
  <si>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</si>
  <si>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</si>
  <si>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</si>
  <si>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</si>
  <si>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</si>
  <si>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</si>
  <si>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</si>
  <si>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</si>
  <si>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</si>
  <si>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</si>
  <si>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</si>
  <si>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</si>
  <si>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</si>
  <si>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</si>
  <si>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</si>
  <si>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</si>
  <si>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</si>
  <si>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</si>
  <si>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</si>
  <si>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</si>
  <si>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</si>
  <si>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</si>
  <si>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</si>
  <si>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</si>
  <si>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</si>
  <si>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</si>
  <si>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</si>
  <si>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</si>
  <si>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</si>
  <si>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</si>
  <si>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</si>
  <si>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</si>
  <si>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</si>
  <si>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</si>
  <si>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</si>
  <si>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</si>
  <si>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</si>
  <si>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</si>
  <si>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</si>
  <si>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</si>
  <si>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</si>
  <si>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</si>
  <si>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</si>
  <si>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</si>
  <si>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</si>
  <si>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</si>
  <si>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</si>
  <si>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</si>
  <si>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</si>
  <si>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</si>
  <si>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</si>
  <si>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</si>
  <si>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</si>
  <si>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</si>
  <si>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</si>
  <si>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</si>
  <si>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</si>
  <si>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</si>
  <si>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</si>
  <si>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</si>
  <si>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</si>
  <si>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</si>
  <si>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</si>
  <si>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</si>
  <si>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</si>
  <si>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</si>
  <si>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</si>
  <si>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</si>
  <si>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</si>
  <si>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</si>
  <si>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</si>
  <si>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</si>
  <si>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</si>
  <si>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</si>
  <si>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</si>
  <si>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</si>
  <si>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</si>
  <si>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</si>
  <si>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</si>
  <si>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</si>
  <si>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</si>
  <si>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</si>
  <si>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</si>
  <si>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</si>
  <si>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</si>
  <si>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</si>
  <si>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</si>
  <si>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</si>
  <si>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</si>
  <si>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</si>
  <si>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</si>
  <si>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</si>
  <si>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</si>
  <si>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</si>
  <si>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</si>
  <si>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</si>
  <si>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</si>
  <si>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</si>
  <si>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</si>
  <si>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</si>
  <si>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</si>
  <si>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</si>
  <si>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</si>
  <si>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</si>
  <si>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</si>
  <si>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</si>
  <si>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</si>
  <si>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</si>
  <si>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</si>
  <si>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</si>
  <si>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</si>
  <si>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</si>
  <si>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</si>
  <si>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</si>
  <si>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</si>
  <si>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</si>
  <si>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</si>
  <si>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</si>
  <si>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</si>
  <si>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</si>
  <si>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</si>
  <si>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</si>
  <si>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</si>
  <si>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</si>
  <si>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</si>
  <si>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</si>
  <si>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</si>
  <si>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</si>
  <si>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</si>
  <si>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</si>
  <si>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</si>
  <si>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</si>
  <si>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</si>
  <si>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</si>
  <si>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</si>
  <si>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</si>
  <si>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</si>
  <si>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</si>
  <si>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</si>
  <si>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</si>
  <si>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</si>
  <si>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</si>
  <si>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</si>
  <si>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</si>
  <si>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</si>
  <si>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</si>
  <si>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</si>
  <si>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</si>
  <si>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</si>
  <si>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</si>
  <si>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</si>
  <si>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</si>
  <si>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</si>
  <si>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</si>
  <si>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</si>
  <si>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</si>
  <si>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</si>
  <si>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</si>
  <si>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</si>
  <si>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</si>
  <si>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</si>
  <si>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</si>
  <si>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</si>
  <si>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</si>
  <si>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</si>
  <si>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</si>
  <si>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</si>
  <si>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</si>
  <si>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</si>
  <si>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</si>
  <si>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</si>
  <si>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</si>
  <si>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</si>
  <si>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</si>
  <si>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</si>
  <si>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</si>
  <si>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</si>
  <si>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</si>
  <si>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</si>
  <si>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</si>
  <si>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</si>
  <si>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</si>
  <si>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</si>
  <si>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</si>
  <si>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</si>
  <si>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</si>
  <si>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</si>
  <si>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</si>
  <si>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</si>
  <si>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</si>
  <si>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</si>
  <si>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</si>
  <si>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</si>
  <si>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</si>
  <si>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</si>
  <si>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</si>
  <si>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</si>
  <si>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</si>
  <si>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</si>
  <si>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</si>
  <si>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</si>
  <si>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</si>
  <si>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</si>
  <si>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</si>
  <si>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</si>
  <si>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</si>
  <si>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</si>
  <si>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</si>
  <si>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</si>
  <si>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</si>
  <si>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</si>
  <si>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</si>
  <si>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</si>
  <si>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</si>
  <si>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</si>
  <si>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</si>
  <si>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</si>
  <si>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</si>
  <si>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</si>
  <si>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</si>
  <si>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</si>
  <si>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</si>
  <si>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</si>
  <si>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</si>
  <si>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</si>
  <si>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</si>
  <si>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</si>
  <si>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</si>
  <si>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</si>
  <si>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</si>
  <si>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</si>
  <si>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</si>
  <si>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</si>
  <si>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</si>
  <si>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</si>
  <si>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</si>
  <si>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</si>
  <si>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</si>
  <si>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</si>
  <si>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</si>
  <si>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</si>
  <si>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</si>
  <si>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</si>
  <si>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</si>
  <si>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</si>
  <si>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</si>
  <si>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</si>
  <si>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</si>
  <si>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</si>
  <si>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</si>
  <si>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</si>
  <si>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</si>
  <si>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</si>
  <si>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</si>
  <si>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</si>
  <si>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</si>
  <si>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</si>
  <si>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</si>
  <si>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</si>
  <si>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</si>
  <si>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</si>
  <si>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</si>
  <si>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</si>
  <si>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</si>
  <si>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</si>
  <si>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</si>
  <si>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</si>
  <si>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</si>
  <si>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</si>
  <si>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</si>
  <si>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</si>
  <si>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</si>
  <si>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</si>
  <si>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</si>
  <si>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</si>
  <si>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</si>
  <si>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</si>
  <si>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</si>
  <si>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</si>
  <si>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</si>
  <si>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</si>
  <si>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</si>
  <si>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</si>
  <si>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</si>
  <si>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</si>
  <si>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</si>
  <si>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</si>
  <si>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</si>
  <si>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</si>
  <si>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</si>
  <si>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</si>
  <si>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</si>
  <si>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</si>
  <si>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</si>
  <si>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</si>
  <si>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</si>
  <si>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</si>
  <si>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</si>
  <si>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</si>
  <si>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</si>
  <si>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</si>
  <si>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</si>
  <si>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</si>
  <si>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</si>
  <si>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</si>
  <si>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</si>
  <si>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</si>
  <si>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</si>
  <si>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</si>
  <si>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</si>
  <si>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</si>
  <si>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</si>
  <si>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</si>
  <si>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</si>
  <si>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</si>
  <si>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</si>
  <si>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</si>
  <si>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</si>
  <si>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</si>
  <si>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</si>
  <si>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</si>
  <si>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</si>
  <si>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</si>
  <si>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</si>
  <si>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</si>
  <si>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</si>
  <si>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</si>
  <si>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</si>
  <si>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</si>
  <si>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</si>
  <si>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</si>
  <si>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</si>
  <si>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</si>
  <si>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</si>
  <si>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</si>
  <si>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</si>
  <si>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</si>
  <si>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</si>
  <si>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</si>
  <si>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</si>
  <si>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</si>
  <si>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</si>
  <si>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</si>
  <si>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</si>
  <si>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</si>
  <si>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</si>
  <si>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</si>
  <si>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</si>
  <si>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</si>
  <si>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</si>
  <si>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</si>
  <si>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</si>
  <si>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</si>
  <si>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</si>
  <si>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</si>
  <si>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</si>
  <si>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</si>
  <si>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</si>
  <si>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</si>
  <si>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</si>
  <si>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</si>
  <si>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</si>
  <si>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</si>
  <si>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</si>
  <si>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</si>
  <si>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</si>
  <si>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</si>
  <si>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</si>
  <si>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</si>
  <si>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</si>
  <si>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</si>
  <si>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</si>
  <si>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</si>
  <si>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</si>
  <si>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</si>
  <si>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</si>
  <si>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</si>
  <si>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</si>
  <si>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</si>
  <si>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</si>
  <si>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</si>
  <si>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</si>
  <si>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</si>
  <si>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</si>
  <si>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</si>
  <si>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</si>
  <si>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</si>
  <si>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</si>
  <si>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</si>
  <si>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</si>
  <si>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</si>
  <si>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</si>
  <si>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</si>
  <si>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</si>
  <si>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</si>
  <si>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</si>
  <si>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</si>
  <si>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</si>
  <si>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</si>
  <si>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</si>
  <si>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</si>
  <si>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</si>
  <si>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</si>
  <si>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</si>
  <si>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</si>
  <si>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</si>
  <si>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</si>
  <si>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</si>
  <si>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</si>
  <si>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</si>
  <si>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</si>
  <si>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</si>
  <si>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</si>
  <si>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</si>
  <si>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</si>
  <si>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</si>
  <si>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</si>
  <si>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</si>
  <si>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</si>
  <si>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</si>
  <si>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</si>
  <si>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</si>
  <si>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</si>
  <si>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</si>
  <si>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</si>
  <si>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</si>
  <si>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</si>
  <si>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</si>
  <si>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</si>
  <si>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</si>
  <si>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</si>
  <si>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</si>
  <si>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</si>
  <si>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</si>
  <si>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</si>
  <si>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</si>
  <si>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</si>
  <si>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</si>
  <si>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</si>
  <si>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</si>
  <si>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</si>
  <si>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</si>
  <si>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</si>
  <si>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</si>
  <si>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</si>
  <si>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</si>
  <si>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</si>
  <si>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</si>
  <si>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</si>
  <si>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</si>
  <si>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</si>
  <si>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</si>
  <si>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</si>
  <si>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</si>
  <si>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</si>
  <si>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</si>
  <si>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</si>
  <si>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</si>
  <si>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</si>
  <si>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</si>
  <si>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</si>
  <si>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</si>
  <si>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</si>
  <si>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</si>
  <si>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</si>
  <si>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</si>
  <si>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</si>
  <si>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</si>
  <si>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</si>
  <si>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</si>
  <si>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</si>
  <si>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</si>
  <si>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</si>
  <si>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</si>
  <si>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</si>
  <si>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</si>
  <si>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</si>
  <si>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</si>
  <si>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</si>
  <si>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</si>
  <si>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</si>
  <si>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</si>
  <si>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</si>
  <si>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</si>
  <si>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</si>
  <si>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</si>
  <si>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</si>
  <si>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</si>
  <si>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</si>
  <si>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</si>
  <si>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</si>
  <si>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</si>
  <si>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</si>
  <si>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</si>
  <si>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</si>
  <si>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</si>
  <si>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</si>
  <si>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</si>
  <si>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</si>
  <si>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</si>
  <si>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</si>
  <si>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</si>
  <si>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</si>
  <si>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</si>
  <si>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</si>
  <si>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</si>
  <si>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</si>
  <si>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</si>
  <si>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</si>
  <si>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</si>
  <si>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</si>
  <si>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</si>
  <si>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</si>
  <si>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</si>
  <si>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</si>
  <si>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</si>
  <si>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</si>
  <si>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</si>
  <si>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</si>
  <si>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</si>
  <si>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</si>
  <si>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</si>
  <si>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</si>
  <si>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</si>
  <si>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</si>
  <si>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</si>
  <si>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</si>
  <si>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</si>
  <si>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</si>
  <si>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</si>
  <si>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</si>
  <si>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</si>
  <si>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</si>
  <si>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</si>
  <si>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</si>
  <si>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</si>
  <si>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</si>
  <si>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</si>
  <si>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</si>
  <si>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</si>
  <si>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</si>
  <si>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</si>
  <si>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</si>
  <si>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</si>
  <si>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</si>
  <si>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</si>
  <si>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</si>
  <si>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</si>
  <si>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</si>
  <si>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</si>
  <si>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</si>
  <si>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</si>
  <si>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</si>
  <si>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</si>
  <si>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</si>
  <si>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</si>
  <si>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</si>
  <si>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</si>
  <si>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</si>
  <si>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</si>
  <si>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</si>
  <si>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</si>
  <si>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</si>
  <si>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</si>
  <si>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</si>
  <si>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</si>
  <si>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</si>
  <si>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</si>
  <si>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</si>
  <si>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</si>
  <si>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</si>
  <si>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</si>
  <si>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</si>
  <si>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</si>
  <si>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</si>
  <si>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</si>
  <si>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</si>
  <si>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</si>
  <si>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</si>
  <si>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</si>
  <si>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</si>
  <si>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</si>
  <si>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</si>
  <si>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</si>
  <si>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</si>
  <si>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</si>
  <si>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</si>
  <si>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</si>
  <si>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</si>
  <si>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</si>
  <si>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</si>
  <si>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</si>
  <si>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</si>
  <si>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</si>
  <si>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</si>
  <si>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</si>
  <si>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</si>
  <si>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</si>
  <si>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</si>
  <si>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</si>
  <si>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</si>
  <si>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</si>
  <si>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</si>
  <si>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</si>
  <si>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</si>
  <si>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</si>
  <si>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</si>
  <si>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</si>
  <si>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</si>
  <si>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</si>
  <si>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</si>
  <si>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</si>
  <si>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</si>
  <si>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</si>
  <si>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</si>
  <si>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</si>
  <si>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</si>
  <si>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</si>
  <si>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</si>
  <si>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</si>
  <si>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</si>
  <si>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</si>
  <si>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</si>
  <si>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</si>
  <si>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</si>
  <si>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</si>
  <si>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</si>
  <si>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</si>
  <si>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</si>
  <si>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</si>
  <si>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</si>
  <si>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</si>
  <si>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</si>
  <si>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</si>
  <si>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</si>
  <si>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</si>
  <si>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</si>
  <si>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</si>
  <si>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</si>
  <si>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</si>
  <si>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</si>
  <si>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</si>
  <si>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</si>
  <si>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</si>
  <si>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</si>
  <si>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</si>
  <si>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</si>
  <si>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</si>
  <si>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</si>
  <si>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</si>
  <si>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</si>
  <si>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</si>
  <si>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</si>
  <si>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</si>
  <si>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</si>
  <si>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</si>
  <si>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</si>
  <si>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</si>
  <si>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</si>
  <si>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</si>
  <si>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</si>
  <si>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</si>
  <si>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</si>
  <si>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</si>
  <si>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</si>
  <si>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</si>
  <si>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</si>
  <si>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</si>
  <si>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</si>
  <si>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</si>
  <si>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</si>
  <si>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</si>
  <si>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</si>
  <si>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</si>
  <si>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</si>
  <si>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</si>
  <si>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</si>
  <si>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</si>
  <si>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</si>
  <si>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</si>
  <si>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</si>
  <si>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</si>
  <si>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</si>
  <si>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</si>
  <si>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</si>
  <si>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</si>
  <si>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</si>
  <si>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</si>
  <si>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</si>
  <si>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</si>
  <si>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</si>
  <si>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</si>
  <si>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</si>
  <si>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</si>
  <si>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</si>
  <si>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</si>
  <si>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</si>
  <si>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</si>
  <si>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</si>
  <si>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</si>
  <si>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</si>
  <si>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</si>
  <si>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</si>
  <si>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</si>
  <si>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</si>
  <si>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</si>
  <si>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</si>
  <si>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</si>
  <si>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</si>
  <si>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</si>
  <si>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</si>
  <si>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</si>
  <si>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</si>
  <si>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</si>
  <si>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</si>
  <si>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</si>
  <si>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</si>
  <si>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</si>
  <si>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</si>
  <si>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</si>
  <si>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</si>
  <si>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</si>
  <si>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</si>
  <si>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</si>
  <si>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</si>
  <si>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</si>
  <si>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</si>
  <si>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</si>
  <si>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</si>
  <si>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</si>
  <si>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</si>
  <si>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</si>
  <si>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</si>
  <si>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</si>
  <si>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</si>
  <si>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</si>
  <si>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</si>
  <si>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</si>
  <si>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</si>
  <si>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</si>
  <si>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</si>
  <si>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</si>
  <si>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</si>
  <si>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</si>
  <si>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</si>
  <si>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</si>
  <si>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</si>
  <si>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</si>
  <si>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</si>
  <si>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</si>
  <si>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</si>
  <si>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</si>
  <si>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</si>
  <si>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</si>
  <si>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</si>
  <si>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</si>
  <si>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</si>
  <si>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</si>
  <si>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</si>
  <si>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</si>
  <si>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</si>
  <si>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</si>
  <si>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</si>
  <si>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</si>
  <si>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</si>
  <si>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</si>
  <si>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</si>
  <si>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</si>
  <si>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</si>
  <si>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</si>
  <si>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</si>
  <si>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</si>
  <si>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</si>
  <si>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</si>
  <si>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</si>
  <si>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</si>
  <si>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</si>
  <si>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</si>
  <si>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</si>
  <si>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</si>
  <si>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</si>
  <si>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</si>
  <si>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</si>
  <si>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</si>
  <si>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</si>
  <si>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</si>
  <si>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</si>
  <si>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</si>
  <si>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</si>
  <si>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</si>
  <si>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</si>
  <si>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</si>
  <si>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</si>
  <si>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</si>
  <si>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</si>
  <si>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</si>
  <si>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</si>
  <si>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</si>
  <si>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</si>
  <si>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</si>
  <si>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</si>
  <si>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</si>
  <si>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</si>
  <si>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</si>
  <si>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</si>
  <si>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</si>
  <si>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</si>
  <si>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</si>
  <si>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</si>
  <si>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</si>
  <si>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</si>
  <si>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</si>
  <si>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</si>
  <si>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</si>
  <si>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</si>
  <si>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</si>
  <si>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</si>
  <si>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</si>
  <si>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</si>
  <si>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</si>
  <si>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</si>
  <si>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</si>
  <si>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</si>
  <si>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</si>
  <si>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</si>
  <si>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</si>
  <si>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</si>
  <si>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</si>
  <si>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</si>
  <si>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</si>
  <si>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</si>
  <si>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</si>
  <si>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</si>
  <si>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</si>
  <si>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</si>
  <si>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</si>
  <si>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</si>
  <si>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</si>
  <si>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</si>
  <si>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</si>
  <si>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</si>
  <si>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</si>
  <si>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</si>
  <si>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</si>
  <si>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</si>
  <si>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</si>
  <si>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</si>
  <si>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</si>
  <si>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</si>
  <si>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</si>
  <si>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</si>
  <si>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</si>
  <si>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</si>
  <si>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</si>
  <si>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</si>
  <si>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</si>
  <si>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</si>
  <si>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</si>
  <si>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</si>
  <si>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</si>
  <si>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</si>
  <si>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</si>
  <si>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</si>
  <si>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</si>
  <si>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</si>
  <si>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</si>
  <si>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</si>
  <si>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</si>
  <si>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</si>
  <si>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</si>
  <si>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</si>
  <si>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</si>
  <si>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</si>
  <si>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</si>
  <si>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</si>
  <si>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</si>
  <si>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</si>
  <si>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</si>
  <si>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</si>
  <si>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</si>
  <si>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</si>
  <si>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</si>
  <si>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</si>
  <si>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</si>
  <si>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</si>
  <si>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</si>
  <si>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</si>
  <si>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</si>
  <si>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</si>
  <si>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</si>
  <si>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</si>
  <si>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</si>
  <si>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</si>
  <si>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</si>
  <si>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</si>
  <si>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</si>
  <si>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</si>
  <si>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</si>
  <si>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</si>
  <si>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</si>
  <si>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</si>
  <si>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</si>
  <si>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</si>
  <si>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</si>
  <si>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</si>
  <si>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</si>
  <si>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</si>
  <si>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</si>
  <si>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</si>
  <si>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</si>
  <si>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</si>
  <si>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</si>
  <si>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</si>
  <si>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</si>
  <si>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</si>
  <si>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B18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</si>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</sst>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6">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0" fontId="60" fillId="0" borderId="0" xfId="0" applyFont="1"/>
    <xf numFmtId="3" fontId="14" fillId="86" borderId="67"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0" fontId="60" fillId="0" borderId="0" xfId="0" applyFont="1"/>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xf numFmtId="169" fontId="62" fillId="0" borderId="18" xfId="0" applyNumberFormat="1" applyFont="1" applyBorder="1" applyProtection="1">
      <protection hidden="1"/>
    </xf>
    <xf numFmtId="169" fontId="62" fillId="0" borderId="19" xfId="0" applyNumberFormat="1" applyFont="1" applyBorder="1" applyProtection="1">
      <protection hidden="1"/>
    </xf>
    <xf numFmtId="169" fontId="62" fillId="0" borderId="20" xfId="0" applyNumberFormat="1" applyFont="1" applyBorder="1" applyProtection="1">
      <protection hidden="1"/>
    </xf>
    <xf numFmtId="169" fontId="62" fillId="9" borderId="0" xfId="0" applyNumberFormat="1" applyFont="1" applyFill="1" applyProtection="1">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21"/>
                <c:pt idx="0">
                  <c:v>3643</c:v>
                </c:pt>
                <c:pt idx="1">
                  <c:v>3493.3125</c:v>
                </c:pt>
                <c:pt idx="2">
                  <c:v>3343.625</c:v>
                </c:pt>
                <c:pt idx="3">
                  <c:v>3193.9375</c:v>
                </c:pt>
                <c:pt idx="4">
                  <c:v>3044.25</c:v>
                </c:pt>
                <c:pt idx="5">
                  <c:v>2894.5625</c:v>
                </c:pt>
                <c:pt idx="6">
                  <c:v>2744.875</c:v>
                </c:pt>
                <c:pt idx="7">
                  <c:v>2595.1875</c:v>
                </c:pt>
                <c:pt idx="8">
                  <c:v>2445.5</c:v>
                </c:pt>
                <c:pt idx="9">
                  <c:v>4600.4999999999982</c:v>
                </c:pt>
                <c:pt idx="10">
                  <c:v>4600.4999999999982</c:v>
                </c:pt>
                <c:pt idx="11">
                  <c:v>4600.4999999999982</c:v>
                </c:pt>
                <c:pt idx="12">
                  <c:v>4600.4999999999982</c:v>
                </c:pt>
                <c:pt idx="13">
                  <c:v>4600.4999999999982</c:v>
                </c:pt>
                <c:pt idx="14">
                  <c:v>4600.4999999999982</c:v>
                </c:pt>
                <c:pt idx="15">
                  <c:v>4600.4999999999982</c:v>
                </c:pt>
                <c:pt idx="16">
                  <c:v>4600.4999999999982</c:v>
                </c:pt>
                <c:pt idx="17">
                  <c:v>4500.4999999999982</c:v>
                </c:pt>
                <c:pt idx="18">
                  <c:v>4500.4999999999982</c:v>
                </c:pt>
                <c:pt idx="19">
                  <c:v>4500.4999999999982</c:v>
                </c:pt>
                <c:pt idx="20">
                  <c:v>4500.4999999999982</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21"/>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numCache>
            </c:numRef>
          </c:cat>
          <c:val>
            <c:numRef>
              <c:f>[0]!D_Adj_Lower</c:f>
              <c:numCache>
                <c:formatCode>#,##0</c:formatCode>
                <c:ptCount val="21"/>
                <c:pt idx="0">
                  <c:v>3640</c:v>
                </c:pt>
                <c:pt idx="1">
                  <c:v>3490.3125</c:v>
                </c:pt>
                <c:pt idx="2">
                  <c:v>3340.625</c:v>
                </c:pt>
                <c:pt idx="3">
                  <c:v>3190.9375</c:v>
                </c:pt>
                <c:pt idx="4">
                  <c:v>3041.25</c:v>
                </c:pt>
                <c:pt idx="5">
                  <c:v>2891.5625</c:v>
                </c:pt>
                <c:pt idx="6">
                  <c:v>2741.875</c:v>
                </c:pt>
                <c:pt idx="7">
                  <c:v>2592.1875</c:v>
                </c:pt>
                <c:pt idx="8">
                  <c:v>2442.5</c:v>
                </c:pt>
                <c:pt idx="9">
                  <c:v>2442.5</c:v>
                </c:pt>
                <c:pt idx="10">
                  <c:v>2442.5</c:v>
                </c:pt>
                <c:pt idx="11">
                  <c:v>2442.5</c:v>
                </c:pt>
                <c:pt idx="12">
                  <c:v>2442.5</c:v>
                </c:pt>
                <c:pt idx="13">
                  <c:v>2442.5</c:v>
                </c:pt>
                <c:pt idx="14">
                  <c:v>2442.5</c:v>
                </c:pt>
                <c:pt idx="15">
                  <c:v>2442.5</c:v>
                </c:pt>
                <c:pt idx="16">
                  <c:v>2442.5</c:v>
                </c:pt>
                <c:pt idx="17">
                  <c:v>2442.5</c:v>
                </c:pt>
                <c:pt idx="18">
                  <c:v>2442.5</c:v>
                </c:pt>
                <c:pt idx="19">
                  <c:v>2442.5</c:v>
                </c:pt>
                <c:pt idx="20">
                  <c:v>2442.5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21"/>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numCache>
            </c:numRef>
          </c:cat>
          <c:val>
            <c:numRef>
              <c:f>[0]!D_Adj_Upper</c:f>
              <c:numCache>
                <c:formatCode>#,##0</c:formatCode>
                <c:ptCount val="21"/>
                <c:pt idx="0">
                  <c:v>3643</c:v>
                </c:pt>
                <c:pt idx="1">
                  <c:v>3493.3125</c:v>
                </c:pt>
                <c:pt idx="2">
                  <c:v>3343.625</c:v>
                </c:pt>
                <c:pt idx="3">
                  <c:v>3193.9375</c:v>
                </c:pt>
                <c:pt idx="4">
                  <c:v>3044.25</c:v>
                </c:pt>
                <c:pt idx="5">
                  <c:v>2894.5625</c:v>
                </c:pt>
                <c:pt idx="6">
                  <c:v>2744.875</c:v>
                </c:pt>
                <c:pt idx="7">
                  <c:v>2595.1875</c:v>
                </c:pt>
                <c:pt idx="8">
                  <c:v>2445.5</c:v>
                </c:pt>
                <c:pt idx="9">
                  <c:v>4500.4999999999982</c:v>
                </c:pt>
                <c:pt idx="10">
                  <c:v>4500.4999999999982</c:v>
                </c:pt>
                <c:pt idx="11">
                  <c:v>4500.4999999999982</c:v>
                </c:pt>
                <c:pt idx="12">
                  <c:v>4500.4999999999982</c:v>
                </c:pt>
                <c:pt idx="13">
                  <c:v>4500.4999999999982</c:v>
                </c:pt>
                <c:pt idx="14">
                  <c:v>4500.4999999999982</c:v>
                </c:pt>
                <c:pt idx="15">
                  <c:v>4500.4999999999982</c:v>
                </c:pt>
                <c:pt idx="16">
                  <c:v>4500.4999999999982</c:v>
                </c:pt>
                <c:pt idx="17">
                  <c:v>4500.4999999999982</c:v>
                </c:pt>
                <c:pt idx="18">
                  <c:v>4500.4999999999982</c:v>
                </c:pt>
                <c:pt idx="19">
                  <c:v>4500.4999999999982</c:v>
                </c:pt>
                <c:pt idx="20">
                  <c:v>4500.4999999999982</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9"/>
                <c:pt idx="0">
                  <c:v>2442.5</c:v>
                </c:pt>
                <c:pt idx="1">
                  <c:v>2442.5</c:v>
                </c:pt>
                <c:pt idx="2">
                  <c:v>2442.5</c:v>
                </c:pt>
                <c:pt idx="3">
                  <c:v>2442.5</c:v>
                </c:pt>
                <c:pt idx="4">
                  <c:v>2442.5</c:v>
                </c:pt>
                <c:pt idx="5">
                  <c:v>2442.5</c:v>
                </c:pt>
                <c:pt idx="6">
                  <c:v>2442.5</c:v>
                </c:pt>
                <c:pt idx="7">
                  <c:v>2442.5</c:v>
                </c:pt>
                <c:pt idx="8">
                  <c:v>2442.5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6"/>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6"/>
                <c:lvl>
                  <c:pt idx="0">
                    <c:v>Mar</c:v>
                  </c:pt>
                  <c:pt idx="5">
                    <c:v>Apr</c:v>
                  </c:pt>
                  <c:pt idx="9">
                    <c:v>May</c:v>
                  </c:pt>
                  <c:pt idx="13">
                    <c:v>Jun</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lvl>
              </c:multiLvlStrCache>
            </c:multiLvlStrRef>
          </c:cat>
          <c:val>
            <c:numRef>
              <c:f>[0]!ChartRange_Data</c:f>
              <c:numCache>
                <c:formatCode>#,##0</c:formatCode>
                <c:ptCount val="16"/>
                <c:pt idx="0">
                  <c:v>5282</c:v>
                </c:pt>
                <c:pt idx="1">
                  <c:v>5022</c:v>
                </c:pt>
                <c:pt idx="2">
                  <c:v>3532</c:v>
                </c:pt>
                <c:pt idx="3">
                  <c:v>2252</c:v>
                </c:pt>
                <c:pt idx="4">
                  <c:v>1554</c:v>
                </c:pt>
                <c:pt idx="5">
                  <c:v>1256</c:v>
                </c:pt>
                <c:pt idx="6">
                  <c:v>1638</c:v>
                </c:pt>
                <c:pt idx="7">
                  <c:v>1946</c:v>
                </c:pt>
                <c:pt idx="8">
                  <c:v>2468</c:v>
                </c:pt>
                <c:pt idx="9">
                  <c:v>2298</c:v>
                </c:pt>
                <c:pt idx="10">
                  <c:v>2746</c:v>
                </c:pt>
                <c:pt idx="11">
                  <c:v>2812</c:v>
                </c:pt>
                <c:pt idx="12">
                  <c:v>2586</c:v>
                </c:pt>
                <c:pt idx="13">
                  <c:v>3126</c:v>
                </c:pt>
                <c:pt idx="14">
                  <c:v>3466</c:v>
                </c:pt>
                <c:pt idx="15">
                  <c:v>3328</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6"/>
                <c:pt idx="0">
                  <c:v>1126.6912529550827</c:v>
                </c:pt>
                <c:pt idx="1">
                  <c:v>1126.6912529550827</c:v>
                </c:pt>
                <c:pt idx="2">
                  <c:v>1126.6912529550827</c:v>
                </c:pt>
                <c:pt idx="3">
                  <c:v>1126.6912529550827</c:v>
                </c:pt>
                <c:pt idx="4">
                  <c:v>1126.6912529550827</c:v>
                </c:pt>
                <c:pt idx="5">
                  <c:v>1126.6912529550827</c:v>
                </c:pt>
                <c:pt idx="6">
                  <c:v>1126.6912529550827</c:v>
                </c:pt>
                <c:pt idx="7">
                  <c:v>1126.6912529550827</c:v>
                </c:pt>
                <c:pt idx="8">
                  <c:v>1126.6912529550827</c:v>
                </c:pt>
                <c:pt idx="9">
                  <c:v>1126.6912529550827</c:v>
                </c:pt>
                <c:pt idx="10">
                  <c:v>1126.6912529550827</c:v>
                </c:pt>
                <c:pt idx="11">
                  <c:v>1126.6912529550827</c:v>
                </c:pt>
                <c:pt idx="12">
                  <c:v>1126.6912529550827</c:v>
                </c:pt>
                <c:pt idx="13">
                  <c:v>1126.6912529550827</c:v>
                </c:pt>
                <c:pt idx="14">
                  <c:v>1126.6912529550827</c:v>
                </c:pt>
                <c:pt idx="15">
                  <c:v>1126.6912529550827</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6"/>
                <c:pt idx="0">
                  <c:v>4322.9087470449176</c:v>
                </c:pt>
                <c:pt idx="1">
                  <c:v>4322.9087470449176</c:v>
                </c:pt>
                <c:pt idx="2">
                  <c:v>4322.9087470449176</c:v>
                </c:pt>
                <c:pt idx="3">
                  <c:v>4322.9087470449176</c:v>
                </c:pt>
                <c:pt idx="4">
                  <c:v>4322.9087470449176</c:v>
                </c:pt>
                <c:pt idx="5">
                  <c:v>4322.9087470449176</c:v>
                </c:pt>
                <c:pt idx="6">
                  <c:v>4322.9087470449176</c:v>
                </c:pt>
                <c:pt idx="7">
                  <c:v>4322.9087470449176</c:v>
                </c:pt>
                <c:pt idx="8">
                  <c:v>4322.9087470449176</c:v>
                </c:pt>
                <c:pt idx="9">
                  <c:v>4322.9087470449176</c:v>
                </c:pt>
                <c:pt idx="10">
                  <c:v>4322.9087470449176</c:v>
                </c:pt>
                <c:pt idx="11">
                  <c:v>4322.9087470449176</c:v>
                </c:pt>
                <c:pt idx="12">
                  <c:v>4322.9087470449176</c:v>
                </c:pt>
                <c:pt idx="13">
                  <c:v>4322.9087470449176</c:v>
                </c:pt>
                <c:pt idx="14">
                  <c:v>4322.9087470449176</c:v>
                </c:pt>
                <c:pt idx="15">
                  <c:v>4322.9087470449176</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6"/>
                <c:pt idx="0">
                  <c:v>2724.8</c:v>
                </c:pt>
                <c:pt idx="1">
                  <c:v>2724.8</c:v>
                </c:pt>
                <c:pt idx="2">
                  <c:v>2724.8</c:v>
                </c:pt>
                <c:pt idx="3">
                  <c:v>2724.8</c:v>
                </c:pt>
                <c:pt idx="4">
                  <c:v>2724.8</c:v>
                </c:pt>
                <c:pt idx="5">
                  <c:v>2724.8</c:v>
                </c:pt>
                <c:pt idx="6">
                  <c:v>2724.8</c:v>
                </c:pt>
                <c:pt idx="7">
                  <c:v>2724.8</c:v>
                </c:pt>
                <c:pt idx="8">
                  <c:v>2724.8</c:v>
                </c:pt>
                <c:pt idx="9">
                  <c:v>2724.8</c:v>
                </c:pt>
                <c:pt idx="10">
                  <c:v>2724.8</c:v>
                </c:pt>
                <c:pt idx="11">
                  <c:v>2724.8</c:v>
                </c:pt>
                <c:pt idx="12">
                  <c:v>2724.8</c:v>
                </c:pt>
                <c:pt idx="13">
                  <c:v>2724.8</c:v>
                </c:pt>
                <c:pt idx="14">
                  <c:v>2724.8</c:v>
                </c:pt>
                <c:pt idx="15">
                  <c:v>2724.8</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6"/>
                <c:pt idx="0">
                  <c:v>5282</c:v>
                </c:pt>
                <c:pt idx="1">
                  <c:v>5022</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6"/>
                <c:pt idx="1">
                  <c:v>#N/A</c:v>
                </c:pt>
                <c:pt idx="2">
                  <c:v>#N/A</c:v>
                </c:pt>
                <c:pt idx="3">
                  <c:v>2252</c:v>
                </c:pt>
                <c:pt idx="4">
                  <c:v>1554</c:v>
                </c:pt>
                <c:pt idx="5">
                  <c:v>1256</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6"/>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6"/>
                <c:pt idx="0">
                  <c:v>2442.5</c:v>
                </c:pt>
                <c:pt idx="1">
                  <c:v>2442.5</c:v>
                </c:pt>
                <c:pt idx="2">
                  <c:v>2442.5</c:v>
                </c:pt>
                <c:pt idx="3">
                  <c:v>2442.5</c:v>
                </c:pt>
                <c:pt idx="4">
                  <c:v>2442.5</c:v>
                </c:pt>
                <c:pt idx="5">
                  <c:v>2442.5</c:v>
                </c:pt>
                <c:pt idx="6">
                  <c:v>2442.5</c:v>
                </c:pt>
                <c:pt idx="7">
                  <c:v>2442.5</c:v>
                </c:pt>
                <c:pt idx="8">
                  <c:v>2442.5</c:v>
                </c:pt>
                <c:pt idx="9">
                  <c:v>2442.5</c:v>
                </c:pt>
                <c:pt idx="10">
                  <c:v>2442.5</c:v>
                </c:pt>
                <c:pt idx="11">
                  <c:v>2442.5</c:v>
                </c:pt>
                <c:pt idx="12">
                  <c:v>2442.5</c:v>
                </c:pt>
                <c:pt idx="13">
                  <c:v>2442.5</c:v>
                </c:pt>
                <c:pt idx="14">
                  <c:v>2442.5</c:v>
                </c:pt>
                <c:pt idx="15">
                  <c:v>2442.5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6"/>
                <c:pt idx="0">
                  <c:v>4500.4999999999982</c:v>
                </c:pt>
                <c:pt idx="1">
                  <c:v>4500.4999999999982</c:v>
                </c:pt>
                <c:pt idx="2">
                  <c:v>4500.4999999999982</c:v>
                </c:pt>
                <c:pt idx="3">
                  <c:v>4500.4999999999982</c:v>
                </c:pt>
                <c:pt idx="4">
                  <c:v>4500.4999999999982</c:v>
                </c:pt>
                <c:pt idx="5">
                  <c:v>4500.4999999999982</c:v>
                </c:pt>
                <c:pt idx="6">
                  <c:v>4500.4999999999982</c:v>
                </c:pt>
                <c:pt idx="7">
                  <c:v>4500.4999999999982</c:v>
                </c:pt>
                <c:pt idx="8">
                  <c:v>4500.4999999999982</c:v>
                </c:pt>
                <c:pt idx="9">
                  <c:v>4500.4999999999982</c:v>
                </c:pt>
                <c:pt idx="10">
                  <c:v>4500.4999999999982</c:v>
                </c:pt>
                <c:pt idx="11">
                  <c:v>4500.4999999999982</c:v>
                </c:pt>
                <c:pt idx="12">
                  <c:v>4500.4999999999982</c:v>
                </c:pt>
                <c:pt idx="13">
                  <c:v>4500.4999999999982</c:v>
                </c:pt>
                <c:pt idx="14">
                  <c:v>4500.4999999999982</c:v>
                </c:pt>
                <c:pt idx="15">
                  <c:v>4500.4999999999982</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(points)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pt idx="21">
                  <c:v>44102</c:v>
                </c:pt>
                <c:pt idx="22">
                  <c:v>44109</c:v>
                </c:pt>
                <c:pt idx="23">
                  <c:v>44116</c:v>
                </c:pt>
                <c:pt idx="24">
                  <c:v>44123</c:v>
                </c:pt>
                <c:pt idx="25">
                  <c:v>44130</c:v>
                </c:pt>
                <c:pt idx="26">
                  <c:v>44137</c:v>
                </c:pt>
                <c:pt idx="27">
                  <c:v>44144</c:v>
                </c:pt>
                <c:pt idx="28">
                  <c:v>44151</c:v>
                </c:pt>
                <c:pt idx="29">
                  <c:v>44158</c:v>
                </c:pt>
                <c:pt idx="30">
                  <c:v>44165</c:v>
                </c:pt>
                <c:pt idx="31">
                  <c:v>44172</c:v>
                </c:pt>
                <c:pt idx="32">
                  <c:v>44179</c:v>
                </c:pt>
                <c:pt idx="33">
                  <c:v>44186</c:v>
                </c:pt>
                <c:pt idx="34">
                  <c:v>44193</c:v>
                </c:pt>
                <c:pt idx="35">
                  <c:v>44200</c:v>
                </c:pt>
                <c:pt idx="36">
                  <c:v>44207</c:v>
                </c:pt>
                <c:pt idx="37">
                  <c:v>44214</c:v>
                </c:pt>
                <c:pt idx="38">
                  <c:v>44221</c:v>
                </c:pt>
                <c:pt idx="39">
                  <c:v>44228</c:v>
                </c:pt>
                <c:pt idx="40">
                  <c:v>44235</c:v>
                </c:pt>
                <c:pt idx="41">
                  <c:v>44242</c:v>
                </c:pt>
                <c:pt idx="42">
                  <c:v>44249</c:v>
                </c:pt>
                <c:pt idx="43">
                  <c:v>44256</c:v>
                </c:pt>
                <c:pt idx="44">
                  <c:v>44263</c:v>
                </c:pt>
                <c:pt idx="45">
                  <c:v>44270</c:v>
                </c:pt>
                <c:pt idx="46">
                  <c:v>44277</c:v>
                </c:pt>
                <c:pt idx="47">
                  <c:v>44284</c:v>
                </c:pt>
                <c:pt idx="48">
                  <c:v>44291</c:v>
                </c:pt>
                <c:pt idx="49">
                  <c:v>44298</c:v>
                </c:pt>
                <c:pt idx="50">
                  <c:v>44305</c:v>
                </c:pt>
                <c:pt idx="51">
                  <c:v>44312</c:v>
                </c:pt>
              </c:numCache>
            </c:numRef>
          </c:cat>
          <c:val>
            <c:numRef>
              <c:f>[0]!Cap_Chart_Core_Range</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4038.4615384615386</c:v>
                </c:pt>
                <c:pt idx="13">
                  <c:v>4038.4615384615386</c:v>
                </c:pt>
                <c:pt idx="14">
                  <c:v>4038.4615384615386</c:v>
                </c:pt>
                <c:pt idx="15">
                  <c:v>4038.4615384615386</c:v>
                </c:pt>
                <c:pt idx="16">
                  <c:v>4038.4615384615386</c:v>
                </c:pt>
                <c:pt idx="17">
                  <c:v>4038.4615384615386</c:v>
                </c:pt>
                <c:pt idx="18">
                  <c:v>4038.4615384615386</c:v>
                </c:pt>
                <c:pt idx="19">
                  <c:v>4038.4615384615386</c:v>
                </c:pt>
                <c:pt idx="20">
                  <c:v>4038.4615384615386</c:v>
                </c:pt>
                <c:pt idx="21">
                  <c:v>4038.4615384615386</c:v>
                </c:pt>
                <c:pt idx="22">
                  <c:v>4038.4615384615386</c:v>
                </c:pt>
                <c:pt idx="23">
                  <c:v>4038.4615384615386</c:v>
                </c:pt>
                <c:pt idx="24">
                  <c:v>4038.4615384615386</c:v>
                </c:pt>
                <c:pt idx="25">
                  <c:v>4038.4615384615386</c:v>
                </c:pt>
                <c:pt idx="26">
                  <c:v>4038.4615384615386</c:v>
                </c:pt>
                <c:pt idx="27">
                  <c:v>4038.4615384615386</c:v>
                </c:pt>
                <c:pt idx="28">
                  <c:v>4038.4615384615386</c:v>
                </c:pt>
                <c:pt idx="29">
                  <c:v>4038.4615384615386</c:v>
                </c:pt>
                <c:pt idx="30">
                  <c:v>4038.4615384615386</c:v>
                </c:pt>
                <c:pt idx="31">
                  <c:v>4038.4615384615386</c:v>
                </c:pt>
                <c:pt idx="32">
                  <c:v>4038.4615384615386</c:v>
                </c:pt>
                <c:pt idx="33">
                  <c:v>4038.4615384615386</c:v>
                </c:pt>
                <c:pt idx="34">
                  <c:v>4038.4615384615386</c:v>
                </c:pt>
                <c:pt idx="35">
                  <c:v>4038.4615384615386</c:v>
                </c:pt>
                <c:pt idx="36">
                  <c:v>4038.4615384615386</c:v>
                </c:pt>
                <c:pt idx="37">
                  <c:v>4038.4615384615386</c:v>
                </c:pt>
                <c:pt idx="38">
                  <c:v>4038.4615384615386</c:v>
                </c:pt>
                <c:pt idx="39">
                  <c:v>4038.4615384615386</c:v>
                </c:pt>
                <c:pt idx="40">
                  <c:v>4038.4615384615386</c:v>
                </c:pt>
                <c:pt idx="41">
                  <c:v>4038.4615384615386</c:v>
                </c:pt>
                <c:pt idx="42">
                  <c:v>4038.4615384615386</c:v>
                </c:pt>
                <c:pt idx="43">
                  <c:v>4038.4615384615386</c:v>
                </c:pt>
                <c:pt idx="44">
                  <c:v>4038.4615384615386</c:v>
                </c:pt>
                <c:pt idx="45">
                  <c:v>4038.4615384615386</c:v>
                </c:pt>
                <c:pt idx="46">
                  <c:v>4038.4615384615386</c:v>
                </c:pt>
                <c:pt idx="47">
                  <c:v>4038.4615384615386</c:v>
                </c:pt>
                <c:pt idx="48">
                  <c:v>4038.4615384615386</c:v>
                </c:pt>
                <c:pt idx="49">
                  <c:v>4038.4615384615386</c:v>
                </c:pt>
                <c:pt idx="50">
                  <c:v>4038.4615384615386</c:v>
                </c:pt>
                <c:pt idx="51">
                  <c:v>4038.4615384615386</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pt idx="21">
                  <c:v>44102</c:v>
                </c:pt>
                <c:pt idx="22">
                  <c:v>44109</c:v>
                </c:pt>
                <c:pt idx="23">
                  <c:v>44116</c:v>
                </c:pt>
                <c:pt idx="24">
                  <c:v>44123</c:v>
                </c:pt>
                <c:pt idx="25">
                  <c:v>44130</c:v>
                </c:pt>
                <c:pt idx="26">
                  <c:v>44137</c:v>
                </c:pt>
                <c:pt idx="27">
                  <c:v>44144</c:v>
                </c:pt>
                <c:pt idx="28">
                  <c:v>44151</c:v>
                </c:pt>
                <c:pt idx="29">
                  <c:v>44158</c:v>
                </c:pt>
                <c:pt idx="30">
                  <c:v>44165</c:v>
                </c:pt>
                <c:pt idx="31">
                  <c:v>44172</c:v>
                </c:pt>
                <c:pt idx="32">
                  <c:v>44179</c:v>
                </c:pt>
                <c:pt idx="33">
                  <c:v>44186</c:v>
                </c:pt>
                <c:pt idx="34">
                  <c:v>44193</c:v>
                </c:pt>
                <c:pt idx="35">
                  <c:v>44200</c:v>
                </c:pt>
                <c:pt idx="36">
                  <c:v>44207</c:v>
                </c:pt>
                <c:pt idx="37">
                  <c:v>44214</c:v>
                </c:pt>
                <c:pt idx="38">
                  <c:v>44221</c:v>
                </c:pt>
                <c:pt idx="39">
                  <c:v>44228</c:v>
                </c:pt>
                <c:pt idx="40">
                  <c:v>44235</c:v>
                </c:pt>
                <c:pt idx="41">
                  <c:v>44242</c:v>
                </c:pt>
                <c:pt idx="42">
                  <c:v>44249</c:v>
                </c:pt>
                <c:pt idx="43">
                  <c:v>44256</c:v>
                </c:pt>
                <c:pt idx="44">
                  <c:v>44263</c:v>
                </c:pt>
                <c:pt idx="45">
                  <c:v>44270</c:v>
                </c:pt>
                <c:pt idx="46">
                  <c:v>44277</c:v>
                </c:pt>
                <c:pt idx="47">
                  <c:v>44284</c:v>
                </c:pt>
                <c:pt idx="48">
                  <c:v>44291</c:v>
                </c:pt>
                <c:pt idx="49">
                  <c:v>44298</c:v>
                </c:pt>
                <c:pt idx="50">
                  <c:v>44305</c:v>
                </c:pt>
                <c:pt idx="51">
                  <c:v>44312</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3641.2739999999999</c:v>
                </c:pt>
                <c:pt idx="1">
                  <c:v>3491.5341093749998</c:v>
                </c:pt>
                <c:pt idx="2">
                  <c:v>3341.7942187499998</c:v>
                </c:pt>
                <c:pt idx="3">
                  <c:v>3192.0543281249998</c:v>
                </c:pt>
                <c:pt idx="4">
                  <c:v>3042.3144374999997</c:v>
                </c:pt>
                <c:pt idx="5">
                  <c:v>2892.5745468749997</c:v>
                </c:pt>
                <c:pt idx="6">
                  <c:v>2742.8346562499996</c:v>
                </c:pt>
                <c:pt idx="7">
                  <c:v>2593.094765625</c:v>
                </c:pt>
                <c:pt idx="8">
                  <c:v>2443.354875</c:v>
                </c:pt>
                <c:pt idx="9">
                  <c:v>2543.3898749999998</c:v>
                </c:pt>
                <c:pt idx="10">
                  <c:v>2543.3898749999998</c:v>
                </c:pt>
                <c:pt idx="11">
                  <c:v>2543.3898749999998</c:v>
                </c:pt>
                <c:pt idx="12">
                  <c:v>2543.3898749999998</c:v>
                </c:pt>
                <c:pt idx="13">
                  <c:v>2543.3898749999998</c:v>
                </c:pt>
                <c:pt idx="14">
                  <c:v>2543.3898749999998</c:v>
                </c:pt>
                <c:pt idx="15">
                  <c:v>2543.3898749999998</c:v>
                </c:pt>
                <c:pt idx="16">
                  <c:v>2543.3898749999998</c:v>
                </c:pt>
                <c:pt idx="17">
                  <c:v>2443.354875</c:v>
                </c:pt>
                <c:pt idx="18">
                  <c:v>2443.354875</c:v>
                </c:pt>
                <c:pt idx="19">
                  <c:v>2443.354875</c:v>
                </c:pt>
                <c:pt idx="20">
                  <c:v>2443.354875</c:v>
                </c:pt>
                <c:pt idx="21">
                  <c:v>2443.354875</c:v>
                </c:pt>
                <c:pt idx="22">
                  <c:v>2443.354875</c:v>
                </c:pt>
                <c:pt idx="23">
                  <c:v>2443.354875</c:v>
                </c:pt>
                <c:pt idx="24">
                  <c:v>2443.354875</c:v>
                </c:pt>
                <c:pt idx="25">
                  <c:v>2443.354875</c:v>
                </c:pt>
                <c:pt idx="26">
                  <c:v>2443.354875</c:v>
                </c:pt>
                <c:pt idx="27">
                  <c:v>2443.354875</c:v>
                </c:pt>
                <c:pt idx="28">
                  <c:v>2443.354875</c:v>
                </c:pt>
                <c:pt idx="29">
                  <c:v>2443.354875</c:v>
                </c:pt>
                <c:pt idx="30">
                  <c:v>2443.354875</c:v>
                </c:pt>
                <c:pt idx="31">
                  <c:v>2443.354875</c:v>
                </c:pt>
                <c:pt idx="32">
                  <c:v>2443.354875</c:v>
                </c:pt>
                <c:pt idx="33">
                  <c:v>2443.354875</c:v>
                </c:pt>
                <c:pt idx="34">
                  <c:v>2443.354875</c:v>
                </c:pt>
                <c:pt idx="35">
                  <c:v>2443.354875</c:v>
                </c:pt>
                <c:pt idx="36">
                  <c:v>2443.354875</c:v>
                </c:pt>
                <c:pt idx="37">
                  <c:v>2443.354875</c:v>
                </c:pt>
                <c:pt idx="38">
                  <c:v>2443.354875</c:v>
                </c:pt>
                <c:pt idx="39">
                  <c:v>2443.354875</c:v>
                </c:pt>
                <c:pt idx="40">
                  <c:v>2443.354875</c:v>
                </c:pt>
                <c:pt idx="41">
                  <c:v>2443.354875</c:v>
                </c:pt>
                <c:pt idx="42">
                  <c:v>2443.354875</c:v>
                </c:pt>
                <c:pt idx="43">
                  <c:v>2443.354875</c:v>
                </c:pt>
                <c:pt idx="44">
                  <c:v>2443.354875</c:v>
                </c:pt>
                <c:pt idx="45">
                  <c:v>2443.354875</c:v>
                </c:pt>
                <c:pt idx="46">
                  <c:v>2443.354875</c:v>
                </c:pt>
                <c:pt idx="47">
                  <c:v>2443.354875</c:v>
                </c:pt>
                <c:pt idx="48">
                  <c:v>2443.354875</c:v>
                </c:pt>
                <c:pt idx="49">
                  <c:v>2443.354875</c:v>
                </c:pt>
                <c:pt idx="50">
                  <c:v>2443.354875</c:v>
                </c:pt>
                <c:pt idx="51">
                  <c:v>2443.354875</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3.0010499999998501</c:v>
                </c:pt>
                <c:pt idx="1">
                  <c:v>3.0010499999998501</c:v>
                </c:pt>
                <c:pt idx="2">
                  <c:v>3.0010499999998501</c:v>
                </c:pt>
                <c:pt idx="3">
                  <c:v>3.0010499999998501</c:v>
                </c:pt>
                <c:pt idx="4">
                  <c:v>3.0010499999998501</c:v>
                </c:pt>
                <c:pt idx="5">
                  <c:v>3.0010499999998501</c:v>
                </c:pt>
                <c:pt idx="6">
                  <c:v>3.0010500000003049</c:v>
                </c:pt>
                <c:pt idx="7">
                  <c:v>3.0010499999998501</c:v>
                </c:pt>
                <c:pt idx="8">
                  <c:v>3.0010499999998501</c:v>
                </c:pt>
                <c:pt idx="9">
                  <c:v>2058.7202999999972</c:v>
                </c:pt>
                <c:pt idx="10">
                  <c:v>2058.7202999999972</c:v>
                </c:pt>
                <c:pt idx="11">
                  <c:v>2058.7202999999972</c:v>
                </c:pt>
                <c:pt idx="12">
                  <c:v>2058.7202999999972</c:v>
                </c:pt>
                <c:pt idx="13">
                  <c:v>2058.7202999999972</c:v>
                </c:pt>
                <c:pt idx="14">
                  <c:v>2058.7202999999972</c:v>
                </c:pt>
                <c:pt idx="15">
                  <c:v>2058.7202999999972</c:v>
                </c:pt>
                <c:pt idx="16">
                  <c:v>2058.7202999999972</c:v>
                </c:pt>
                <c:pt idx="17">
                  <c:v>2058.7202999999972</c:v>
                </c:pt>
                <c:pt idx="18">
                  <c:v>2058.7202999999972</c:v>
                </c:pt>
                <c:pt idx="19">
                  <c:v>2058.7202999999972</c:v>
                </c:pt>
                <c:pt idx="20">
                  <c:v>2058.7202999999972</c:v>
                </c:pt>
                <c:pt idx="21">
                  <c:v>2058.7202999999972</c:v>
                </c:pt>
                <c:pt idx="22">
                  <c:v>2058.7202999999972</c:v>
                </c:pt>
                <c:pt idx="23">
                  <c:v>2058.7202999999972</c:v>
                </c:pt>
                <c:pt idx="24">
                  <c:v>2058.7202999999972</c:v>
                </c:pt>
                <c:pt idx="25">
                  <c:v>2058.7202999999972</c:v>
                </c:pt>
                <c:pt idx="26">
                  <c:v>2058.7202999999972</c:v>
                </c:pt>
                <c:pt idx="27">
                  <c:v>2058.7202999999972</c:v>
                </c:pt>
                <c:pt idx="28">
                  <c:v>2058.7202999999972</c:v>
                </c:pt>
                <c:pt idx="29">
                  <c:v>2058.7202999999972</c:v>
                </c:pt>
                <c:pt idx="30">
                  <c:v>2058.7202999999972</c:v>
                </c:pt>
                <c:pt idx="31">
                  <c:v>2058.7202999999972</c:v>
                </c:pt>
                <c:pt idx="32">
                  <c:v>2058.7202999999972</c:v>
                </c:pt>
                <c:pt idx="33">
                  <c:v>2058.7202999999972</c:v>
                </c:pt>
                <c:pt idx="34">
                  <c:v>2058.7202999999972</c:v>
                </c:pt>
                <c:pt idx="35">
                  <c:v>2058.7202999999972</c:v>
                </c:pt>
                <c:pt idx="36">
                  <c:v>2058.7202999999972</c:v>
                </c:pt>
                <c:pt idx="37">
                  <c:v>2058.7202999999972</c:v>
                </c:pt>
                <c:pt idx="38">
                  <c:v>2058.7202999999972</c:v>
                </c:pt>
                <c:pt idx="39">
                  <c:v>2058.7202999999972</c:v>
                </c:pt>
                <c:pt idx="40">
                  <c:v>2058.7202999999972</c:v>
                </c:pt>
                <c:pt idx="41">
                  <c:v>2058.7202999999972</c:v>
                </c:pt>
                <c:pt idx="42">
                  <c:v>2058.7202999999972</c:v>
                </c:pt>
                <c:pt idx="43">
                  <c:v>2058.7202999999972</c:v>
                </c:pt>
                <c:pt idx="44">
                  <c:v>2058.7202999999972</c:v>
                </c:pt>
                <c:pt idx="45">
                  <c:v>2058.7202999999972</c:v>
                </c:pt>
                <c:pt idx="46">
                  <c:v>2058.7202999999972</c:v>
                </c:pt>
                <c:pt idx="47">
                  <c:v>2058.7202999999972</c:v>
                </c:pt>
                <c:pt idx="48">
                  <c:v>2058.7202999999972</c:v>
                </c:pt>
                <c:pt idx="49">
                  <c:v>2058.7202999999972</c:v>
                </c:pt>
                <c:pt idx="50">
                  <c:v>2058.7202999999972</c:v>
                </c:pt>
                <c:pt idx="51">
                  <c:v>2058.7202999999972</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0</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0</c:v>
                </c:pt>
                <c:pt idx="1">
                  <c:v>0</c:v>
                </c:pt>
                <c:pt idx="2">
                  <c:v>2</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(points)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2560.1646120283035</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1709.6358990566009</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3140.5079825834514</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0.94339622641509435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(points)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2588.56</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272.48000000000047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152</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(Points)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May</c:v>
                  </c:pt>
                  <c:pt idx="4">
                    <c:v>Jun</c:v>
                  </c:pt>
                  <c:pt idx="9">
                    <c:v>Jul</c:v>
                  </c:pt>
                  <c:pt idx="13">
                    <c:v>Aug</c:v>
                  </c:pt>
                  <c:pt idx="18">
                    <c:v>Sep</c:v>
                  </c:pt>
                  <c:pt idx="22">
                    <c:v>Oct</c:v>
                  </c:pt>
                  <c:pt idx="26">
                    <c:v>Nov</c:v>
                  </c:pt>
                  <c:pt idx="31">
                    <c:v>Dec</c:v>
                  </c:pt>
                  <c:pt idx="35">
                    <c:v>Jan</c:v>
                  </c:pt>
                  <c:pt idx="39">
                    <c:v>Feb</c:v>
                  </c:pt>
                  <c:pt idx="43">
                    <c:v>Mar</c:v>
                  </c:pt>
                  <c:pt idx="48">
                    <c:v>Apr</c:v>
                  </c:pt>
                </c:lvl>
                <c:lvl>
                  <c:pt idx="0">
                    <c:v>2020</c:v>
                  </c:pt>
                  <c:pt idx="35">
                    <c:v>2021</c:v>
                  </c:pt>
                </c:lvl>
              </c:multiLvlStrCache>
            </c:multiLvlStrRef>
          </c:cat>
          <c:val>
            <c:numRef>
              <c:f>'Summary Calculations (hide)'!$T$15:$T$66</c:f>
              <c:numCache>
                <c:formatCode>#,##0</c:formatCode>
                <c:ptCount val="52"/>
                <c:pt idx="0">
                  <c:v>3641.2739999999999</c:v>
                </c:pt>
                <c:pt idx="1">
                  <c:v>3491.5341093749998</c:v>
                </c:pt>
                <c:pt idx="2">
                  <c:v>3341.7942187499998</c:v>
                </c:pt>
                <c:pt idx="3">
                  <c:v>3192.0543281249998</c:v>
                </c:pt>
                <c:pt idx="4">
                  <c:v>3042.3144374999997</c:v>
                </c:pt>
                <c:pt idx="5">
                  <c:v>2892.5745468749997</c:v>
                </c:pt>
                <c:pt idx="6">
                  <c:v>2742.8346562499996</c:v>
                </c:pt>
                <c:pt idx="7">
                  <c:v>2593.094765625</c:v>
                </c:pt>
                <c:pt idx="8">
                  <c:v>2443.354875</c:v>
                </c:pt>
                <c:pt idx="9">
                  <c:v>2543.3898749999998</c:v>
                </c:pt>
                <c:pt idx="10">
                  <c:v>2543.3898749999998</c:v>
                </c:pt>
                <c:pt idx="11">
                  <c:v>2543.3898749999998</c:v>
                </c:pt>
                <c:pt idx="12">
                  <c:v>2543.3898749999998</c:v>
                </c:pt>
                <c:pt idx="13">
                  <c:v>2543.3898749999998</c:v>
                </c:pt>
                <c:pt idx="14">
                  <c:v>2543.3898749999998</c:v>
                </c:pt>
                <c:pt idx="15">
                  <c:v>2543.3898749999998</c:v>
                </c:pt>
                <c:pt idx="16">
                  <c:v>2543.3898749999998</c:v>
                </c:pt>
                <c:pt idx="17">
                  <c:v>2443.354875</c:v>
                </c:pt>
                <c:pt idx="18">
                  <c:v>2443.354875</c:v>
                </c:pt>
                <c:pt idx="19">
                  <c:v>2443.354875</c:v>
                </c:pt>
                <c:pt idx="20">
                  <c:v>2443.354875</c:v>
                </c:pt>
                <c:pt idx="21">
                  <c:v>2443.354875</c:v>
                </c:pt>
                <c:pt idx="22">
                  <c:v>2443.354875</c:v>
                </c:pt>
                <c:pt idx="23">
                  <c:v>2443.354875</c:v>
                </c:pt>
                <c:pt idx="24">
                  <c:v>2443.354875</c:v>
                </c:pt>
                <c:pt idx="25">
                  <c:v>2443.354875</c:v>
                </c:pt>
                <c:pt idx="26">
                  <c:v>2443.354875</c:v>
                </c:pt>
                <c:pt idx="27">
                  <c:v>2443.354875</c:v>
                </c:pt>
                <c:pt idx="28">
                  <c:v>2443.354875</c:v>
                </c:pt>
                <c:pt idx="29">
                  <c:v>2443.354875</c:v>
                </c:pt>
                <c:pt idx="30">
                  <c:v>2443.354875</c:v>
                </c:pt>
                <c:pt idx="31">
                  <c:v>2443.354875</c:v>
                </c:pt>
                <c:pt idx="32">
                  <c:v>2443.354875</c:v>
                </c:pt>
                <c:pt idx="33">
                  <c:v>2443.354875</c:v>
                </c:pt>
                <c:pt idx="34">
                  <c:v>2443.354875</c:v>
                </c:pt>
                <c:pt idx="35">
                  <c:v>2443.354875</c:v>
                </c:pt>
                <c:pt idx="36">
                  <c:v>2443.354875</c:v>
                </c:pt>
                <c:pt idx="37">
                  <c:v>2443.354875</c:v>
                </c:pt>
                <c:pt idx="38">
                  <c:v>2443.354875</c:v>
                </c:pt>
                <c:pt idx="39">
                  <c:v>2443.354875</c:v>
                </c:pt>
                <c:pt idx="40">
                  <c:v>2443.354875</c:v>
                </c:pt>
                <c:pt idx="41">
                  <c:v>2443.354875</c:v>
                </c:pt>
                <c:pt idx="42">
                  <c:v>2443.354875</c:v>
                </c:pt>
                <c:pt idx="43">
                  <c:v>2443.354875</c:v>
                </c:pt>
                <c:pt idx="44">
                  <c:v>2443.354875</c:v>
                </c:pt>
                <c:pt idx="45">
                  <c:v>2443.354875</c:v>
                </c:pt>
                <c:pt idx="46">
                  <c:v>2443.354875</c:v>
                </c:pt>
                <c:pt idx="47">
                  <c:v>2443.354875</c:v>
                </c:pt>
                <c:pt idx="48">
                  <c:v>2443.354875</c:v>
                </c:pt>
                <c:pt idx="49">
                  <c:v>2443.354875</c:v>
                </c:pt>
                <c:pt idx="50">
                  <c:v>2443.354875</c:v>
                </c:pt>
                <c:pt idx="51">
                  <c:v>2443.354875</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May</c:v>
                  </c:pt>
                  <c:pt idx="4">
                    <c:v>Jun</c:v>
                  </c:pt>
                  <c:pt idx="9">
                    <c:v>Jul</c:v>
                  </c:pt>
                  <c:pt idx="13">
                    <c:v>Aug</c:v>
                  </c:pt>
                  <c:pt idx="18">
                    <c:v>Sep</c:v>
                  </c:pt>
                  <c:pt idx="22">
                    <c:v>Oct</c:v>
                  </c:pt>
                  <c:pt idx="26">
                    <c:v>Nov</c:v>
                  </c:pt>
                  <c:pt idx="31">
                    <c:v>Dec</c:v>
                  </c:pt>
                  <c:pt idx="35">
                    <c:v>Jan</c:v>
                  </c:pt>
                  <c:pt idx="39">
                    <c:v>Feb</c:v>
                  </c:pt>
                  <c:pt idx="43">
                    <c:v>Mar</c:v>
                  </c:pt>
                  <c:pt idx="48">
                    <c:v>Apr</c:v>
                  </c:pt>
                </c:lvl>
                <c:lvl>
                  <c:pt idx="0">
                    <c:v>2020</c:v>
                  </c:pt>
                  <c:pt idx="35">
                    <c:v>2021</c:v>
                  </c:pt>
                </c:lvl>
              </c:multiLvlStrCache>
            </c:multiLvlStrRef>
          </c:cat>
          <c:val>
            <c:numRef>
              <c:f>'Summary Calculations (hide)'!$U$15:$U$66</c:f>
              <c:numCache>
                <c:formatCode>#,##0</c:formatCode>
                <c:ptCount val="52"/>
                <c:pt idx="0">
                  <c:v>3.0010499999998501</c:v>
                </c:pt>
                <c:pt idx="1">
                  <c:v>3.0010499999998501</c:v>
                </c:pt>
                <c:pt idx="2">
                  <c:v>3.0010499999998501</c:v>
                </c:pt>
                <c:pt idx="3">
                  <c:v>3.0010499999998501</c:v>
                </c:pt>
                <c:pt idx="4">
                  <c:v>3.0010499999998501</c:v>
                </c:pt>
                <c:pt idx="5">
                  <c:v>3.0010499999998501</c:v>
                </c:pt>
                <c:pt idx="6">
                  <c:v>3.0010500000003049</c:v>
                </c:pt>
                <c:pt idx="7">
                  <c:v>3.0010499999998501</c:v>
                </c:pt>
                <c:pt idx="8">
                  <c:v>3.0010499999998501</c:v>
                </c:pt>
                <c:pt idx="9">
                  <c:v>2058.7202999999972</c:v>
                </c:pt>
                <c:pt idx="10">
                  <c:v>2058.7202999999972</c:v>
                </c:pt>
                <c:pt idx="11">
                  <c:v>2058.7202999999972</c:v>
                </c:pt>
                <c:pt idx="12">
                  <c:v>2058.7202999999972</c:v>
                </c:pt>
                <c:pt idx="13">
                  <c:v>2058.7202999999972</c:v>
                </c:pt>
                <c:pt idx="14">
                  <c:v>2058.7202999999972</c:v>
                </c:pt>
                <c:pt idx="15">
                  <c:v>2058.7202999999972</c:v>
                </c:pt>
                <c:pt idx="16">
                  <c:v>2058.7202999999972</c:v>
                </c:pt>
                <c:pt idx="17">
                  <c:v>2058.7202999999972</c:v>
                </c:pt>
                <c:pt idx="18">
                  <c:v>2058.7202999999972</c:v>
                </c:pt>
                <c:pt idx="19">
                  <c:v>2058.7202999999972</c:v>
                </c:pt>
                <c:pt idx="20">
                  <c:v>2058.7202999999972</c:v>
                </c:pt>
                <c:pt idx="21">
                  <c:v>2058.7202999999972</c:v>
                </c:pt>
                <c:pt idx="22">
                  <c:v>2058.7202999999972</c:v>
                </c:pt>
                <c:pt idx="23">
                  <c:v>2058.7202999999972</c:v>
                </c:pt>
                <c:pt idx="24">
                  <c:v>2058.7202999999972</c:v>
                </c:pt>
                <c:pt idx="25">
                  <c:v>2058.7202999999972</c:v>
                </c:pt>
                <c:pt idx="26">
                  <c:v>2058.7202999999972</c:v>
                </c:pt>
                <c:pt idx="27">
                  <c:v>2058.7202999999972</c:v>
                </c:pt>
                <c:pt idx="28">
                  <c:v>2058.7202999999972</c:v>
                </c:pt>
                <c:pt idx="29">
                  <c:v>2058.7202999999972</c:v>
                </c:pt>
                <c:pt idx="30">
                  <c:v>2058.7202999999972</c:v>
                </c:pt>
                <c:pt idx="31">
                  <c:v>2058.7202999999972</c:v>
                </c:pt>
                <c:pt idx="32">
                  <c:v>2058.7202999999972</c:v>
                </c:pt>
                <c:pt idx="33">
                  <c:v>2058.7202999999972</c:v>
                </c:pt>
                <c:pt idx="34">
                  <c:v>2058.7202999999972</c:v>
                </c:pt>
                <c:pt idx="35">
                  <c:v>2058.7202999999972</c:v>
                </c:pt>
                <c:pt idx="36">
                  <c:v>2058.7202999999972</c:v>
                </c:pt>
                <c:pt idx="37">
                  <c:v>2058.7202999999972</c:v>
                </c:pt>
                <c:pt idx="38">
                  <c:v>2058.7202999999972</c:v>
                </c:pt>
                <c:pt idx="39">
                  <c:v>2058.7202999999972</c:v>
                </c:pt>
                <c:pt idx="40">
                  <c:v>2058.7202999999972</c:v>
                </c:pt>
                <c:pt idx="41">
                  <c:v>2058.7202999999972</c:v>
                </c:pt>
                <c:pt idx="42">
                  <c:v>2058.7202999999972</c:v>
                </c:pt>
                <c:pt idx="43">
                  <c:v>2058.7202999999972</c:v>
                </c:pt>
                <c:pt idx="44">
                  <c:v>2058.7202999999972</c:v>
                </c:pt>
                <c:pt idx="45">
                  <c:v>2058.7202999999972</c:v>
                </c:pt>
                <c:pt idx="46">
                  <c:v>2058.7202999999972</c:v>
                </c:pt>
                <c:pt idx="47">
                  <c:v>2058.7202999999972</c:v>
                </c:pt>
                <c:pt idx="48">
                  <c:v>2058.7202999999972</c:v>
                </c:pt>
                <c:pt idx="49">
                  <c:v>2058.7202999999972</c:v>
                </c:pt>
                <c:pt idx="50">
                  <c:v>2058.7202999999972</c:v>
                </c:pt>
                <c:pt idx="51">
                  <c:v>2058.7202999999972</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4038.4615384615386</c:v>
                </c:pt>
                <c:pt idx="13">
                  <c:v>4038.4615384615386</c:v>
                </c:pt>
                <c:pt idx="14">
                  <c:v>4038.4615384615386</c:v>
                </c:pt>
                <c:pt idx="15">
                  <c:v>4038.4615384615386</c:v>
                </c:pt>
                <c:pt idx="16">
                  <c:v>4038.4615384615386</c:v>
                </c:pt>
                <c:pt idx="17">
                  <c:v>4038.4615384615386</c:v>
                </c:pt>
                <c:pt idx="18">
                  <c:v>4038.4615384615386</c:v>
                </c:pt>
                <c:pt idx="19">
                  <c:v>4038.4615384615386</c:v>
                </c:pt>
                <c:pt idx="20">
                  <c:v>4038.4615384615386</c:v>
                </c:pt>
                <c:pt idx="21">
                  <c:v>4038.4615384615386</c:v>
                </c:pt>
                <c:pt idx="22">
                  <c:v>4038.4615384615386</c:v>
                </c:pt>
                <c:pt idx="23">
                  <c:v>4038.4615384615386</c:v>
                </c:pt>
                <c:pt idx="24">
                  <c:v>4038.4615384615386</c:v>
                </c:pt>
                <c:pt idx="25">
                  <c:v>4038.4615384615386</c:v>
                </c:pt>
                <c:pt idx="26">
                  <c:v>4038.4615384615386</c:v>
                </c:pt>
                <c:pt idx="27">
                  <c:v>4038.4615384615386</c:v>
                </c:pt>
                <c:pt idx="28">
                  <c:v>4038.4615384615386</c:v>
                </c:pt>
                <c:pt idx="29">
                  <c:v>4038.4615384615386</c:v>
                </c:pt>
                <c:pt idx="30">
                  <c:v>4038.4615384615386</c:v>
                </c:pt>
                <c:pt idx="31">
                  <c:v>4038.4615384615386</c:v>
                </c:pt>
                <c:pt idx="32">
                  <c:v>4038.4615384615386</c:v>
                </c:pt>
                <c:pt idx="33">
                  <c:v>4038.4615384615386</c:v>
                </c:pt>
                <c:pt idx="34">
                  <c:v>4038.4615384615386</c:v>
                </c:pt>
                <c:pt idx="35">
                  <c:v>4038.4615384615386</c:v>
                </c:pt>
                <c:pt idx="36">
                  <c:v>4038.4615384615386</c:v>
                </c:pt>
                <c:pt idx="37">
                  <c:v>4038.4615384615386</c:v>
                </c:pt>
                <c:pt idx="38">
                  <c:v>4038.4615384615386</c:v>
                </c:pt>
                <c:pt idx="39">
                  <c:v>4038.4615384615386</c:v>
                </c:pt>
                <c:pt idx="40">
                  <c:v>4038.4615384615386</c:v>
                </c:pt>
                <c:pt idx="41">
                  <c:v>4038.4615384615386</c:v>
                </c:pt>
                <c:pt idx="42">
                  <c:v>4038.4615384615386</c:v>
                </c:pt>
                <c:pt idx="43">
                  <c:v>4038.4615384615386</c:v>
                </c:pt>
                <c:pt idx="44">
                  <c:v>4038.4615384615386</c:v>
                </c:pt>
                <c:pt idx="45">
                  <c:v>4038.4615384615386</c:v>
                </c:pt>
                <c:pt idx="46">
                  <c:v>4038.4615384615386</c:v>
                </c:pt>
                <c:pt idx="47">
                  <c:v>4038.4615384615386</c:v>
                </c:pt>
                <c:pt idx="48">
                  <c:v>4038.4615384615386</c:v>
                </c:pt>
                <c:pt idx="49">
                  <c:v>4038.4615384615386</c:v>
                </c:pt>
                <c:pt idx="50">
                  <c:v>4038.4615384615386</c:v>
                </c:pt>
                <c:pt idx="51">
                  <c:v>4038.4615384615386</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May</c:v>
                  </c:pt>
                  <c:pt idx="4">
                    <c:v>Jun</c:v>
                  </c:pt>
                  <c:pt idx="9">
                    <c:v>Jul</c:v>
                  </c:pt>
                  <c:pt idx="13">
                    <c:v>Aug</c:v>
                  </c:pt>
                  <c:pt idx="18">
                    <c:v>Sep</c:v>
                  </c:pt>
                  <c:pt idx="22">
                    <c:v>Oct</c:v>
                  </c:pt>
                  <c:pt idx="26">
                    <c:v>Nov</c:v>
                  </c:pt>
                  <c:pt idx="31">
                    <c:v>Dec</c:v>
                  </c:pt>
                  <c:pt idx="35">
                    <c:v>Jan</c:v>
                  </c:pt>
                  <c:pt idx="39">
                    <c:v>Feb</c:v>
                  </c:pt>
                  <c:pt idx="43">
                    <c:v>Mar</c:v>
                  </c:pt>
                  <c:pt idx="48">
                    <c:v>Apr</c:v>
                  </c:pt>
                </c:lvl>
                <c:lvl>
                  <c:pt idx="0">
                    <c:v>2020</c:v>
                  </c:pt>
                  <c:pt idx="35">
                    <c:v>2021</c:v>
                  </c:pt>
                </c:lvl>
              </c:multiLvlStrCache>
            </c:multiLvlStrRef>
          </c:cat>
          <c:val>
            <c:numRef>
              <c:f>'WL PI Backing (hide)'!$AA$13:$AA$64</c:f>
              <c:numCache>
                <c:formatCode>General</c:formatCode>
                <c:ptCount val="52"/>
                <c:pt idx="0">
                  <c:v>2588.56</c:v>
                </c:pt>
                <c:pt idx="1">
                  <c:v>2588.56</c:v>
                </c:pt>
                <c:pt idx="2">
                  <c:v>2588.56</c:v>
                </c:pt>
                <c:pt idx="3">
                  <c:v>2588.56</c:v>
                </c:pt>
                <c:pt idx="4">
                  <c:v>2588.56</c:v>
                </c:pt>
                <c:pt idx="5">
                  <c:v>2588.56</c:v>
                </c:pt>
                <c:pt idx="6">
                  <c:v>2588.56</c:v>
                </c:pt>
                <c:pt idx="7">
                  <c:v>2588.56</c:v>
                </c:pt>
                <c:pt idx="8">
                  <c:v>2588.56</c:v>
                </c:pt>
                <c:pt idx="9">
                  <c:v>2588.56</c:v>
                </c:pt>
                <c:pt idx="10">
                  <c:v>2588.56</c:v>
                </c:pt>
                <c:pt idx="11">
                  <c:v>2588.56</c:v>
                </c:pt>
                <c:pt idx="12">
                  <c:v>2588.56</c:v>
                </c:pt>
                <c:pt idx="13">
                  <c:v>2588.56</c:v>
                </c:pt>
                <c:pt idx="14">
                  <c:v>2588.56</c:v>
                </c:pt>
                <c:pt idx="15">
                  <c:v>2588.56</c:v>
                </c:pt>
                <c:pt idx="16">
                  <c:v>2588.56</c:v>
                </c:pt>
                <c:pt idx="17">
                  <c:v>2588.56</c:v>
                </c:pt>
                <c:pt idx="18">
                  <c:v>2588.56</c:v>
                </c:pt>
                <c:pt idx="19">
                  <c:v>2588.56</c:v>
                </c:pt>
                <c:pt idx="20">
                  <c:v>2588.56</c:v>
                </c:pt>
                <c:pt idx="21">
                  <c:v>2588.56</c:v>
                </c:pt>
                <c:pt idx="22">
                  <c:v>2588.56</c:v>
                </c:pt>
                <c:pt idx="23">
                  <c:v>2588.56</c:v>
                </c:pt>
                <c:pt idx="24">
                  <c:v>2588.56</c:v>
                </c:pt>
                <c:pt idx="25">
                  <c:v>2588.56</c:v>
                </c:pt>
                <c:pt idx="26">
                  <c:v>2588.56</c:v>
                </c:pt>
                <c:pt idx="27">
                  <c:v>2588.56</c:v>
                </c:pt>
                <c:pt idx="28">
                  <c:v>2588.56</c:v>
                </c:pt>
                <c:pt idx="29">
                  <c:v>2588.56</c:v>
                </c:pt>
                <c:pt idx="30">
                  <c:v>2588.56</c:v>
                </c:pt>
                <c:pt idx="31">
                  <c:v>2588.56</c:v>
                </c:pt>
                <c:pt idx="32">
                  <c:v>2588.56</c:v>
                </c:pt>
                <c:pt idx="33">
                  <c:v>2588.56</c:v>
                </c:pt>
                <c:pt idx="34">
                  <c:v>2588.56</c:v>
                </c:pt>
                <c:pt idx="35">
                  <c:v>2588.56</c:v>
                </c:pt>
                <c:pt idx="36">
                  <c:v>2588.56</c:v>
                </c:pt>
                <c:pt idx="37">
                  <c:v>2588.56</c:v>
                </c:pt>
                <c:pt idx="38">
                  <c:v>2588.56</c:v>
                </c:pt>
                <c:pt idx="39">
                  <c:v>2588.56</c:v>
                </c:pt>
                <c:pt idx="40">
                  <c:v>2588.56</c:v>
                </c:pt>
                <c:pt idx="41">
                  <c:v>2588.56</c:v>
                </c:pt>
                <c:pt idx="42">
                  <c:v>2588.56</c:v>
                </c:pt>
                <c:pt idx="43">
                  <c:v>2588.56</c:v>
                </c:pt>
                <c:pt idx="44">
                  <c:v>2588.56</c:v>
                </c:pt>
                <c:pt idx="45">
                  <c:v>2588.56</c:v>
                </c:pt>
                <c:pt idx="46">
                  <c:v>2588.56</c:v>
                </c:pt>
                <c:pt idx="47">
                  <c:v>2588.56</c:v>
                </c:pt>
                <c:pt idx="48">
                  <c:v>2588.56</c:v>
                </c:pt>
                <c:pt idx="49">
                  <c:v>2588.56</c:v>
                </c:pt>
                <c:pt idx="50">
                  <c:v>2588.56</c:v>
                </c:pt>
                <c:pt idx="51">
                  <c:v>2588.56</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May</c:v>
                  </c:pt>
                  <c:pt idx="4">
                    <c:v>Jun</c:v>
                  </c:pt>
                  <c:pt idx="9">
                    <c:v>Jul</c:v>
                  </c:pt>
                  <c:pt idx="13">
                    <c:v>Aug</c:v>
                  </c:pt>
                  <c:pt idx="18">
                    <c:v>Sep</c:v>
                  </c:pt>
                  <c:pt idx="22">
                    <c:v>Oct</c:v>
                  </c:pt>
                  <c:pt idx="26">
                    <c:v>Nov</c:v>
                  </c:pt>
                  <c:pt idx="31">
                    <c:v>Dec</c:v>
                  </c:pt>
                  <c:pt idx="35">
                    <c:v>Jan</c:v>
                  </c:pt>
                  <c:pt idx="39">
                    <c:v>Feb</c:v>
                  </c:pt>
                  <c:pt idx="43">
                    <c:v>Mar</c:v>
                  </c:pt>
                  <c:pt idx="48">
                    <c:v>Apr</c:v>
                  </c:pt>
                </c:lvl>
                <c:lvl>
                  <c:pt idx="0">
                    <c:v>2020</c:v>
                  </c:pt>
                  <c:pt idx="35">
                    <c:v>2021</c:v>
                  </c:pt>
                </c:lvl>
              </c:multiLvlStrCache>
            </c:multiLvlStrRef>
          </c:cat>
          <c:val>
            <c:numRef>
              <c:f>'WL PI Backing (hide)'!$AC$13:$AC$64</c:f>
              <c:numCache>
                <c:formatCode>General</c:formatCode>
                <c:ptCount val="52"/>
                <c:pt idx="0">
                  <c:v>272.48000000000047</c:v>
                </c:pt>
                <c:pt idx="1">
                  <c:v>272.48000000000047</c:v>
                </c:pt>
                <c:pt idx="2">
                  <c:v>272.48000000000047</c:v>
                </c:pt>
                <c:pt idx="3">
                  <c:v>272.48000000000047</c:v>
                </c:pt>
                <c:pt idx="4">
                  <c:v>272.48000000000047</c:v>
                </c:pt>
                <c:pt idx="5">
                  <c:v>272.48000000000047</c:v>
                </c:pt>
                <c:pt idx="6">
                  <c:v>272.48000000000047</c:v>
                </c:pt>
                <c:pt idx="7">
                  <c:v>272.48000000000047</c:v>
                </c:pt>
                <c:pt idx="8">
                  <c:v>272.48000000000047</c:v>
                </c:pt>
                <c:pt idx="9">
                  <c:v>272.48000000000047</c:v>
                </c:pt>
                <c:pt idx="10">
                  <c:v>272.48000000000047</c:v>
                </c:pt>
                <c:pt idx="11">
                  <c:v>272.48000000000047</c:v>
                </c:pt>
                <c:pt idx="12">
                  <c:v>272.48000000000047</c:v>
                </c:pt>
                <c:pt idx="13">
                  <c:v>272.48000000000047</c:v>
                </c:pt>
                <c:pt idx="14">
                  <c:v>272.48000000000047</c:v>
                </c:pt>
                <c:pt idx="15">
                  <c:v>272.48000000000047</c:v>
                </c:pt>
                <c:pt idx="16">
                  <c:v>272.48000000000047</c:v>
                </c:pt>
                <c:pt idx="17">
                  <c:v>272.48000000000047</c:v>
                </c:pt>
                <c:pt idx="18">
                  <c:v>272.48000000000047</c:v>
                </c:pt>
                <c:pt idx="19">
                  <c:v>272.48000000000047</c:v>
                </c:pt>
                <c:pt idx="20">
                  <c:v>272.48000000000047</c:v>
                </c:pt>
                <c:pt idx="21">
                  <c:v>272.48000000000047</c:v>
                </c:pt>
                <c:pt idx="22">
                  <c:v>272.48000000000047</c:v>
                </c:pt>
                <c:pt idx="23">
                  <c:v>272.48000000000047</c:v>
                </c:pt>
                <c:pt idx="24">
                  <c:v>272.48000000000047</c:v>
                </c:pt>
                <c:pt idx="25">
                  <c:v>272.48000000000047</c:v>
                </c:pt>
                <c:pt idx="26">
                  <c:v>272.48000000000047</c:v>
                </c:pt>
                <c:pt idx="27">
                  <c:v>272.48000000000047</c:v>
                </c:pt>
                <c:pt idx="28">
                  <c:v>272.48000000000047</c:v>
                </c:pt>
                <c:pt idx="29">
                  <c:v>272.48000000000047</c:v>
                </c:pt>
                <c:pt idx="30">
                  <c:v>272.48000000000047</c:v>
                </c:pt>
                <c:pt idx="31">
                  <c:v>272.48000000000047</c:v>
                </c:pt>
                <c:pt idx="32">
                  <c:v>272.48000000000047</c:v>
                </c:pt>
                <c:pt idx="33">
                  <c:v>272.48000000000047</c:v>
                </c:pt>
                <c:pt idx="34">
                  <c:v>272.48000000000047</c:v>
                </c:pt>
                <c:pt idx="35">
                  <c:v>272.48000000000047</c:v>
                </c:pt>
                <c:pt idx="36">
                  <c:v>272.48000000000047</c:v>
                </c:pt>
                <c:pt idx="37">
                  <c:v>272.48000000000047</c:v>
                </c:pt>
                <c:pt idx="38">
                  <c:v>272.48000000000047</c:v>
                </c:pt>
                <c:pt idx="39">
                  <c:v>272.48000000000047</c:v>
                </c:pt>
                <c:pt idx="40">
                  <c:v>272.48000000000047</c:v>
                </c:pt>
                <c:pt idx="41">
                  <c:v>272.48000000000047</c:v>
                </c:pt>
                <c:pt idx="42">
                  <c:v>272.48000000000047</c:v>
                </c:pt>
                <c:pt idx="43">
                  <c:v>272.48000000000047</c:v>
                </c:pt>
                <c:pt idx="44">
                  <c:v>272.48000000000047</c:v>
                </c:pt>
                <c:pt idx="45">
                  <c:v>272.48000000000047</c:v>
                </c:pt>
                <c:pt idx="46">
                  <c:v>272.48000000000047</c:v>
                </c:pt>
                <c:pt idx="47">
                  <c:v>272.48000000000047</c:v>
                </c:pt>
                <c:pt idx="48">
                  <c:v>272.48000000000047</c:v>
                </c:pt>
                <c:pt idx="49">
                  <c:v>272.48000000000047</c:v>
                </c:pt>
                <c:pt idx="50">
                  <c:v>272.48000000000047</c:v>
                </c:pt>
                <c:pt idx="51">
                  <c:v>272.48000000000047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pt idx="21">
                  <c:v>44102</c:v>
                </c:pt>
                <c:pt idx="22">
                  <c:v>44109</c:v>
                </c:pt>
                <c:pt idx="23">
                  <c:v>44116</c:v>
                </c:pt>
                <c:pt idx="24">
                  <c:v>44123</c:v>
                </c:pt>
                <c:pt idx="25">
                  <c:v>44130</c:v>
                </c:pt>
                <c:pt idx="26">
                  <c:v>44137</c:v>
                </c:pt>
                <c:pt idx="27">
                  <c:v>44144</c:v>
                </c:pt>
                <c:pt idx="28">
                  <c:v>44151</c:v>
                </c:pt>
                <c:pt idx="29">
                  <c:v>44158</c:v>
                </c:pt>
                <c:pt idx="30">
                  <c:v>44165</c:v>
                </c:pt>
                <c:pt idx="31">
                  <c:v>44172</c:v>
                </c:pt>
                <c:pt idx="32">
                  <c:v>44179</c:v>
                </c:pt>
                <c:pt idx="33">
                  <c:v>44186</c:v>
                </c:pt>
                <c:pt idx="34">
                  <c:v>44193</c:v>
                </c:pt>
                <c:pt idx="35">
                  <c:v>44200</c:v>
                </c:pt>
                <c:pt idx="36">
                  <c:v>44207</c:v>
                </c:pt>
                <c:pt idx="37">
                  <c:v>44214</c:v>
                </c:pt>
                <c:pt idx="38">
                  <c:v>44221</c:v>
                </c:pt>
                <c:pt idx="39">
                  <c:v>44228</c:v>
                </c:pt>
                <c:pt idx="40">
                  <c:v>44235</c:v>
                </c:pt>
                <c:pt idx="41">
                  <c:v>44242</c:v>
                </c:pt>
                <c:pt idx="42">
                  <c:v>44249</c:v>
                </c:pt>
                <c:pt idx="43">
                  <c:v>44256</c:v>
                </c:pt>
                <c:pt idx="44">
                  <c:v>44263</c:v>
                </c:pt>
                <c:pt idx="45">
                  <c:v>44270</c:v>
                </c:pt>
                <c:pt idx="46">
                  <c:v>44277</c:v>
                </c:pt>
                <c:pt idx="47">
                  <c:v>44284</c:v>
                </c:pt>
                <c:pt idx="48">
                  <c:v>44291</c:v>
                </c:pt>
                <c:pt idx="49">
                  <c:v>44298</c:v>
                </c:pt>
                <c:pt idx="50">
                  <c:v>44305</c:v>
                </c:pt>
                <c:pt idx="51">
                  <c:v>44312</c:v>
                </c:pt>
              </c:numCache>
            </c:numRef>
          </c:cat>
          <c:val>
            <c:numRef>
              <c:f>'Planning (hide)'!$AD$4:$AD$55</c:f>
              <c:numCache>
                <c:formatCode>General</c:formatCode>
                <c:ptCount val="52"/>
                <c:pt idx="0">
                  <c:v>3641.2739999999999</c:v>
                </c:pt>
                <c:pt idx="1">
                  <c:v>3491.5341093749998</c:v>
                </c:pt>
                <c:pt idx="2">
                  <c:v>3341.7942187499998</c:v>
                </c:pt>
                <c:pt idx="3">
                  <c:v>3192.0543281249998</c:v>
                </c:pt>
                <c:pt idx="4">
                  <c:v>3042.3144374999997</c:v>
                </c:pt>
                <c:pt idx="5">
                  <c:v>2892.5745468749997</c:v>
                </c:pt>
                <c:pt idx="6">
                  <c:v>2742.8346562499996</c:v>
                </c:pt>
                <c:pt idx="7">
                  <c:v>2593.094765625</c:v>
                </c:pt>
                <c:pt idx="8">
                  <c:v>2443.354875</c:v>
                </c:pt>
                <c:pt idx="9">
                  <c:v>2543.3898749999998</c:v>
                </c:pt>
                <c:pt idx="10">
                  <c:v>2543.3898749999998</c:v>
                </c:pt>
                <c:pt idx="11">
                  <c:v>2543.3898749999998</c:v>
                </c:pt>
                <c:pt idx="12">
                  <c:v>2543.3898749999998</c:v>
                </c:pt>
                <c:pt idx="13">
                  <c:v>2543.3898749999998</c:v>
                </c:pt>
                <c:pt idx="14">
                  <c:v>2543.3898749999998</c:v>
                </c:pt>
                <c:pt idx="15">
                  <c:v>2543.3898749999998</c:v>
                </c:pt>
                <c:pt idx="16">
                  <c:v>2543.3898749999998</c:v>
                </c:pt>
                <c:pt idx="17">
                  <c:v>2443.354875</c:v>
                </c:pt>
                <c:pt idx="18">
                  <c:v>2443.354875</c:v>
                </c:pt>
                <c:pt idx="19">
                  <c:v>2443.354875</c:v>
                </c:pt>
                <c:pt idx="20">
                  <c:v>2443.354875</c:v>
                </c:pt>
                <c:pt idx="21">
                  <c:v>2443.354875</c:v>
                </c:pt>
                <c:pt idx="22">
                  <c:v>2443.354875</c:v>
                </c:pt>
                <c:pt idx="23">
                  <c:v>2443.354875</c:v>
                </c:pt>
                <c:pt idx="24">
                  <c:v>2443.354875</c:v>
                </c:pt>
                <c:pt idx="25">
                  <c:v>2443.354875</c:v>
                </c:pt>
                <c:pt idx="26">
                  <c:v>2443.354875</c:v>
                </c:pt>
                <c:pt idx="27">
                  <c:v>2443.354875</c:v>
                </c:pt>
                <c:pt idx="28">
                  <c:v>2443.354875</c:v>
                </c:pt>
                <c:pt idx="29">
                  <c:v>2443.354875</c:v>
                </c:pt>
                <c:pt idx="30">
                  <c:v>2443.354875</c:v>
                </c:pt>
                <c:pt idx="31">
                  <c:v>2443.354875</c:v>
                </c:pt>
                <c:pt idx="32">
                  <c:v>2443.354875</c:v>
                </c:pt>
                <c:pt idx="33">
                  <c:v>2443.354875</c:v>
                </c:pt>
                <c:pt idx="34">
                  <c:v>2443.354875</c:v>
                </c:pt>
                <c:pt idx="35">
                  <c:v>2443.354875</c:v>
                </c:pt>
                <c:pt idx="36">
                  <c:v>2443.354875</c:v>
                </c:pt>
                <c:pt idx="37">
                  <c:v>2443.354875</c:v>
                </c:pt>
                <c:pt idx="38">
                  <c:v>2443.354875</c:v>
                </c:pt>
                <c:pt idx="39">
                  <c:v>2443.354875</c:v>
                </c:pt>
                <c:pt idx="40">
                  <c:v>2443.354875</c:v>
                </c:pt>
                <c:pt idx="41">
                  <c:v>2443.354875</c:v>
                </c:pt>
                <c:pt idx="42">
                  <c:v>2443.354875</c:v>
                </c:pt>
                <c:pt idx="43">
                  <c:v>2443.354875</c:v>
                </c:pt>
                <c:pt idx="44">
                  <c:v>2443.354875</c:v>
                </c:pt>
                <c:pt idx="45">
                  <c:v>2443.354875</c:v>
                </c:pt>
                <c:pt idx="46">
                  <c:v>2443.354875</c:v>
                </c:pt>
                <c:pt idx="47">
                  <c:v>2443.354875</c:v>
                </c:pt>
                <c:pt idx="48">
                  <c:v>2443.354875</c:v>
                </c:pt>
                <c:pt idx="49">
                  <c:v>2443.354875</c:v>
                </c:pt>
                <c:pt idx="50">
                  <c:v>2443.354875</c:v>
                </c:pt>
                <c:pt idx="51">
                  <c:v>2443.354875</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pt idx="21">
                  <c:v>44102</c:v>
                </c:pt>
                <c:pt idx="22">
                  <c:v>44109</c:v>
                </c:pt>
                <c:pt idx="23">
                  <c:v>44116</c:v>
                </c:pt>
                <c:pt idx="24">
                  <c:v>44123</c:v>
                </c:pt>
                <c:pt idx="25">
                  <c:v>44130</c:v>
                </c:pt>
                <c:pt idx="26">
                  <c:v>44137</c:v>
                </c:pt>
                <c:pt idx="27">
                  <c:v>44144</c:v>
                </c:pt>
                <c:pt idx="28">
                  <c:v>44151</c:v>
                </c:pt>
                <c:pt idx="29">
                  <c:v>44158</c:v>
                </c:pt>
                <c:pt idx="30">
                  <c:v>44165</c:v>
                </c:pt>
                <c:pt idx="31">
                  <c:v>44172</c:v>
                </c:pt>
                <c:pt idx="32">
                  <c:v>44179</c:v>
                </c:pt>
                <c:pt idx="33">
                  <c:v>44186</c:v>
                </c:pt>
                <c:pt idx="34">
                  <c:v>44193</c:v>
                </c:pt>
                <c:pt idx="35">
                  <c:v>44200</c:v>
                </c:pt>
                <c:pt idx="36">
                  <c:v>44207</c:v>
                </c:pt>
                <c:pt idx="37">
                  <c:v>44214</c:v>
                </c:pt>
                <c:pt idx="38">
                  <c:v>44221</c:v>
                </c:pt>
                <c:pt idx="39">
                  <c:v>44228</c:v>
                </c:pt>
                <c:pt idx="40">
                  <c:v>44235</c:v>
                </c:pt>
                <c:pt idx="41">
                  <c:v>44242</c:v>
                </c:pt>
                <c:pt idx="42">
                  <c:v>44249</c:v>
                </c:pt>
                <c:pt idx="43">
                  <c:v>44256</c:v>
                </c:pt>
                <c:pt idx="44">
                  <c:v>44263</c:v>
                </c:pt>
                <c:pt idx="45">
                  <c:v>44270</c:v>
                </c:pt>
                <c:pt idx="46">
                  <c:v>44277</c:v>
                </c:pt>
                <c:pt idx="47">
                  <c:v>44284</c:v>
                </c:pt>
                <c:pt idx="48">
                  <c:v>44291</c:v>
                </c:pt>
                <c:pt idx="49">
                  <c:v>44298</c:v>
                </c:pt>
                <c:pt idx="50">
                  <c:v>44305</c:v>
                </c:pt>
                <c:pt idx="51">
                  <c:v>44312</c:v>
                </c:pt>
              </c:numCache>
            </c:numRef>
          </c:cat>
          <c:val>
            <c:numRef>
              <c:f>'Planning (hide)'!$AE$4:$AE$55</c:f>
              <c:numCache>
                <c:formatCode>General</c:formatCode>
                <c:ptCount val="52"/>
                <c:pt idx="0">
                  <c:v>3.0010499999998501</c:v>
                </c:pt>
                <c:pt idx="1">
                  <c:v>3.0010499999998501</c:v>
                </c:pt>
                <c:pt idx="2">
                  <c:v>3.0010499999998501</c:v>
                </c:pt>
                <c:pt idx="3">
                  <c:v>3.0010499999998501</c:v>
                </c:pt>
                <c:pt idx="4">
                  <c:v>3.0010499999998501</c:v>
                </c:pt>
                <c:pt idx="5">
                  <c:v>3.0010499999998501</c:v>
                </c:pt>
                <c:pt idx="6">
                  <c:v>3.0010500000003049</c:v>
                </c:pt>
                <c:pt idx="7">
                  <c:v>3.0010499999998501</c:v>
                </c:pt>
                <c:pt idx="8">
                  <c:v>3.0010499999998501</c:v>
                </c:pt>
                <c:pt idx="9">
                  <c:v>2058.7202999999972</c:v>
                </c:pt>
                <c:pt idx="10">
                  <c:v>2058.7202999999972</c:v>
                </c:pt>
                <c:pt idx="11">
                  <c:v>2058.7202999999972</c:v>
                </c:pt>
                <c:pt idx="12">
                  <c:v>2058.7202999999972</c:v>
                </c:pt>
                <c:pt idx="13">
                  <c:v>2058.7202999999972</c:v>
                </c:pt>
                <c:pt idx="14">
                  <c:v>2058.7202999999972</c:v>
                </c:pt>
                <c:pt idx="15">
                  <c:v>2058.7202999999972</c:v>
                </c:pt>
                <c:pt idx="16">
                  <c:v>2058.7202999999972</c:v>
                </c:pt>
                <c:pt idx="17">
                  <c:v>2058.7202999999972</c:v>
                </c:pt>
                <c:pt idx="18">
                  <c:v>2058.7202999999972</c:v>
                </c:pt>
                <c:pt idx="19">
                  <c:v>2058.7202999999972</c:v>
                </c:pt>
                <c:pt idx="20">
                  <c:v>2058.7202999999972</c:v>
                </c:pt>
                <c:pt idx="21">
                  <c:v>2058.7202999999972</c:v>
                </c:pt>
                <c:pt idx="22">
                  <c:v>2058.7202999999972</c:v>
                </c:pt>
                <c:pt idx="23">
                  <c:v>2058.7202999999972</c:v>
                </c:pt>
                <c:pt idx="24">
                  <c:v>2058.7202999999972</c:v>
                </c:pt>
                <c:pt idx="25">
                  <c:v>2058.7202999999972</c:v>
                </c:pt>
                <c:pt idx="26">
                  <c:v>2058.7202999999972</c:v>
                </c:pt>
                <c:pt idx="27">
                  <c:v>2058.7202999999972</c:v>
                </c:pt>
                <c:pt idx="28">
                  <c:v>2058.7202999999972</c:v>
                </c:pt>
                <c:pt idx="29">
                  <c:v>2058.7202999999972</c:v>
                </c:pt>
                <c:pt idx="30">
                  <c:v>2058.7202999999972</c:v>
                </c:pt>
                <c:pt idx="31">
                  <c:v>2058.7202999999972</c:v>
                </c:pt>
                <c:pt idx="32">
                  <c:v>2058.7202999999972</c:v>
                </c:pt>
                <c:pt idx="33">
                  <c:v>2058.7202999999972</c:v>
                </c:pt>
                <c:pt idx="34">
                  <c:v>2058.7202999999972</c:v>
                </c:pt>
                <c:pt idx="35">
                  <c:v>2058.7202999999972</c:v>
                </c:pt>
                <c:pt idx="36">
                  <c:v>2058.7202999999972</c:v>
                </c:pt>
                <c:pt idx="37">
                  <c:v>2058.7202999999972</c:v>
                </c:pt>
                <c:pt idx="38">
                  <c:v>2058.7202999999972</c:v>
                </c:pt>
                <c:pt idx="39">
                  <c:v>2058.7202999999972</c:v>
                </c:pt>
                <c:pt idx="40">
                  <c:v>2058.7202999999972</c:v>
                </c:pt>
                <c:pt idx="41">
                  <c:v>2058.7202999999972</c:v>
                </c:pt>
                <c:pt idx="42">
                  <c:v>2058.7202999999972</c:v>
                </c:pt>
                <c:pt idx="43">
                  <c:v>2058.7202999999972</c:v>
                </c:pt>
                <c:pt idx="44">
                  <c:v>2058.7202999999972</c:v>
                </c:pt>
                <c:pt idx="45">
                  <c:v>2058.7202999999972</c:v>
                </c:pt>
                <c:pt idx="46">
                  <c:v>2058.7202999999972</c:v>
                </c:pt>
                <c:pt idx="47">
                  <c:v>2058.7202999999972</c:v>
                </c:pt>
                <c:pt idx="48">
                  <c:v>2058.7202999999972</c:v>
                </c:pt>
                <c:pt idx="49">
                  <c:v>2058.7202999999972</c:v>
                </c:pt>
                <c:pt idx="50">
                  <c:v>2058.7202999999972</c:v>
                </c:pt>
                <c:pt idx="51">
                  <c:v>2058.7202999999972</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areaChart>
        <c:grouping val="stacked"/>
        <c:varyColors val="0"/>
        <c:ser>
          <c:idx val="0"/>
          <c:order val="0"/>
          <c:tx>
            <c:v>Lower</c:v>
          </c:tx>
          <c:spPr>
            <a:noFill/>
          </c:spPr>
          <c:cat>
            <c:numRef>
              <c:f>'Planning (hide)'!$A$4:$A$55</c:f>
              <c:numCache>
                <c:formatCode>m/d/yyyy</c:formatCode>
                <c:ptCount val="52"/>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pt idx="21">
                  <c:v>44102</c:v>
                </c:pt>
                <c:pt idx="22">
                  <c:v>44109</c:v>
                </c:pt>
                <c:pt idx="23">
                  <c:v>44116</c:v>
                </c:pt>
                <c:pt idx="24">
                  <c:v>44123</c:v>
                </c:pt>
                <c:pt idx="25">
                  <c:v>44130</c:v>
                </c:pt>
                <c:pt idx="26">
                  <c:v>44137</c:v>
                </c:pt>
                <c:pt idx="27">
                  <c:v>44144</c:v>
                </c:pt>
                <c:pt idx="28">
                  <c:v>44151</c:v>
                </c:pt>
                <c:pt idx="29">
                  <c:v>44158</c:v>
                </c:pt>
                <c:pt idx="30">
                  <c:v>44165</c:v>
                </c:pt>
                <c:pt idx="31">
                  <c:v>44172</c:v>
                </c:pt>
                <c:pt idx="32">
                  <c:v>44179</c:v>
                </c:pt>
                <c:pt idx="33">
                  <c:v>44186</c:v>
                </c:pt>
                <c:pt idx="34">
                  <c:v>44193</c:v>
                </c:pt>
                <c:pt idx="35">
                  <c:v>44200</c:v>
                </c:pt>
                <c:pt idx="36">
                  <c:v>44207</c:v>
                </c:pt>
                <c:pt idx="37">
                  <c:v>44214</c:v>
                </c:pt>
                <c:pt idx="38">
                  <c:v>44221</c:v>
                </c:pt>
                <c:pt idx="39">
                  <c:v>44228</c:v>
                </c:pt>
                <c:pt idx="40">
                  <c:v>44235</c:v>
                </c:pt>
                <c:pt idx="41">
                  <c:v>44242</c:v>
                </c:pt>
                <c:pt idx="42">
                  <c:v>44249</c:v>
                </c:pt>
                <c:pt idx="43">
                  <c:v>44256</c:v>
                </c:pt>
                <c:pt idx="44">
                  <c:v>44263</c:v>
                </c:pt>
                <c:pt idx="45">
                  <c:v>44270</c:v>
                </c:pt>
                <c:pt idx="46">
                  <c:v>44277</c:v>
                </c:pt>
                <c:pt idx="47">
                  <c:v>44284</c:v>
                </c:pt>
                <c:pt idx="48">
                  <c:v>44291</c:v>
                </c:pt>
                <c:pt idx="49">
                  <c:v>44298</c:v>
                </c:pt>
                <c:pt idx="50">
                  <c:v>44305</c:v>
                </c:pt>
                <c:pt idx="51">
                  <c:v>44312</c:v>
                </c:pt>
              </c:numCache>
            </c:numRef>
          </c:cat>
          <c:val>
            <c:numRef>
              <c:f>'Planning (hide)'!$C$4:$C$55</c:f>
              <c:numCache>
                <c:formatCode>#,##0</c:formatCode>
                <c:ptCount val="52"/>
                <c:pt idx="0">
                  <c:v>3641.2739999999994</c:v>
                </c:pt>
                <c:pt idx="1">
                  <c:v>3491.5341093749994</c:v>
                </c:pt>
                <c:pt idx="2">
                  <c:v>3341.7942187499993</c:v>
                </c:pt>
                <c:pt idx="3">
                  <c:v>3192.0543281249993</c:v>
                </c:pt>
                <c:pt idx="4">
                  <c:v>3042.3144374999997</c:v>
                </c:pt>
                <c:pt idx="5">
                  <c:v>2892.5745468749997</c:v>
                </c:pt>
                <c:pt idx="6">
                  <c:v>2742.8346562499996</c:v>
                </c:pt>
                <c:pt idx="7">
                  <c:v>2593.0947656249996</c:v>
                </c:pt>
                <c:pt idx="8">
                  <c:v>2443.3548749999995</c:v>
                </c:pt>
                <c:pt idx="9">
                  <c:v>2443.3548749999995</c:v>
                </c:pt>
                <c:pt idx="10">
                  <c:v>2443.3548749999995</c:v>
                </c:pt>
                <c:pt idx="11">
                  <c:v>2443.3548749999995</c:v>
                </c:pt>
                <c:pt idx="12">
                  <c:v>2443.3548749999995</c:v>
                </c:pt>
                <c:pt idx="13">
                  <c:v>2443.3548749999995</c:v>
                </c:pt>
                <c:pt idx="14">
                  <c:v>2443.3548749999995</c:v>
                </c:pt>
                <c:pt idx="15">
                  <c:v>2443.3548749999995</c:v>
                </c:pt>
                <c:pt idx="16">
                  <c:v>2443.3548749999995</c:v>
                </c:pt>
                <c:pt idx="17">
                  <c:v>2443.3548749999995</c:v>
                </c:pt>
                <c:pt idx="18">
                  <c:v>2443.3548749999995</c:v>
                </c:pt>
                <c:pt idx="19">
                  <c:v>2443.3548749999995</c:v>
                </c:pt>
                <c:pt idx="20">
                  <c:v>2443.3548749999995</c:v>
                </c:pt>
                <c:pt idx="21">
                  <c:v>2443.3548749999995</c:v>
                </c:pt>
                <c:pt idx="22">
                  <c:v>2443.3548749999995</c:v>
                </c:pt>
                <c:pt idx="23">
                  <c:v>2443.3548749999995</c:v>
                </c:pt>
                <c:pt idx="24">
                  <c:v>2443.3548749999995</c:v>
                </c:pt>
                <c:pt idx="25">
                  <c:v>2443.3548749999995</c:v>
                </c:pt>
                <c:pt idx="26">
                  <c:v>2443.3548749999995</c:v>
                </c:pt>
                <c:pt idx="27">
                  <c:v>2443.3548749999995</c:v>
                </c:pt>
                <c:pt idx="28">
                  <c:v>2443.3548749999995</c:v>
                </c:pt>
                <c:pt idx="29">
                  <c:v>2443.3548749999995</c:v>
                </c:pt>
                <c:pt idx="30">
                  <c:v>2443.3548749999995</c:v>
                </c:pt>
                <c:pt idx="31">
                  <c:v>2443.3548749999995</c:v>
                </c:pt>
                <c:pt idx="32">
                  <c:v>2443.3548749999995</c:v>
                </c:pt>
                <c:pt idx="33">
                  <c:v>2443.3548749999995</c:v>
                </c:pt>
                <c:pt idx="34">
                  <c:v>2443.3548749999995</c:v>
                </c:pt>
                <c:pt idx="35">
                  <c:v>2443.3548749999995</c:v>
                </c:pt>
                <c:pt idx="36">
                  <c:v>2443.3548749999995</c:v>
                </c:pt>
                <c:pt idx="37">
                  <c:v>2443.3548749999995</c:v>
                </c:pt>
                <c:pt idx="38">
                  <c:v>2443.3548749999995</c:v>
                </c:pt>
                <c:pt idx="39">
                  <c:v>2443.3548749999995</c:v>
                </c:pt>
                <c:pt idx="40">
                  <c:v>2443.3548749999995</c:v>
                </c:pt>
                <c:pt idx="41">
                  <c:v>2443.3548749999995</c:v>
                </c:pt>
                <c:pt idx="42">
                  <c:v>2443.3548749999995</c:v>
                </c:pt>
                <c:pt idx="43">
                  <c:v>2443.3548749999995</c:v>
                </c:pt>
                <c:pt idx="44">
                  <c:v>2443.3548749999995</c:v>
                </c:pt>
                <c:pt idx="45">
                  <c:v>2443.3548749999995</c:v>
                </c:pt>
                <c:pt idx="46">
                  <c:v>2443.3548749999995</c:v>
                </c:pt>
                <c:pt idx="47">
                  <c:v>2443.3548749999995</c:v>
                </c:pt>
                <c:pt idx="48">
                  <c:v>2443.3548749999995</c:v>
                </c:pt>
                <c:pt idx="49">
                  <c:v>2443.3548749999995</c:v>
                </c:pt>
                <c:pt idx="50">
                  <c:v>2443.3548749999995</c:v>
                </c:pt>
                <c:pt idx="51">
                  <c:v>2443.3548749999995</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cat>
            <c:numRef>
              <c:f>'Planning (hide)'!$A$4:$A$55</c:f>
              <c:numCache>
                <c:formatCode>m/d/yyyy</c:formatCode>
                <c:ptCount val="52"/>
                <c:pt idx="0">
                  <c:v>43955</c:v>
                </c:pt>
                <c:pt idx="1">
                  <c:v>43962</c:v>
                </c:pt>
                <c:pt idx="2">
                  <c:v>43969</c:v>
                </c:pt>
                <c:pt idx="3">
                  <c:v>43976</c:v>
                </c:pt>
                <c:pt idx="4">
                  <c:v>43983</c:v>
                </c:pt>
                <c:pt idx="5">
                  <c:v>43990</c:v>
                </c:pt>
                <c:pt idx="6">
                  <c:v>43997</c:v>
                </c:pt>
                <c:pt idx="7">
                  <c:v>44004</c:v>
                </c:pt>
                <c:pt idx="8">
                  <c:v>44011</c:v>
                </c:pt>
                <c:pt idx="9">
                  <c:v>44018</c:v>
                </c:pt>
                <c:pt idx="10">
                  <c:v>44025</c:v>
                </c:pt>
                <c:pt idx="11">
                  <c:v>44032</c:v>
                </c:pt>
                <c:pt idx="12">
                  <c:v>44039</c:v>
                </c:pt>
                <c:pt idx="13">
                  <c:v>44046</c:v>
                </c:pt>
                <c:pt idx="14">
                  <c:v>44053</c:v>
                </c:pt>
                <c:pt idx="15">
                  <c:v>44060</c:v>
                </c:pt>
                <c:pt idx="16">
                  <c:v>44067</c:v>
                </c:pt>
                <c:pt idx="17">
                  <c:v>44074</c:v>
                </c:pt>
                <c:pt idx="18">
                  <c:v>44081</c:v>
                </c:pt>
                <c:pt idx="19">
                  <c:v>44088</c:v>
                </c:pt>
                <c:pt idx="20">
                  <c:v>44095</c:v>
                </c:pt>
                <c:pt idx="21">
                  <c:v>44102</c:v>
                </c:pt>
                <c:pt idx="22">
                  <c:v>44109</c:v>
                </c:pt>
                <c:pt idx="23">
                  <c:v>44116</c:v>
                </c:pt>
                <c:pt idx="24">
                  <c:v>44123</c:v>
                </c:pt>
                <c:pt idx="25">
                  <c:v>44130</c:v>
                </c:pt>
                <c:pt idx="26">
                  <c:v>44137</c:v>
                </c:pt>
                <c:pt idx="27">
                  <c:v>44144</c:v>
                </c:pt>
                <c:pt idx="28">
                  <c:v>44151</c:v>
                </c:pt>
                <c:pt idx="29">
                  <c:v>44158</c:v>
                </c:pt>
                <c:pt idx="30">
                  <c:v>44165</c:v>
                </c:pt>
                <c:pt idx="31">
                  <c:v>44172</c:v>
                </c:pt>
                <c:pt idx="32">
                  <c:v>44179</c:v>
                </c:pt>
                <c:pt idx="33">
                  <c:v>44186</c:v>
                </c:pt>
                <c:pt idx="34">
                  <c:v>44193</c:v>
                </c:pt>
                <c:pt idx="35">
                  <c:v>44200</c:v>
                </c:pt>
                <c:pt idx="36">
                  <c:v>44207</c:v>
                </c:pt>
                <c:pt idx="37">
                  <c:v>44214</c:v>
                </c:pt>
                <c:pt idx="38">
                  <c:v>44221</c:v>
                </c:pt>
                <c:pt idx="39">
                  <c:v>44228</c:v>
                </c:pt>
                <c:pt idx="40">
                  <c:v>44235</c:v>
                </c:pt>
                <c:pt idx="41">
                  <c:v>44242</c:v>
                </c:pt>
                <c:pt idx="42">
                  <c:v>44249</c:v>
                </c:pt>
                <c:pt idx="43">
                  <c:v>44256</c:v>
                </c:pt>
                <c:pt idx="44">
                  <c:v>44263</c:v>
                </c:pt>
                <c:pt idx="45">
                  <c:v>44270</c:v>
                </c:pt>
                <c:pt idx="46">
                  <c:v>44277</c:v>
                </c:pt>
                <c:pt idx="47">
                  <c:v>44284</c:v>
                </c:pt>
                <c:pt idx="48">
                  <c:v>44291</c:v>
                </c:pt>
                <c:pt idx="49">
                  <c:v>44298</c:v>
                </c:pt>
                <c:pt idx="50">
                  <c:v>44305</c:v>
                </c:pt>
                <c:pt idx="51">
                  <c:v>44312</c:v>
                </c:pt>
              </c:numCache>
            </c:numRef>
          </c:cat>
          <c:val>
            <c:numRef>
              <c:f>'Planning (hide)'!$D$4:$D$55</c:f>
              <c:numCache>
                <c:formatCode>#,##0</c:formatCode>
                <c:ptCount val="52"/>
                <c:pt idx="0">
                  <c:v>3.0010499999998501</c:v>
                </c:pt>
                <c:pt idx="1">
                  <c:v>3.0010500000003049</c:v>
                </c:pt>
                <c:pt idx="2">
                  <c:v>3.0010500000003049</c:v>
                </c:pt>
                <c:pt idx="3">
                  <c:v>3.0010500000003049</c:v>
                </c:pt>
                <c:pt idx="4">
                  <c:v>3.0010499999998501</c:v>
                </c:pt>
                <c:pt idx="5">
                  <c:v>3.0010499999998501</c:v>
                </c:pt>
                <c:pt idx="6">
                  <c:v>3.0010499999998501</c:v>
                </c:pt>
                <c:pt idx="7">
                  <c:v>3.0010499999998501</c:v>
                </c:pt>
                <c:pt idx="8">
                  <c:v>3.0010500000003049</c:v>
                </c:pt>
                <c:pt idx="9">
                  <c:v>2058.7202999999977</c:v>
                </c:pt>
                <c:pt idx="10">
                  <c:v>2058.7202999999977</c:v>
                </c:pt>
                <c:pt idx="11">
                  <c:v>2058.7202999999977</c:v>
                </c:pt>
                <c:pt idx="12">
                  <c:v>2058.7202999999977</c:v>
                </c:pt>
                <c:pt idx="13">
                  <c:v>2058.7202999999977</c:v>
                </c:pt>
                <c:pt idx="14">
                  <c:v>2058.7202999999977</c:v>
                </c:pt>
                <c:pt idx="15">
                  <c:v>2058.7202999999977</c:v>
                </c:pt>
                <c:pt idx="16">
                  <c:v>2058.7202999999977</c:v>
                </c:pt>
                <c:pt idx="17">
                  <c:v>2058.7202999999977</c:v>
                </c:pt>
                <c:pt idx="18">
                  <c:v>2058.7202999999977</c:v>
                </c:pt>
                <c:pt idx="19">
                  <c:v>2058.7202999999977</c:v>
                </c:pt>
                <c:pt idx="20">
                  <c:v>2058.7202999999977</c:v>
                </c:pt>
                <c:pt idx="21">
                  <c:v>2058.7202999999977</c:v>
                </c:pt>
                <c:pt idx="22">
                  <c:v>2058.7202999999977</c:v>
                </c:pt>
                <c:pt idx="23">
                  <c:v>2058.7202999999977</c:v>
                </c:pt>
                <c:pt idx="24">
                  <c:v>2058.7202999999977</c:v>
                </c:pt>
                <c:pt idx="25">
                  <c:v>2058.7202999999977</c:v>
                </c:pt>
                <c:pt idx="26">
                  <c:v>2058.7202999999977</c:v>
                </c:pt>
                <c:pt idx="27">
                  <c:v>2058.7202999999977</c:v>
                </c:pt>
                <c:pt idx="28">
                  <c:v>2058.7202999999977</c:v>
                </c:pt>
                <c:pt idx="29">
                  <c:v>2058.7202999999977</c:v>
                </c:pt>
                <c:pt idx="30">
                  <c:v>2058.7202999999977</c:v>
                </c:pt>
                <c:pt idx="31">
                  <c:v>2058.7202999999977</c:v>
                </c:pt>
                <c:pt idx="32">
                  <c:v>2058.7202999999977</c:v>
                </c:pt>
                <c:pt idx="33">
                  <c:v>2058.7202999999977</c:v>
                </c:pt>
                <c:pt idx="34">
                  <c:v>2058.7202999999977</c:v>
                </c:pt>
                <c:pt idx="35">
                  <c:v>2058.7202999999977</c:v>
                </c:pt>
                <c:pt idx="36">
                  <c:v>2058.7202999999977</c:v>
                </c:pt>
                <c:pt idx="37">
                  <c:v>2058.7202999999977</c:v>
                </c:pt>
                <c:pt idx="38">
                  <c:v>2058.7202999999977</c:v>
                </c:pt>
                <c:pt idx="39">
                  <c:v>2058.7202999999977</c:v>
                </c:pt>
                <c:pt idx="40">
                  <c:v>2058.7202999999977</c:v>
                </c:pt>
                <c:pt idx="41">
                  <c:v>2058.7202999999977</c:v>
                </c:pt>
                <c:pt idx="42">
                  <c:v>2058.7202999999977</c:v>
                </c:pt>
                <c:pt idx="43">
                  <c:v>2058.7202999999977</c:v>
                </c:pt>
                <c:pt idx="44">
                  <c:v>2058.7202999999977</c:v>
                </c:pt>
                <c:pt idx="45">
                  <c:v>2058.7202999999977</c:v>
                </c:pt>
                <c:pt idx="46">
                  <c:v>2058.7202999999977</c:v>
                </c:pt>
                <c:pt idx="47">
                  <c:v>2058.7202999999977</c:v>
                </c:pt>
                <c:pt idx="48">
                  <c:v>2058.7202999999977</c:v>
                </c:pt>
                <c:pt idx="49">
                  <c:v>2058.7202999999977</c:v>
                </c:pt>
                <c:pt idx="50">
                  <c:v>2058.7202999999977</c:v>
                </c:pt>
                <c:pt idx="51">
                  <c:v>2058.7202999999977</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axId val="1110624304"/>
        <c:axId val="1110625944"/>
      </c:area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4048.4615384615386</c:v>
                </c:pt>
                <c:pt idx="13">
                  <c:v>4048.4615384615386</c:v>
                </c:pt>
                <c:pt idx="14">
                  <c:v>4048.4615384615386</c:v>
                </c:pt>
                <c:pt idx="15">
                  <c:v>4038.4615384615386</c:v>
                </c:pt>
                <c:pt idx="16">
                  <c:v>4048.4615384615386</c:v>
                </c:pt>
                <c:pt idx="17">
                  <c:v>4048.4615384615386</c:v>
                </c:pt>
                <c:pt idx="18">
                  <c:v>4038.4615384615386</c:v>
                </c:pt>
                <c:pt idx="19">
                  <c:v>4038.4615384615386</c:v>
                </c:pt>
                <c:pt idx="20">
                  <c:v>4038.4615384615386</c:v>
                </c:pt>
                <c:pt idx="21">
                  <c:v>4038.4615384615386</c:v>
                </c:pt>
                <c:pt idx="22">
                  <c:v>4038.4615384615386</c:v>
                </c:pt>
                <c:pt idx="23">
                  <c:v>4038.4615384615386</c:v>
                </c:pt>
                <c:pt idx="24">
                  <c:v>4038.4615384615386</c:v>
                </c:pt>
                <c:pt idx="25">
                  <c:v>4038.4615384615386</c:v>
                </c:pt>
                <c:pt idx="26">
                  <c:v>4038.4615384615386</c:v>
                </c:pt>
                <c:pt idx="27">
                  <c:v>4038.4615384615386</c:v>
                </c:pt>
                <c:pt idx="28">
                  <c:v>4038.4615384615386</c:v>
                </c:pt>
                <c:pt idx="29">
                  <c:v>4038.4615384615386</c:v>
                </c:pt>
                <c:pt idx="30">
                  <c:v>4038.4615384615386</c:v>
                </c:pt>
                <c:pt idx="31">
                  <c:v>4038.4615384615386</c:v>
                </c:pt>
                <c:pt idx="32">
                  <c:v>4038.4615384615386</c:v>
                </c:pt>
                <c:pt idx="33">
                  <c:v>4038.4615384615386</c:v>
                </c:pt>
                <c:pt idx="34">
                  <c:v>4038.4615384615386</c:v>
                </c:pt>
                <c:pt idx="35">
                  <c:v>4038.4615384615386</c:v>
                </c:pt>
                <c:pt idx="36">
                  <c:v>4038.4615384615386</c:v>
                </c:pt>
                <c:pt idx="37">
                  <c:v>4038.4615384615386</c:v>
                </c:pt>
                <c:pt idx="38">
                  <c:v>4038.4615384615386</c:v>
                </c:pt>
                <c:pt idx="39">
                  <c:v>4038.4615384615386</c:v>
                </c:pt>
                <c:pt idx="40">
                  <c:v>4038.4615384615386</c:v>
                </c:pt>
                <c:pt idx="41">
                  <c:v>4038.4615384615386</c:v>
                </c:pt>
                <c:pt idx="42">
                  <c:v>4038.4615384615386</c:v>
                </c:pt>
                <c:pt idx="43">
                  <c:v>4038.4615384615386</c:v>
                </c:pt>
                <c:pt idx="44">
                  <c:v>4038.4615384615386</c:v>
                </c:pt>
                <c:pt idx="45">
                  <c:v>4038.4615384615386</c:v>
                </c:pt>
                <c:pt idx="46">
                  <c:v>4038.4615384615386</c:v>
                </c:pt>
                <c:pt idx="47">
                  <c:v>4038.4615384615386</c:v>
                </c:pt>
                <c:pt idx="48">
                  <c:v>4038.4615384615386</c:v>
                </c:pt>
                <c:pt idx="49">
                  <c:v>4038.4615384615386</c:v>
                </c:pt>
                <c:pt idx="50">
                  <c:v>4038.4615384615386</c:v>
                </c:pt>
                <c:pt idx="51">
                  <c:v>4038.4615384615386</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4048.4615384615386</c:v>
                </c:pt>
                <c:pt idx="13">
                  <c:v>4048.4615384615386</c:v>
                </c:pt>
                <c:pt idx="14">
                  <c:v>4048.4615384615386</c:v>
                </c:pt>
                <c:pt idx="15">
                  <c:v>4038.4615384615386</c:v>
                </c:pt>
                <c:pt idx="16">
                  <c:v>4048.4615384615386</c:v>
                </c:pt>
                <c:pt idx="17">
                  <c:v>4048.4615384615386</c:v>
                </c:pt>
                <c:pt idx="18">
                  <c:v>4038.4615384615386</c:v>
                </c:pt>
                <c:pt idx="19">
                  <c:v>4038.4615384615386</c:v>
                </c:pt>
                <c:pt idx="20">
                  <c:v>4038.4615384615386</c:v>
                </c:pt>
                <c:pt idx="21">
                  <c:v>4038.4615384615386</c:v>
                </c:pt>
                <c:pt idx="22">
                  <c:v>4038.4615384615386</c:v>
                </c:pt>
                <c:pt idx="23">
                  <c:v>4038.4615384615386</c:v>
                </c:pt>
                <c:pt idx="24">
                  <c:v>4038.4615384615386</c:v>
                </c:pt>
                <c:pt idx="25">
                  <c:v>4038.4615384615386</c:v>
                </c:pt>
                <c:pt idx="26">
                  <c:v>4038.4615384615386</c:v>
                </c:pt>
                <c:pt idx="27">
                  <c:v>4038.4615384615386</c:v>
                </c:pt>
                <c:pt idx="28">
                  <c:v>4038.4615384615386</c:v>
                </c:pt>
                <c:pt idx="29">
                  <c:v>4038.4615384615386</c:v>
                </c:pt>
                <c:pt idx="30">
                  <c:v>4038.4615384615386</c:v>
                </c:pt>
                <c:pt idx="31">
                  <c:v>4038.4615384615386</c:v>
                </c:pt>
                <c:pt idx="32">
                  <c:v>4038.4615384615386</c:v>
                </c:pt>
                <c:pt idx="33">
                  <c:v>4038.4615384615386</c:v>
                </c:pt>
                <c:pt idx="34">
                  <c:v>4038.4615384615386</c:v>
                </c:pt>
                <c:pt idx="35">
                  <c:v>4038.4615384615386</c:v>
                </c:pt>
                <c:pt idx="36">
                  <c:v>4038.4615384615386</c:v>
                </c:pt>
                <c:pt idx="37">
                  <c:v>4038.4615384615386</c:v>
                </c:pt>
                <c:pt idx="38">
                  <c:v>4038.4615384615386</c:v>
                </c:pt>
                <c:pt idx="39">
                  <c:v>4038.4615384615386</c:v>
                </c:pt>
                <c:pt idx="40">
                  <c:v>4038.4615384615386</c:v>
                </c:pt>
                <c:pt idx="41">
                  <c:v>4038.4615384615386</c:v>
                </c:pt>
                <c:pt idx="42">
                  <c:v>4038.4615384615386</c:v>
                </c:pt>
                <c:pt idx="43">
                  <c:v>4038.4615384615386</c:v>
                </c:pt>
                <c:pt idx="44">
                  <c:v>4038.4615384615386</c:v>
                </c:pt>
                <c:pt idx="45">
                  <c:v>4038.4615384615386</c:v>
                </c:pt>
                <c:pt idx="46">
                  <c:v>4038.4615384615386</c:v>
                </c:pt>
                <c:pt idx="47">
                  <c:v>4038.4615384615386</c:v>
                </c:pt>
                <c:pt idx="48">
                  <c:v>4038.4615384615386</c:v>
                </c:pt>
                <c:pt idx="49">
                  <c:v>4038.4615384615386</c:v>
                </c:pt>
                <c:pt idx="50">
                  <c:v>4038.4615384615386</c:v>
                </c:pt>
                <c:pt idx="51">
                  <c:v>4038.4615384615386</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0"/>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E3" sqref="E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151.80000000000001" x14ac:dyDescent="0.25">
      <c r="A3" s="289" t="s">
        <v>1241</v>
      </c>
      <c r="B3" s="290">
        <v>44025</v>
      </c>
      <c r="C3" s="289" t="s">
        <v>5</v>
      </c>
      <c r="D3" s="292" t="s">
        <v>1247</v>
      </c>
      <c r="E3" s="292"/>
    </row>
    <row r="4" spans="1:5" s="67" customFormat="1" ht="69" x14ac:dyDescent="0.25">
      <c r="A4" s="289" t="s">
        <v>1236</v>
      </c>
      <c r="B4" s="290">
        <v>43997</v>
      </c>
      <c r="C4" s="289" t="s">
        <v>5</v>
      </c>
      <c r="D4" s="292" t="s">
        <v>1242</v>
      </c>
      <c r="E4" s="289"/>
    </row>
    <row r="5" spans="1:5" s="67" customFormat="1" ht="151.80000000000001" x14ac:dyDescent="0.25">
      <c r="A5" s="289">
        <v>3.4</v>
      </c>
      <c r="B5" s="290">
        <v>43993</v>
      </c>
      <c r="C5" s="289" t="s">
        <v>5</v>
      </c>
      <c r="D5" s="292" t="s">
        <v>1234</v>
      </c>
      <c r="E5" s="292"/>
    </row>
    <row r="6" spans="1:5" s="67" customFormat="1" ht="138" x14ac:dyDescent="0.25">
      <c r="A6" s="289">
        <v>3.3</v>
      </c>
      <c r="B6" s="290">
        <v>43980</v>
      </c>
      <c r="C6" s="289" t="s">
        <v>5</v>
      </c>
      <c r="D6" s="292" t="s">
        <v>1232</v>
      </c>
      <c r="E6" s="289"/>
    </row>
    <row r="7" spans="1:5" s="67" customFormat="1" ht="41.4" x14ac:dyDescent="0.25">
      <c r="A7" s="340">
        <v>3.2</v>
      </c>
      <c r="B7" s="290">
        <v>43965</v>
      </c>
      <c r="C7" s="289" t="s">
        <v>5</v>
      </c>
      <c r="D7" s="292" t="s">
        <v>1215</v>
      </c>
      <c r="E7" s="292"/>
    </row>
    <row r="8" spans="1:5" s="67" customFormat="1" ht="41.4" x14ac:dyDescent="0.25">
      <c r="A8" s="340">
        <v>3.1</v>
      </c>
      <c r="B8" s="290">
        <v>43964</v>
      </c>
      <c r="C8" s="289" t="s">
        <v>5</v>
      </c>
      <c r="D8" s="292" t="s">
        <v>1210</v>
      </c>
      <c r="E8" s="292"/>
    </row>
    <row r="9" spans="1:5" s="67" customFormat="1" ht="96.6" x14ac:dyDescent="0.25">
      <c r="A9" s="340">
        <v>3</v>
      </c>
      <c r="B9" s="290">
        <v>43963</v>
      </c>
      <c r="C9" s="289" t="s">
        <v>5</v>
      </c>
      <c r="D9" s="292" t="s">
        <v>1204</v>
      </c>
      <c r="E9" s="292" t="s">
        <v>1205</v>
      </c>
    </row>
    <row r="10" spans="1:5" s="67" customFormat="1" ht="69" x14ac:dyDescent="0.25">
      <c r="A10" s="289">
        <v>2.13</v>
      </c>
      <c r="B10" s="290">
        <v>43903</v>
      </c>
      <c r="C10" s="289" t="s">
        <v>5</v>
      </c>
      <c r="D10" s="292" t="s">
        <v>1176</v>
      </c>
      <c r="E10" s="285"/>
    </row>
    <row r="11" spans="1:5" s="67" customFormat="1" ht="27.6" x14ac:dyDescent="0.25">
      <c r="A11" s="289">
        <v>2.12</v>
      </c>
      <c r="B11" s="290">
        <v>43887</v>
      </c>
      <c r="C11" s="289" t="s">
        <v>276</v>
      </c>
      <c r="D11" s="292" t="s">
        <v>1177</v>
      </c>
      <c r="E11" s="285"/>
    </row>
    <row r="12" spans="1:5" s="67" customFormat="1" ht="55.2" x14ac:dyDescent="0.25">
      <c r="A12" s="289">
        <v>2.11</v>
      </c>
      <c r="B12" s="290">
        <v>43846</v>
      </c>
      <c r="C12" s="292" t="s">
        <v>1167</v>
      </c>
      <c r="D12" s="292" t="s">
        <v>1175</v>
      </c>
      <c r="E12" s="292" t="s">
        <v>1173</v>
      </c>
    </row>
    <row r="13" spans="1:5" s="67" customFormat="1" ht="41.4" x14ac:dyDescent="0.25">
      <c r="A13" s="330">
        <v>2.1</v>
      </c>
      <c r="B13" s="290">
        <v>43756</v>
      </c>
      <c r="C13" s="289" t="s">
        <v>276</v>
      </c>
      <c r="D13" s="292" t="s">
        <v>1171</v>
      </c>
      <c r="E13" s="285"/>
    </row>
    <row r="14" spans="1:5" s="67" customFormat="1" ht="55.2" x14ac:dyDescent="0.25">
      <c r="A14" s="289">
        <v>2.02</v>
      </c>
      <c r="B14" s="290">
        <v>43718</v>
      </c>
      <c r="C14" s="289" t="s">
        <v>5</v>
      </c>
      <c r="D14" s="292" t="s">
        <v>1170</v>
      </c>
      <c r="E14" s="285"/>
    </row>
    <row r="15" spans="1:5" s="67" customFormat="1" ht="55.2" x14ac:dyDescent="0.25">
      <c r="A15" s="289">
        <v>2.0099999999999998</v>
      </c>
      <c r="B15" s="290">
        <v>43693</v>
      </c>
      <c r="C15" s="289" t="s">
        <v>1109</v>
      </c>
      <c r="D15" s="292" t="s">
        <v>1169</v>
      </c>
      <c r="E15" s="285"/>
    </row>
    <row r="16" spans="1:5" s="67" customFormat="1" ht="96.6" x14ac:dyDescent="0.25">
      <c r="A16" s="326">
        <v>2</v>
      </c>
      <c r="B16" s="314">
        <v>43665</v>
      </c>
      <c r="C16" s="292" t="s">
        <v>1167</v>
      </c>
      <c r="D16" s="292" t="s">
        <v>1168</v>
      </c>
      <c r="E16" s="285"/>
    </row>
    <row r="17" spans="1:5" s="67" customFormat="1" ht="248.4" x14ac:dyDescent="0.25">
      <c r="A17" s="285">
        <v>1.05</v>
      </c>
      <c r="B17" s="314">
        <v>43570</v>
      </c>
      <c r="C17" s="292" t="s">
        <v>1166</v>
      </c>
      <c r="D17" s="292" t="s">
        <v>1161</v>
      </c>
      <c r="E17" s="316" t="s">
        <v>1160</v>
      </c>
    </row>
    <row r="18" spans="1:5" s="67" customFormat="1" ht="82.8" x14ac:dyDescent="0.25">
      <c r="A18" s="289">
        <v>1.04</v>
      </c>
      <c r="B18" s="290">
        <v>43516</v>
      </c>
      <c r="C18" s="289" t="s">
        <v>1109</v>
      </c>
      <c r="D18" s="292" t="s">
        <v>1112</v>
      </c>
      <c r="E18" s="292"/>
    </row>
    <row r="19" spans="1:5" s="67" customFormat="1" ht="124.2" x14ac:dyDescent="0.25">
      <c r="A19" s="289" t="s">
        <v>1108</v>
      </c>
      <c r="B19" s="290">
        <v>43486</v>
      </c>
      <c r="C19" s="289" t="s">
        <v>1109</v>
      </c>
      <c r="D19" s="292" t="s">
        <v>1110</v>
      </c>
      <c r="E19" s="292" t="s">
        <v>1111</v>
      </c>
    </row>
    <row r="20" spans="1:5" s="291" customFormat="1" ht="165.6" x14ac:dyDescent="0.25">
      <c r="A20" s="289" t="s">
        <v>1108</v>
      </c>
      <c r="B20" s="290">
        <v>43395</v>
      </c>
      <c r="C20" s="289" t="s">
        <v>5</v>
      </c>
      <c r="D20" s="292" t="s">
        <v>1107</v>
      </c>
      <c r="E20" s="292" t="s">
        <v>1106</v>
      </c>
    </row>
    <row r="21" spans="1:5" s="291" customFormat="1" ht="165.6" x14ac:dyDescent="0.25">
      <c r="A21" s="289">
        <v>1.03</v>
      </c>
      <c r="B21" s="290">
        <v>43319</v>
      </c>
      <c r="C21" s="289" t="s">
        <v>5</v>
      </c>
      <c r="D21" s="292" t="s">
        <v>1105</v>
      </c>
      <c r="E21" s="289"/>
    </row>
    <row r="22" spans="1:5" ht="409.6" x14ac:dyDescent="0.25">
      <c r="A22" s="286">
        <v>1.02</v>
      </c>
      <c r="B22" s="287">
        <v>43292</v>
      </c>
      <c r="C22" s="286" t="s">
        <v>5</v>
      </c>
      <c r="D22" s="288" t="s">
        <v>1104</v>
      </c>
      <c r="E22" s="288" t="s">
        <v>945</v>
      </c>
    </row>
    <row r="23" spans="1:5" ht="41.4" x14ac:dyDescent="0.25">
      <c r="A23" s="286" t="s">
        <v>933</v>
      </c>
      <c r="B23" s="287">
        <v>43291</v>
      </c>
      <c r="C23" s="286" t="s">
        <v>5</v>
      </c>
      <c r="D23" s="288" t="s">
        <v>934</v>
      </c>
      <c r="E23" s="286"/>
    </row>
    <row r="24" spans="1:5" ht="151.80000000000001" x14ac:dyDescent="0.25">
      <c r="A24" s="286" t="s">
        <v>880</v>
      </c>
      <c r="B24" s="287">
        <v>43255</v>
      </c>
      <c r="C24" s="286" t="s">
        <v>5</v>
      </c>
      <c r="D24" s="288" t="s">
        <v>881</v>
      </c>
      <c r="E24" s="286"/>
    </row>
    <row r="25" spans="1:5" ht="41.4" x14ac:dyDescent="0.25">
      <c r="A25" s="286" t="s">
        <v>873</v>
      </c>
      <c r="B25" s="287">
        <v>43247</v>
      </c>
      <c r="C25" s="286" t="s">
        <v>5</v>
      </c>
      <c r="D25" s="288" t="s">
        <v>874</v>
      </c>
      <c r="E25" s="286"/>
    </row>
    <row r="26" spans="1:5" ht="124.2" x14ac:dyDescent="0.25">
      <c r="A26" s="286">
        <v>0.4</v>
      </c>
      <c r="B26" s="287">
        <v>43229</v>
      </c>
      <c r="C26" s="286" t="s">
        <v>5</v>
      </c>
      <c r="D26" s="288" t="s">
        <v>491</v>
      </c>
      <c r="E26" s="288" t="s">
        <v>492</v>
      </c>
    </row>
    <row r="27" spans="1:5" ht="110.4" x14ac:dyDescent="0.25">
      <c r="A27" s="286" t="s">
        <v>324</v>
      </c>
      <c r="B27" s="287">
        <v>43206</v>
      </c>
      <c r="C27" s="286" t="s">
        <v>5</v>
      </c>
      <c r="D27" s="288" t="s">
        <v>325</v>
      </c>
      <c r="E27" s="288" t="s">
        <v>339</v>
      </c>
    </row>
    <row r="28" spans="1:5" ht="55.2" x14ac:dyDescent="0.25">
      <c r="A28" s="286" t="s">
        <v>300</v>
      </c>
      <c r="B28" s="287">
        <v>43185</v>
      </c>
      <c r="C28" s="286" t="s">
        <v>5</v>
      </c>
      <c r="D28" s="286"/>
      <c r="E28" s="288" t="s">
        <v>301</v>
      </c>
    </row>
    <row r="29" spans="1:5" ht="69" x14ac:dyDescent="0.25">
      <c r="A29" s="286" t="s">
        <v>298</v>
      </c>
      <c r="B29" s="287">
        <v>43178</v>
      </c>
      <c r="C29" s="286" t="s">
        <v>276</v>
      </c>
      <c r="D29" s="288" t="s">
        <v>299</v>
      </c>
      <c r="E29" s="286"/>
    </row>
    <row r="30" spans="1:5" ht="124.2" x14ac:dyDescent="0.25">
      <c r="A30" s="286" t="s">
        <v>288</v>
      </c>
      <c r="B30" s="287">
        <v>43172</v>
      </c>
      <c r="C30" s="286" t="s">
        <v>5</v>
      </c>
      <c r="D30" s="288" t="s">
        <v>289</v>
      </c>
      <c r="E30" s="288" t="s">
        <v>291</v>
      </c>
    </row>
    <row r="31" spans="1:5" ht="55.2" x14ac:dyDescent="0.25">
      <c r="A31" s="286" t="s">
        <v>275</v>
      </c>
      <c r="B31" s="287">
        <v>43167</v>
      </c>
      <c r="C31" s="286" t="s">
        <v>276</v>
      </c>
      <c r="D31" s="286" t="s">
        <v>277</v>
      </c>
      <c r="E31" s="288" t="s">
        <v>282</v>
      </c>
    </row>
    <row r="32" spans="1:5" x14ac:dyDescent="0.25">
      <c r="A32" s="286"/>
      <c r="B32" s="287">
        <v>43147</v>
      </c>
      <c r="C32" s="286" t="s">
        <v>5</v>
      </c>
      <c r="D32" s="286" t="s">
        <v>127</v>
      </c>
      <c r="E32" s="286"/>
    </row>
    <row r="33" spans="1:5" ht="96.6" x14ac:dyDescent="0.25">
      <c r="A33" s="286" t="s">
        <v>9</v>
      </c>
      <c r="B33" s="287">
        <v>43130</v>
      </c>
      <c r="C33" s="286" t="s">
        <v>5</v>
      </c>
      <c r="D33" s="288" t="s">
        <v>10</v>
      </c>
      <c r="E33" s="288" t="s">
        <v>12</v>
      </c>
    </row>
    <row r="34" spans="1:5" x14ac:dyDescent="0.25">
      <c r="A34" s="286" t="s">
        <v>7</v>
      </c>
      <c r="B34" s="287">
        <v>43068</v>
      </c>
      <c r="C34" s="286" t="s">
        <v>5</v>
      </c>
      <c r="D34" s="286" t="s">
        <v>8</v>
      </c>
      <c r="E34" s="286"/>
    </row>
    <row r="35" spans="1:5" x14ac:dyDescent="0.25">
      <c r="A35" s="286" t="s">
        <v>4</v>
      </c>
      <c r="B35" s="287">
        <v>42852</v>
      </c>
      <c r="C35" s="286" t="s">
        <v>5</v>
      </c>
      <c r="D35" s="286" t="s">
        <v>6</v>
      </c>
      <c r="E35" s="286"/>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948</v>
      </c>
      <c r="K7" s="2" t="s">
        <v>1103</v>
      </c>
    </row>
    <row r="9" spans="1:18" x14ac:dyDescent="0.25">
      <c r="A9" s="67">
        <f>COUNTA(B10:B1048576)</f>
        <v>236</v>
      </c>
      <c r="B9" s="2" t="s">
        <v>526</v>
      </c>
      <c r="C9" s="2"/>
      <c r="D9" s="2" t="s">
        <v>527</v>
      </c>
      <c r="K9" s="2" t="s">
        <v>1101</v>
      </c>
      <c r="R9" s="2" t="s">
        <v>1102</v>
      </c>
    </row>
    <row r="10" spans="1:18" x14ac:dyDescent="0.25">
      <c r="A10" s="67">
        <f>COUNTA(D10:D1048576)</f>
        <v>79</v>
      </c>
      <c r="B10" s="67" t="s">
        <v>557</v>
      </c>
      <c r="D10" s="67" t="s">
        <v>827</v>
      </c>
      <c r="K10" t="s">
        <v>949</v>
      </c>
      <c r="R10" t="s">
        <v>827</v>
      </c>
    </row>
    <row r="11" spans="1:18" x14ac:dyDescent="0.25">
      <c r="B11" s="67" t="s">
        <v>558</v>
      </c>
      <c r="D11" s="67" t="s">
        <v>853</v>
      </c>
      <c r="K11" t="s">
        <v>950</v>
      </c>
      <c r="R11" t="s">
        <v>853</v>
      </c>
    </row>
    <row r="12" spans="1:18" x14ac:dyDescent="0.25">
      <c r="B12" s="67" t="s">
        <v>559</v>
      </c>
      <c r="D12" s="67" t="s">
        <v>811</v>
      </c>
      <c r="K12" t="s">
        <v>951</v>
      </c>
      <c r="R12" t="s">
        <v>811</v>
      </c>
    </row>
    <row r="13" spans="1:18" x14ac:dyDescent="0.25">
      <c r="B13" s="67" t="s">
        <v>560</v>
      </c>
      <c r="D13" s="67" t="s">
        <v>819</v>
      </c>
      <c r="K13" t="s">
        <v>952</v>
      </c>
      <c r="R13" t="s">
        <v>819</v>
      </c>
    </row>
    <row r="14" spans="1:18" x14ac:dyDescent="0.25">
      <c r="B14" s="67" t="s">
        <v>561</v>
      </c>
      <c r="D14" s="67" t="s">
        <v>861</v>
      </c>
      <c r="K14" t="s">
        <v>953</v>
      </c>
      <c r="R14" t="s">
        <v>861</v>
      </c>
    </row>
    <row r="15" spans="1:18" x14ac:dyDescent="0.25">
      <c r="B15" s="67" t="s">
        <v>562</v>
      </c>
      <c r="D15" s="67" t="s">
        <v>824</v>
      </c>
      <c r="K15" t="s">
        <v>954</v>
      </c>
      <c r="R15" t="s">
        <v>824</v>
      </c>
    </row>
    <row r="16" spans="1:18" x14ac:dyDescent="0.25">
      <c r="B16" s="67" t="s">
        <v>563</v>
      </c>
      <c r="D16" s="67" t="s">
        <v>809</v>
      </c>
      <c r="K16" t="s">
        <v>955</v>
      </c>
      <c r="R16" t="s">
        <v>809</v>
      </c>
    </row>
    <row r="17" spans="2:18" x14ac:dyDescent="0.25">
      <c r="B17" s="67" t="s">
        <v>564</v>
      </c>
      <c r="D17" s="67" t="s">
        <v>862</v>
      </c>
      <c r="K17" t="s">
        <v>956</v>
      </c>
      <c r="R17" t="s">
        <v>862</v>
      </c>
    </row>
    <row r="18" spans="2:18" x14ac:dyDescent="0.25">
      <c r="B18" s="67" t="s">
        <v>565</v>
      </c>
      <c r="D18" s="67" t="s">
        <v>854</v>
      </c>
      <c r="K18" t="s">
        <v>957</v>
      </c>
      <c r="R18" t="s">
        <v>854</v>
      </c>
    </row>
    <row r="19" spans="2:18" x14ac:dyDescent="0.25">
      <c r="B19" s="67" t="s">
        <v>566</v>
      </c>
      <c r="D19" s="67" t="s">
        <v>820</v>
      </c>
      <c r="K19" t="s">
        <v>958</v>
      </c>
      <c r="R19" t="s">
        <v>820</v>
      </c>
    </row>
    <row r="20" spans="2:18" x14ac:dyDescent="0.25">
      <c r="B20" s="67" t="s">
        <v>567</v>
      </c>
      <c r="D20" s="67" t="s">
        <v>816</v>
      </c>
      <c r="K20" t="s">
        <v>959</v>
      </c>
      <c r="R20" t="s">
        <v>816</v>
      </c>
    </row>
    <row r="21" spans="2:18" x14ac:dyDescent="0.25">
      <c r="B21" s="67" t="s">
        <v>568</v>
      </c>
      <c r="D21" s="67" t="s">
        <v>821</v>
      </c>
      <c r="K21" t="s">
        <v>960</v>
      </c>
      <c r="R21" t="s">
        <v>821</v>
      </c>
    </row>
    <row r="22" spans="2:18" x14ac:dyDescent="0.25">
      <c r="B22" s="67" t="s">
        <v>569</v>
      </c>
      <c r="D22" s="67" t="s">
        <v>837</v>
      </c>
      <c r="K22" t="s">
        <v>961</v>
      </c>
      <c r="R22" t="s">
        <v>837</v>
      </c>
    </row>
    <row r="23" spans="2:18" x14ac:dyDescent="0.25">
      <c r="B23" s="67" t="s">
        <v>570</v>
      </c>
      <c r="D23" s="67" t="s">
        <v>858</v>
      </c>
      <c r="K23" t="s">
        <v>962</v>
      </c>
      <c r="R23" t="s">
        <v>858</v>
      </c>
    </row>
    <row r="24" spans="2:18" x14ac:dyDescent="0.25">
      <c r="B24" s="67" t="s">
        <v>571</v>
      </c>
      <c r="D24" s="67" t="s">
        <v>818</v>
      </c>
      <c r="K24" t="s">
        <v>963</v>
      </c>
      <c r="R24" t="s">
        <v>818</v>
      </c>
    </row>
    <row r="25" spans="2:18" x14ac:dyDescent="0.25">
      <c r="B25" s="67" t="s">
        <v>572</v>
      </c>
      <c r="D25" s="67" t="s">
        <v>817</v>
      </c>
      <c r="K25" t="s">
        <v>964</v>
      </c>
      <c r="R25" t="s">
        <v>817</v>
      </c>
    </row>
    <row r="26" spans="2:18" x14ac:dyDescent="0.25">
      <c r="B26" s="67" t="s">
        <v>573</v>
      </c>
      <c r="D26" s="67" t="s">
        <v>871</v>
      </c>
      <c r="K26" t="s">
        <v>965</v>
      </c>
      <c r="R26" t="s">
        <v>871</v>
      </c>
    </row>
    <row r="27" spans="2:18" x14ac:dyDescent="0.25">
      <c r="B27" s="67" t="s">
        <v>574</v>
      </c>
      <c r="D27" s="67" t="s">
        <v>869</v>
      </c>
      <c r="K27" t="s">
        <v>966</v>
      </c>
      <c r="R27" t="s">
        <v>869</v>
      </c>
    </row>
    <row r="28" spans="2:18" x14ac:dyDescent="0.25">
      <c r="B28" s="67" t="s">
        <v>575</v>
      </c>
      <c r="D28" s="67" t="s">
        <v>848</v>
      </c>
      <c r="K28" t="s">
        <v>967</v>
      </c>
      <c r="R28" t="s">
        <v>848</v>
      </c>
    </row>
    <row r="29" spans="2:18" x14ac:dyDescent="0.25">
      <c r="B29" s="67" t="s">
        <v>576</v>
      </c>
      <c r="D29" s="67" t="s">
        <v>812</v>
      </c>
      <c r="K29" t="s">
        <v>968</v>
      </c>
      <c r="R29" t="s">
        <v>812</v>
      </c>
    </row>
    <row r="30" spans="2:18" x14ac:dyDescent="0.25">
      <c r="B30" s="67" t="s">
        <v>577</v>
      </c>
      <c r="D30" s="67" t="s">
        <v>842</v>
      </c>
      <c r="K30" t="s">
        <v>969</v>
      </c>
      <c r="R30" t="s">
        <v>842</v>
      </c>
    </row>
    <row r="31" spans="2:18" x14ac:dyDescent="0.25">
      <c r="B31" s="67" t="s">
        <v>578</v>
      </c>
      <c r="D31" s="67" t="s">
        <v>828</v>
      </c>
      <c r="K31" t="s">
        <v>970</v>
      </c>
      <c r="R31" t="s">
        <v>828</v>
      </c>
    </row>
    <row r="32" spans="2:18" x14ac:dyDescent="0.25">
      <c r="B32" s="67" t="s">
        <v>579</v>
      </c>
      <c r="D32" s="67" t="s">
        <v>815</v>
      </c>
      <c r="K32" t="s">
        <v>971</v>
      </c>
      <c r="R32" t="s">
        <v>815</v>
      </c>
    </row>
    <row r="33" spans="2:18" x14ac:dyDescent="0.25">
      <c r="B33" s="67" t="s">
        <v>580</v>
      </c>
      <c r="D33" s="67" t="s">
        <v>803</v>
      </c>
      <c r="K33" t="s">
        <v>972</v>
      </c>
      <c r="R33" t="s">
        <v>803</v>
      </c>
    </row>
    <row r="34" spans="2:18" x14ac:dyDescent="0.25">
      <c r="B34" s="67" t="s">
        <v>581</v>
      </c>
      <c r="D34" s="67" t="s">
        <v>796</v>
      </c>
      <c r="K34" t="s">
        <v>973</v>
      </c>
      <c r="R34" t="s">
        <v>796</v>
      </c>
    </row>
    <row r="35" spans="2:18" x14ac:dyDescent="0.25">
      <c r="B35" s="67" t="s">
        <v>582</v>
      </c>
      <c r="D35" s="67" t="s">
        <v>855</v>
      </c>
      <c r="K35" t="s">
        <v>974</v>
      </c>
      <c r="R35" t="s">
        <v>855</v>
      </c>
    </row>
    <row r="36" spans="2:18" x14ac:dyDescent="0.25">
      <c r="B36" s="67" t="s">
        <v>583</v>
      </c>
      <c r="D36" s="67" t="s">
        <v>814</v>
      </c>
      <c r="K36" t="s">
        <v>975</v>
      </c>
      <c r="R36" t="s">
        <v>814</v>
      </c>
    </row>
    <row r="37" spans="2:18" x14ac:dyDescent="0.25">
      <c r="B37" s="67" t="s">
        <v>584</v>
      </c>
      <c r="D37" s="67" t="s">
        <v>851</v>
      </c>
      <c r="K37" t="s">
        <v>976</v>
      </c>
      <c r="R37" t="s">
        <v>851</v>
      </c>
    </row>
    <row r="38" spans="2:18" x14ac:dyDescent="0.25">
      <c r="B38" s="67" t="s">
        <v>585</v>
      </c>
      <c r="D38" s="67" t="s">
        <v>850</v>
      </c>
      <c r="K38" t="s">
        <v>977</v>
      </c>
      <c r="R38" t="s">
        <v>850</v>
      </c>
    </row>
    <row r="39" spans="2:18" x14ac:dyDescent="0.25">
      <c r="B39" s="67" t="s">
        <v>586</v>
      </c>
      <c r="D39" s="67" t="s">
        <v>813</v>
      </c>
      <c r="K39" t="s">
        <v>978</v>
      </c>
      <c r="R39" t="s">
        <v>813</v>
      </c>
    </row>
    <row r="40" spans="2:18" x14ac:dyDescent="0.25">
      <c r="B40" s="67" t="s">
        <v>587</v>
      </c>
      <c r="D40" t="s">
        <v>860</v>
      </c>
      <c r="K40" t="s">
        <v>979</v>
      </c>
      <c r="R40" t="s">
        <v>860</v>
      </c>
    </row>
    <row r="41" spans="2:18" x14ac:dyDescent="0.25">
      <c r="B41" s="67" t="s">
        <v>588</v>
      </c>
      <c r="D41" t="s">
        <v>793</v>
      </c>
      <c r="K41" t="s">
        <v>980</v>
      </c>
      <c r="R41" t="s">
        <v>793</v>
      </c>
    </row>
    <row r="42" spans="2:18" x14ac:dyDescent="0.25">
      <c r="B42" s="67" t="s">
        <v>589</v>
      </c>
      <c r="D42" t="s">
        <v>832</v>
      </c>
      <c r="K42" t="s">
        <v>981</v>
      </c>
      <c r="R42" t="s">
        <v>832</v>
      </c>
    </row>
    <row r="43" spans="2:18" x14ac:dyDescent="0.25">
      <c r="B43" s="67" t="s">
        <v>590</v>
      </c>
      <c r="D43" t="s">
        <v>841</v>
      </c>
      <c r="K43" t="s">
        <v>982</v>
      </c>
      <c r="R43" t="s">
        <v>841</v>
      </c>
    </row>
    <row r="44" spans="2:18" x14ac:dyDescent="0.25">
      <c r="B44" s="67" t="s">
        <v>591</v>
      </c>
      <c r="D44" t="s">
        <v>847</v>
      </c>
      <c r="K44" t="s">
        <v>983</v>
      </c>
      <c r="R44" t="s">
        <v>847</v>
      </c>
    </row>
    <row r="45" spans="2:18" x14ac:dyDescent="0.25">
      <c r="B45" s="67" t="s">
        <v>592</v>
      </c>
      <c r="D45" t="s">
        <v>863</v>
      </c>
      <c r="K45" t="s">
        <v>984</v>
      </c>
      <c r="R45" t="s">
        <v>863</v>
      </c>
    </row>
    <row r="46" spans="2:18" x14ac:dyDescent="0.25">
      <c r="B46" s="67" t="s">
        <v>593</v>
      </c>
      <c r="D46" t="s">
        <v>864</v>
      </c>
      <c r="K46" t="s">
        <v>985</v>
      </c>
      <c r="R46" t="s">
        <v>864</v>
      </c>
    </row>
    <row r="47" spans="2:18" x14ac:dyDescent="0.25">
      <c r="B47" s="67" t="s">
        <v>594</v>
      </c>
      <c r="D47" t="s">
        <v>865</v>
      </c>
      <c r="K47" t="s">
        <v>986</v>
      </c>
      <c r="R47" t="s">
        <v>865</v>
      </c>
    </row>
    <row r="48" spans="2:18" x14ac:dyDescent="0.25">
      <c r="B48" s="67" t="s">
        <v>595</v>
      </c>
      <c r="D48" t="s">
        <v>830</v>
      </c>
      <c r="K48" t="s">
        <v>987</v>
      </c>
      <c r="R48" t="s">
        <v>830</v>
      </c>
    </row>
    <row r="49" spans="2:18" x14ac:dyDescent="0.25">
      <c r="B49" s="67" t="s">
        <v>596</v>
      </c>
      <c r="D49" t="s">
        <v>852</v>
      </c>
      <c r="K49" t="s">
        <v>988</v>
      </c>
      <c r="R49" t="s">
        <v>852</v>
      </c>
    </row>
    <row r="50" spans="2:18" x14ac:dyDescent="0.25">
      <c r="B50" s="67" t="s">
        <v>597</v>
      </c>
      <c r="D50" t="s">
        <v>867</v>
      </c>
      <c r="K50" t="s">
        <v>989</v>
      </c>
      <c r="R50" t="s">
        <v>867</v>
      </c>
    </row>
    <row r="51" spans="2:18" x14ac:dyDescent="0.25">
      <c r="B51" s="67" t="s">
        <v>598</v>
      </c>
      <c r="D51" t="s">
        <v>866</v>
      </c>
      <c r="K51" t="s">
        <v>990</v>
      </c>
      <c r="R51" t="s">
        <v>866</v>
      </c>
    </row>
    <row r="52" spans="2:18" x14ac:dyDescent="0.25">
      <c r="B52" s="67" t="s">
        <v>599</v>
      </c>
      <c r="D52" t="s">
        <v>834</v>
      </c>
      <c r="K52" t="s">
        <v>991</v>
      </c>
      <c r="R52" t="s">
        <v>834</v>
      </c>
    </row>
    <row r="53" spans="2:18" x14ac:dyDescent="0.25">
      <c r="B53" s="67" t="s">
        <v>600</v>
      </c>
      <c r="D53" t="s">
        <v>844</v>
      </c>
      <c r="K53" t="s">
        <v>992</v>
      </c>
      <c r="R53" t="s">
        <v>844</v>
      </c>
    </row>
    <row r="54" spans="2:18" x14ac:dyDescent="0.25">
      <c r="B54" s="67" t="s">
        <v>601</v>
      </c>
      <c r="D54" t="s">
        <v>868</v>
      </c>
      <c r="K54" t="s">
        <v>993</v>
      </c>
      <c r="R54" t="s">
        <v>868</v>
      </c>
    </row>
    <row r="55" spans="2:18" x14ac:dyDescent="0.25">
      <c r="B55" s="67" t="s">
        <v>602</v>
      </c>
      <c r="D55" t="s">
        <v>849</v>
      </c>
      <c r="K55" t="s">
        <v>994</v>
      </c>
      <c r="R55" t="s">
        <v>849</v>
      </c>
    </row>
    <row r="56" spans="2:18" x14ac:dyDescent="0.25">
      <c r="B56" s="67" t="s">
        <v>603</v>
      </c>
      <c r="D56" t="s">
        <v>833</v>
      </c>
      <c r="K56" t="s">
        <v>995</v>
      </c>
      <c r="R56" t="s">
        <v>833</v>
      </c>
    </row>
    <row r="57" spans="2:18" x14ac:dyDescent="0.25">
      <c r="B57" s="67" t="s">
        <v>604</v>
      </c>
      <c r="D57" t="s">
        <v>836</v>
      </c>
      <c r="K57" t="s">
        <v>996</v>
      </c>
      <c r="R57" t="s">
        <v>836</v>
      </c>
    </row>
    <row r="58" spans="2:18" x14ac:dyDescent="0.25">
      <c r="B58" s="67" t="s">
        <v>605</v>
      </c>
      <c r="D58" t="s">
        <v>807</v>
      </c>
      <c r="K58" t="s">
        <v>997</v>
      </c>
      <c r="R58" t="s">
        <v>807</v>
      </c>
    </row>
    <row r="59" spans="2:18" x14ac:dyDescent="0.25">
      <c r="B59" s="67" t="s">
        <v>606</v>
      </c>
      <c r="D59" t="s">
        <v>835</v>
      </c>
      <c r="K59" t="s">
        <v>998</v>
      </c>
      <c r="R59" t="s">
        <v>835</v>
      </c>
    </row>
    <row r="60" spans="2:18" x14ac:dyDescent="0.25">
      <c r="B60" s="67" t="s">
        <v>607</v>
      </c>
      <c r="D60" t="s">
        <v>846</v>
      </c>
      <c r="K60" t="s">
        <v>999</v>
      </c>
      <c r="R60" t="s">
        <v>846</v>
      </c>
    </row>
    <row r="61" spans="2:18" x14ac:dyDescent="0.25">
      <c r="B61" s="67" t="s">
        <v>608</v>
      </c>
      <c r="D61" t="s">
        <v>845</v>
      </c>
      <c r="K61" t="s">
        <v>1000</v>
      </c>
      <c r="R61" t="s">
        <v>845</v>
      </c>
    </row>
    <row r="62" spans="2:18" x14ac:dyDescent="0.25">
      <c r="B62" s="67" t="s">
        <v>609</v>
      </c>
      <c r="D62" t="s">
        <v>870</v>
      </c>
      <c r="K62" t="s">
        <v>1001</v>
      </c>
      <c r="R62" t="s">
        <v>870</v>
      </c>
    </row>
    <row r="63" spans="2:18" x14ac:dyDescent="0.25">
      <c r="B63" s="67" t="s">
        <v>610</v>
      </c>
      <c r="D63" t="s">
        <v>857</v>
      </c>
      <c r="K63" t="s">
        <v>1002</v>
      </c>
      <c r="R63" t="s">
        <v>857</v>
      </c>
    </row>
    <row r="64" spans="2:18" x14ac:dyDescent="0.25">
      <c r="B64" s="67" t="s">
        <v>611</v>
      </c>
      <c r="D64" t="s">
        <v>797</v>
      </c>
      <c r="K64" t="s">
        <v>1003</v>
      </c>
      <c r="R64" t="s">
        <v>797</v>
      </c>
    </row>
    <row r="65" spans="2:18" x14ac:dyDescent="0.25">
      <c r="B65" s="67" t="s">
        <v>612</v>
      </c>
      <c r="D65" t="s">
        <v>802</v>
      </c>
      <c r="K65" t="s">
        <v>1004</v>
      </c>
      <c r="R65" t="s">
        <v>802</v>
      </c>
    </row>
    <row r="66" spans="2:18" x14ac:dyDescent="0.25">
      <c r="B66" s="67" t="s">
        <v>613</v>
      </c>
      <c r="D66" t="s">
        <v>798</v>
      </c>
      <c r="K66" t="s">
        <v>1005</v>
      </c>
      <c r="R66" t="s">
        <v>798</v>
      </c>
    </row>
    <row r="67" spans="2:18" x14ac:dyDescent="0.25">
      <c r="B67" s="67" t="s">
        <v>614</v>
      </c>
      <c r="D67" t="s">
        <v>801</v>
      </c>
      <c r="K67" t="s">
        <v>1006</v>
      </c>
      <c r="R67" t="s">
        <v>801</v>
      </c>
    </row>
    <row r="68" spans="2:18" x14ac:dyDescent="0.25">
      <c r="B68" s="67" t="s">
        <v>615</v>
      </c>
      <c r="D68" t="s">
        <v>825</v>
      </c>
      <c r="K68" t="s">
        <v>1007</v>
      </c>
      <c r="R68" t="s">
        <v>825</v>
      </c>
    </row>
    <row r="69" spans="2:18" x14ac:dyDescent="0.25">
      <c r="B69" s="67" t="s">
        <v>616</v>
      </c>
      <c r="D69" t="s">
        <v>800</v>
      </c>
      <c r="K69" t="s">
        <v>1008</v>
      </c>
      <c r="R69" t="s">
        <v>800</v>
      </c>
    </row>
    <row r="70" spans="2:18" x14ac:dyDescent="0.25">
      <c r="B70" s="67" t="s">
        <v>617</v>
      </c>
      <c r="D70" t="s">
        <v>840</v>
      </c>
      <c r="K70" t="s">
        <v>1009</v>
      </c>
      <c r="R70" t="s">
        <v>840</v>
      </c>
    </row>
    <row r="71" spans="2:18" x14ac:dyDescent="0.25">
      <c r="B71" s="67" t="s">
        <v>618</v>
      </c>
      <c r="D71" t="s">
        <v>810</v>
      </c>
      <c r="K71" t="s">
        <v>1010</v>
      </c>
      <c r="R71" t="s">
        <v>810</v>
      </c>
    </row>
    <row r="72" spans="2:18" x14ac:dyDescent="0.25">
      <c r="B72" s="67" t="s">
        <v>619</v>
      </c>
      <c r="D72" t="s">
        <v>839</v>
      </c>
      <c r="K72" t="s">
        <v>1011</v>
      </c>
      <c r="R72" t="s">
        <v>839</v>
      </c>
    </row>
    <row r="73" spans="2:18" x14ac:dyDescent="0.25">
      <c r="B73" s="67" t="s">
        <v>620</v>
      </c>
      <c r="D73" t="s">
        <v>823</v>
      </c>
      <c r="K73" t="s">
        <v>1012</v>
      </c>
      <c r="R73" t="s">
        <v>823</v>
      </c>
    </row>
    <row r="74" spans="2:18" x14ac:dyDescent="0.25">
      <c r="B74" s="67" t="s">
        <v>621</v>
      </c>
      <c r="D74" t="s">
        <v>804</v>
      </c>
      <c r="K74" t="s">
        <v>1013</v>
      </c>
      <c r="R74" t="s">
        <v>804</v>
      </c>
    </row>
    <row r="75" spans="2:18" x14ac:dyDescent="0.25">
      <c r="B75" s="67" t="s">
        <v>622</v>
      </c>
      <c r="D75" t="s">
        <v>808</v>
      </c>
      <c r="K75" t="s">
        <v>1014</v>
      </c>
      <c r="R75" t="s">
        <v>808</v>
      </c>
    </row>
    <row r="76" spans="2:18" x14ac:dyDescent="0.25">
      <c r="B76" s="67" t="s">
        <v>623</v>
      </c>
      <c r="D76" t="s">
        <v>805</v>
      </c>
      <c r="K76" t="s">
        <v>1015</v>
      </c>
      <c r="R76" t="s">
        <v>805</v>
      </c>
    </row>
    <row r="77" spans="2:18" x14ac:dyDescent="0.25">
      <c r="B77" s="67" t="s">
        <v>624</v>
      </c>
      <c r="D77" t="s">
        <v>856</v>
      </c>
      <c r="K77" t="s">
        <v>1016</v>
      </c>
      <c r="R77" t="s">
        <v>856</v>
      </c>
    </row>
    <row r="78" spans="2:18" x14ac:dyDescent="0.25">
      <c r="B78" s="67" t="s">
        <v>625</v>
      </c>
      <c r="D78" t="s">
        <v>859</v>
      </c>
      <c r="K78" t="s">
        <v>1017</v>
      </c>
      <c r="R78" t="s">
        <v>859</v>
      </c>
    </row>
    <row r="79" spans="2:18" x14ac:dyDescent="0.25">
      <c r="B79" s="67" t="s">
        <v>626</v>
      </c>
      <c r="D79" t="s">
        <v>822</v>
      </c>
      <c r="K79" t="s">
        <v>1018</v>
      </c>
      <c r="R79" t="s">
        <v>822</v>
      </c>
    </row>
    <row r="80" spans="2:18" x14ac:dyDescent="0.25">
      <c r="B80" s="67" t="s">
        <v>627</v>
      </c>
      <c r="D80" t="s">
        <v>829</v>
      </c>
      <c r="K80" t="s">
        <v>1019</v>
      </c>
      <c r="R80" t="s">
        <v>829</v>
      </c>
    </row>
    <row r="81" spans="2:18" x14ac:dyDescent="0.25">
      <c r="B81" s="67" t="s">
        <v>628</v>
      </c>
      <c r="D81" t="s">
        <v>799</v>
      </c>
      <c r="K81" t="s">
        <v>1020</v>
      </c>
      <c r="R81" t="s">
        <v>799</v>
      </c>
    </row>
    <row r="82" spans="2:18" x14ac:dyDescent="0.25">
      <c r="B82" s="67" t="s">
        <v>629</v>
      </c>
      <c r="D82" t="s">
        <v>838</v>
      </c>
      <c r="K82" t="s">
        <v>1021</v>
      </c>
      <c r="R82" t="s">
        <v>838</v>
      </c>
    </row>
    <row r="83" spans="2:18" x14ac:dyDescent="0.25">
      <c r="B83" s="67" t="s">
        <v>630</v>
      </c>
      <c r="D83" t="s">
        <v>843</v>
      </c>
      <c r="K83" t="s">
        <v>1022</v>
      </c>
      <c r="R83" t="s">
        <v>843</v>
      </c>
    </row>
    <row r="84" spans="2:18" x14ac:dyDescent="0.25">
      <c r="B84" s="67" t="s">
        <v>631</v>
      </c>
      <c r="D84" t="s">
        <v>826</v>
      </c>
      <c r="K84" t="s">
        <v>1023</v>
      </c>
      <c r="R84" t="s">
        <v>826</v>
      </c>
    </row>
    <row r="85" spans="2:18" x14ac:dyDescent="0.25">
      <c r="B85" s="67" t="s">
        <v>632</v>
      </c>
      <c r="D85" t="s">
        <v>806</v>
      </c>
      <c r="K85" t="s">
        <v>1024</v>
      </c>
      <c r="R85" t="s">
        <v>806</v>
      </c>
    </row>
    <row r="86" spans="2:18" x14ac:dyDescent="0.25">
      <c r="B86" s="67" t="s">
        <v>633</v>
      </c>
      <c r="D86" t="s">
        <v>795</v>
      </c>
      <c r="K86" t="s">
        <v>1025</v>
      </c>
      <c r="R86" t="s">
        <v>795</v>
      </c>
    </row>
    <row r="87" spans="2:18" x14ac:dyDescent="0.25">
      <c r="B87" s="67" t="s">
        <v>634</v>
      </c>
      <c r="D87" t="s">
        <v>831</v>
      </c>
      <c r="K87" t="s">
        <v>1026</v>
      </c>
      <c r="R87" t="s">
        <v>831</v>
      </c>
    </row>
    <row r="88" spans="2:18" x14ac:dyDescent="0.25">
      <c r="B88" s="67" t="s">
        <v>635</v>
      </c>
      <c r="D88" t="s">
        <v>794</v>
      </c>
      <c r="K88" t="s">
        <v>1027</v>
      </c>
      <c r="R88" t="s">
        <v>794</v>
      </c>
    </row>
    <row r="89" spans="2:18" x14ac:dyDescent="0.25">
      <c r="B89" s="67" t="s">
        <v>636</v>
      </c>
      <c r="K89" t="s">
        <v>1028</v>
      </c>
    </row>
    <row r="90" spans="2:18" x14ac:dyDescent="0.25">
      <c r="B90" s="67" t="s">
        <v>637</v>
      </c>
      <c r="K90" t="s">
        <v>1029</v>
      </c>
    </row>
    <row r="91" spans="2:18" x14ac:dyDescent="0.25">
      <c r="B91" s="67" t="s">
        <v>638</v>
      </c>
      <c r="K91" t="s">
        <v>1030</v>
      </c>
    </row>
    <row r="92" spans="2:18" x14ac:dyDescent="0.25">
      <c r="B92" s="67" t="s">
        <v>639</v>
      </c>
      <c r="K92" t="s">
        <v>1031</v>
      </c>
    </row>
    <row r="93" spans="2:18" x14ac:dyDescent="0.25">
      <c r="B93" s="67" t="s">
        <v>640</v>
      </c>
      <c r="K93" t="s">
        <v>1032</v>
      </c>
    </row>
    <row r="94" spans="2:18" x14ac:dyDescent="0.25">
      <c r="B94" s="67" t="s">
        <v>641</v>
      </c>
      <c r="K94" t="s">
        <v>1033</v>
      </c>
    </row>
    <row r="95" spans="2:18" x14ac:dyDescent="0.25">
      <c r="B95" s="67" t="s">
        <v>642</v>
      </c>
      <c r="K95" t="s">
        <v>1034</v>
      </c>
    </row>
    <row r="96" spans="2:18" x14ac:dyDescent="0.25">
      <c r="B96" s="67" t="s">
        <v>643</v>
      </c>
      <c r="K96" t="s">
        <v>1035</v>
      </c>
    </row>
    <row r="97" spans="2:11" x14ac:dyDescent="0.25">
      <c r="B97" s="67" t="s">
        <v>644</v>
      </c>
      <c r="K97" t="s">
        <v>1036</v>
      </c>
    </row>
    <row r="98" spans="2:11" x14ac:dyDescent="0.25">
      <c r="B98" s="67" t="s">
        <v>645</v>
      </c>
      <c r="K98" t="s">
        <v>1037</v>
      </c>
    </row>
    <row r="99" spans="2:11" x14ac:dyDescent="0.25">
      <c r="B99" s="67" t="s">
        <v>646</v>
      </c>
      <c r="K99" t="s">
        <v>1038</v>
      </c>
    </row>
    <row r="100" spans="2:11" x14ac:dyDescent="0.25">
      <c r="B100" s="67" t="s">
        <v>647</v>
      </c>
      <c r="K100" t="s">
        <v>1039</v>
      </c>
    </row>
    <row r="101" spans="2:11" x14ac:dyDescent="0.25">
      <c r="B101" s="67" t="s">
        <v>648</v>
      </c>
      <c r="K101" t="s">
        <v>1040</v>
      </c>
    </row>
    <row r="102" spans="2:11" x14ac:dyDescent="0.25">
      <c r="B102" s="67" t="s">
        <v>649</v>
      </c>
      <c r="K102" t="s">
        <v>1041</v>
      </c>
    </row>
    <row r="103" spans="2:11" x14ac:dyDescent="0.25">
      <c r="B103" s="67" t="s">
        <v>650</v>
      </c>
      <c r="K103" t="s">
        <v>1042</v>
      </c>
    </row>
    <row r="104" spans="2:11" x14ac:dyDescent="0.25">
      <c r="B104" s="67" t="s">
        <v>651</v>
      </c>
      <c r="K104" t="s">
        <v>1043</v>
      </c>
    </row>
    <row r="105" spans="2:11" x14ac:dyDescent="0.25">
      <c r="B105" s="67" t="s">
        <v>652</v>
      </c>
      <c r="K105" t="s">
        <v>1044</v>
      </c>
    </row>
    <row r="106" spans="2:11" x14ac:dyDescent="0.25">
      <c r="B106" s="67" t="s">
        <v>653</v>
      </c>
      <c r="K106" t="s">
        <v>1045</v>
      </c>
    </row>
    <row r="107" spans="2:11" x14ac:dyDescent="0.25">
      <c r="B107" s="67" t="s">
        <v>654</v>
      </c>
      <c r="K107" t="s">
        <v>1046</v>
      </c>
    </row>
    <row r="108" spans="2:11" x14ac:dyDescent="0.25">
      <c r="B108" s="67" t="s">
        <v>655</v>
      </c>
      <c r="K108" t="s">
        <v>1047</v>
      </c>
    </row>
    <row r="109" spans="2:11" x14ac:dyDescent="0.25">
      <c r="B109" s="67" t="s">
        <v>656</v>
      </c>
      <c r="K109" t="s">
        <v>1048</v>
      </c>
    </row>
    <row r="110" spans="2:11" x14ac:dyDescent="0.25">
      <c r="B110" s="67" t="s">
        <v>657</v>
      </c>
      <c r="K110" t="s">
        <v>1049</v>
      </c>
    </row>
    <row r="111" spans="2:11" x14ac:dyDescent="0.25">
      <c r="B111" s="67" t="s">
        <v>658</v>
      </c>
      <c r="K111" t="s">
        <v>1050</v>
      </c>
    </row>
    <row r="112" spans="2:11" x14ac:dyDescent="0.25">
      <c r="B112" s="67" t="s">
        <v>659</v>
      </c>
      <c r="K112" t="s">
        <v>1051</v>
      </c>
    </row>
    <row r="113" spans="2:11" x14ac:dyDescent="0.25">
      <c r="B113" s="67" t="s">
        <v>660</v>
      </c>
      <c r="K113" t="s">
        <v>1052</v>
      </c>
    </row>
    <row r="114" spans="2:11" x14ac:dyDescent="0.25">
      <c r="B114" s="67" t="s">
        <v>661</v>
      </c>
      <c r="K114" t="s">
        <v>1053</v>
      </c>
    </row>
    <row r="115" spans="2:11" x14ac:dyDescent="0.25">
      <c r="B115" s="67" t="s">
        <v>662</v>
      </c>
      <c r="K115" t="s">
        <v>1054</v>
      </c>
    </row>
    <row r="116" spans="2:11" x14ac:dyDescent="0.25">
      <c r="B116" s="67" t="s">
        <v>663</v>
      </c>
      <c r="K116" t="s">
        <v>1055</v>
      </c>
    </row>
    <row r="117" spans="2:11" x14ac:dyDescent="0.25">
      <c r="B117" s="67" t="s">
        <v>664</v>
      </c>
      <c r="K117" t="s">
        <v>1056</v>
      </c>
    </row>
    <row r="118" spans="2:11" x14ac:dyDescent="0.25">
      <c r="B118" s="67" t="s">
        <v>665</v>
      </c>
      <c r="K118" t="s">
        <v>1057</v>
      </c>
    </row>
    <row r="119" spans="2:11" x14ac:dyDescent="0.25">
      <c r="B119" s="67" t="s">
        <v>666</v>
      </c>
      <c r="K119" t="s">
        <v>1058</v>
      </c>
    </row>
    <row r="120" spans="2:11" x14ac:dyDescent="0.25">
      <c r="B120" s="67" t="s">
        <v>667</v>
      </c>
      <c r="K120" t="s">
        <v>1059</v>
      </c>
    </row>
    <row r="121" spans="2:11" x14ac:dyDescent="0.25">
      <c r="B121" s="67" t="s">
        <v>668</v>
      </c>
      <c r="K121" t="s">
        <v>1060</v>
      </c>
    </row>
    <row r="122" spans="2:11" x14ac:dyDescent="0.25">
      <c r="B122" s="67" t="s">
        <v>669</v>
      </c>
      <c r="K122" t="s">
        <v>1061</v>
      </c>
    </row>
    <row r="123" spans="2:11" x14ac:dyDescent="0.25">
      <c r="B123" s="67" t="s">
        <v>670</v>
      </c>
      <c r="K123" t="s">
        <v>1062</v>
      </c>
    </row>
    <row r="124" spans="2:11" x14ac:dyDescent="0.25">
      <c r="B124" s="67" t="s">
        <v>671</v>
      </c>
      <c r="K124" t="s">
        <v>1063</v>
      </c>
    </row>
    <row r="125" spans="2:11" x14ac:dyDescent="0.25">
      <c r="B125" s="67" t="s">
        <v>672</v>
      </c>
      <c r="K125" t="s">
        <v>1064</v>
      </c>
    </row>
    <row r="126" spans="2:11" x14ac:dyDescent="0.25">
      <c r="B126" s="67" t="s">
        <v>673</v>
      </c>
      <c r="K126" t="s">
        <v>1065</v>
      </c>
    </row>
    <row r="127" spans="2:11" x14ac:dyDescent="0.25">
      <c r="B127" s="67" t="s">
        <v>674</v>
      </c>
      <c r="K127" t="s">
        <v>1066</v>
      </c>
    </row>
    <row r="128" spans="2:11" x14ac:dyDescent="0.25">
      <c r="B128" s="67" t="s">
        <v>675</v>
      </c>
      <c r="K128" t="s">
        <v>1067</v>
      </c>
    </row>
    <row r="129" spans="2:11" x14ac:dyDescent="0.25">
      <c r="B129" s="67" t="s">
        <v>676</v>
      </c>
      <c r="K129" t="s">
        <v>1068</v>
      </c>
    </row>
    <row r="130" spans="2:11" x14ac:dyDescent="0.25">
      <c r="B130" s="67" t="s">
        <v>677</v>
      </c>
      <c r="K130" t="s">
        <v>1069</v>
      </c>
    </row>
    <row r="131" spans="2:11" x14ac:dyDescent="0.25">
      <c r="B131" s="67" t="s">
        <v>678</v>
      </c>
      <c r="K131" t="s">
        <v>1070</v>
      </c>
    </row>
    <row r="132" spans="2:11" x14ac:dyDescent="0.25">
      <c r="B132" s="67" t="s">
        <v>679</v>
      </c>
      <c r="K132" t="s">
        <v>1071</v>
      </c>
    </row>
    <row r="133" spans="2:11" x14ac:dyDescent="0.25">
      <c r="B133" s="67" t="s">
        <v>680</v>
      </c>
      <c r="K133" t="s">
        <v>1072</v>
      </c>
    </row>
    <row r="134" spans="2:11" x14ac:dyDescent="0.25">
      <c r="B134" s="67" t="s">
        <v>681</v>
      </c>
      <c r="K134" t="s">
        <v>1073</v>
      </c>
    </row>
    <row r="135" spans="2:11" x14ac:dyDescent="0.25">
      <c r="B135" s="67" t="s">
        <v>682</v>
      </c>
      <c r="K135" t="s">
        <v>1074</v>
      </c>
    </row>
    <row r="136" spans="2:11" x14ac:dyDescent="0.25">
      <c r="B136" s="67" t="s">
        <v>683</v>
      </c>
      <c r="K136" t="s">
        <v>1075</v>
      </c>
    </row>
    <row r="137" spans="2:11" x14ac:dyDescent="0.25">
      <c r="B137" s="67" t="s">
        <v>684</v>
      </c>
      <c r="K137" t="s">
        <v>1076</v>
      </c>
    </row>
    <row r="138" spans="2:11" x14ac:dyDescent="0.25">
      <c r="B138" s="67" t="s">
        <v>685</v>
      </c>
      <c r="K138" t="s">
        <v>1077</v>
      </c>
    </row>
    <row r="139" spans="2:11" x14ac:dyDescent="0.25">
      <c r="B139" s="67" t="s">
        <v>686</v>
      </c>
      <c r="K139" t="s">
        <v>1078</v>
      </c>
    </row>
    <row r="140" spans="2:11" x14ac:dyDescent="0.25">
      <c r="B140" s="67" t="s">
        <v>687</v>
      </c>
      <c r="K140" t="s">
        <v>1079</v>
      </c>
    </row>
    <row r="141" spans="2:11" x14ac:dyDescent="0.25">
      <c r="B141" s="67" t="s">
        <v>688</v>
      </c>
      <c r="K141" t="s">
        <v>1080</v>
      </c>
    </row>
    <row r="142" spans="2:11" x14ac:dyDescent="0.25">
      <c r="B142" s="67" t="s">
        <v>689</v>
      </c>
      <c r="K142" t="s">
        <v>1081</v>
      </c>
    </row>
    <row r="143" spans="2:11" x14ac:dyDescent="0.25">
      <c r="B143" s="67" t="s">
        <v>690</v>
      </c>
      <c r="K143" t="s">
        <v>1082</v>
      </c>
    </row>
    <row r="144" spans="2:11" x14ac:dyDescent="0.25">
      <c r="B144" s="67" t="s">
        <v>691</v>
      </c>
      <c r="K144" t="s">
        <v>1083</v>
      </c>
    </row>
    <row r="145" spans="2:11" x14ac:dyDescent="0.25">
      <c r="B145" s="67" t="s">
        <v>692</v>
      </c>
      <c r="K145" t="s">
        <v>1084</v>
      </c>
    </row>
    <row r="146" spans="2:11" x14ac:dyDescent="0.25">
      <c r="B146" s="67" t="s">
        <v>693</v>
      </c>
      <c r="K146" t="s">
        <v>1085</v>
      </c>
    </row>
    <row r="147" spans="2:11" x14ac:dyDescent="0.25">
      <c r="B147" s="67" t="s">
        <v>694</v>
      </c>
      <c r="K147" t="s">
        <v>1086</v>
      </c>
    </row>
    <row r="148" spans="2:11" x14ac:dyDescent="0.25">
      <c r="B148" s="67" t="s">
        <v>695</v>
      </c>
      <c r="K148" t="s">
        <v>1087</v>
      </c>
    </row>
    <row r="149" spans="2:11" x14ac:dyDescent="0.25">
      <c r="B149" s="67" t="s">
        <v>696</v>
      </c>
      <c r="K149" t="s">
        <v>1088</v>
      </c>
    </row>
    <row r="150" spans="2:11" x14ac:dyDescent="0.25">
      <c r="B150" s="67" t="s">
        <v>697</v>
      </c>
      <c r="K150" t="s">
        <v>1089</v>
      </c>
    </row>
    <row r="151" spans="2:11" x14ac:dyDescent="0.25">
      <c r="B151" s="67" t="s">
        <v>698</v>
      </c>
      <c r="K151" t="s">
        <v>1090</v>
      </c>
    </row>
    <row r="152" spans="2:11" x14ac:dyDescent="0.25">
      <c r="B152" s="67" t="s">
        <v>699</v>
      </c>
      <c r="K152" t="s">
        <v>1091</v>
      </c>
    </row>
    <row r="153" spans="2:11" x14ac:dyDescent="0.25">
      <c r="B153" s="67" t="s">
        <v>700</v>
      </c>
      <c r="K153" t="s">
        <v>1092</v>
      </c>
    </row>
    <row r="154" spans="2:11" x14ac:dyDescent="0.25">
      <c r="B154" s="67" t="s">
        <v>701</v>
      </c>
      <c r="K154" t="s">
        <v>1093</v>
      </c>
    </row>
    <row r="155" spans="2:11" x14ac:dyDescent="0.25">
      <c r="B155" s="67" t="s">
        <v>702</v>
      </c>
      <c r="K155" t="s">
        <v>1094</v>
      </c>
    </row>
    <row r="156" spans="2:11" x14ac:dyDescent="0.25">
      <c r="B156" s="67" t="s">
        <v>703</v>
      </c>
      <c r="K156" t="s">
        <v>1095</v>
      </c>
    </row>
    <row r="157" spans="2:11" x14ac:dyDescent="0.25">
      <c r="B157" s="67" t="s">
        <v>704</v>
      </c>
      <c r="K157" t="s">
        <v>1096</v>
      </c>
    </row>
    <row r="158" spans="2:11" x14ac:dyDescent="0.25">
      <c r="B158" s="67" t="s">
        <v>705</v>
      </c>
      <c r="K158" t="s">
        <v>1097</v>
      </c>
    </row>
    <row r="159" spans="2:11" x14ac:dyDescent="0.25">
      <c r="B159" s="67" t="s">
        <v>706</v>
      </c>
      <c r="K159" t="s">
        <v>1098</v>
      </c>
    </row>
    <row r="160" spans="2:11" x14ac:dyDescent="0.25">
      <c r="B160" s="67" t="s">
        <v>707</v>
      </c>
      <c r="K160" t="s">
        <v>1099</v>
      </c>
    </row>
    <row r="161" spans="2:11" x14ac:dyDescent="0.25">
      <c r="B161" s="67" t="s">
        <v>708</v>
      </c>
      <c r="K161" t="s">
        <v>1100</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1186</v>
      </c>
      <c r="S1" t="s">
        <v>17</v>
      </c>
      <c r="V1" t="s">
        <v>18</v>
      </c>
      <c r="Y1" t="s">
        <v>207</v>
      </c>
      <c r="AE1" t="s">
        <v>297</v>
      </c>
      <c r="AI1" t="s">
        <v>327</v>
      </c>
    </row>
    <row r="2" spans="1:35" x14ac:dyDescent="0.25">
      <c r="A2">
        <v>0</v>
      </c>
      <c r="E2" t="s">
        <v>19</v>
      </c>
      <c r="F2">
        <v>1</v>
      </c>
      <c r="H2">
        <v>65</v>
      </c>
      <c r="I2">
        <v>0.65</v>
      </c>
      <c r="K2" s="318">
        <v>43892</v>
      </c>
      <c r="L2" s="318"/>
      <c r="M2" s="318"/>
      <c r="S2" s="7">
        <f>IF(Demand!$C$6="","",Demand!$C$6)</f>
        <v>43893</v>
      </c>
      <c r="V2">
        <v>1</v>
      </c>
      <c r="Y2" t="s">
        <v>210</v>
      </c>
      <c r="Z2" t="s">
        <v>208</v>
      </c>
      <c r="AA2" t="s">
        <v>209</v>
      </c>
      <c r="AE2" t="s">
        <v>57</v>
      </c>
      <c r="AI2" t="str">
        <f ca="1">"Baseline: "&amp;TEXT(MAX('SPC background (hide)'!$I$5:$I$11),"#")&amp;" wks"</f>
        <v>Baseline: 10 wks</v>
      </c>
    </row>
    <row r="3" spans="1:35" x14ac:dyDescent="0.25">
      <c r="A3">
        <v>1</v>
      </c>
      <c r="C3" t="s">
        <v>20</v>
      </c>
      <c r="E3" t="s">
        <v>21</v>
      </c>
      <c r="F3">
        <v>2</v>
      </c>
      <c r="H3">
        <v>70</v>
      </c>
      <c r="I3">
        <v>0.7</v>
      </c>
      <c r="K3" s="318">
        <f>K2+7</f>
        <v>43899</v>
      </c>
      <c r="S3" s="7">
        <f>IF($S$2="","",S2+7)</f>
        <v>43900</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18">
        <f t="shared" ref="K4:K54" si="0">K3+7</f>
        <v>43906</v>
      </c>
      <c r="S4" s="7">
        <f t="shared" ref="S4:S53" si="1">IF($S$2="","",S3+7)</f>
        <v>43907</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18">
        <f t="shared" si="0"/>
        <v>43913</v>
      </c>
      <c r="S5" s="7">
        <f t="shared" si="1"/>
        <v>43914</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18">
        <f t="shared" si="0"/>
        <v>43920</v>
      </c>
      <c r="S6" s="7">
        <f t="shared" si="1"/>
        <v>43921</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8">
        <f t="shared" si="0"/>
        <v>43927</v>
      </c>
      <c r="S7" s="7">
        <f t="shared" si="1"/>
        <v>43928</v>
      </c>
      <c r="V7">
        <v>3.5</v>
      </c>
      <c r="Y7" t="s">
        <v>40</v>
      </c>
      <c r="Z7" t="str">
        <f>Setup!C31</f>
        <v>Modality 5</v>
      </c>
      <c r="AA7" t="str">
        <f t="shared" si="2"/>
        <v>Modality 5</v>
      </c>
      <c r="AE7" s="67" t="str">
        <f>IF(Capacity!B21="","",ROW(A5)&amp;". "&amp;Capacity!B21)</f>
        <v/>
      </c>
      <c r="AF7" s="67"/>
      <c r="AI7" s="67">
        <v>24</v>
      </c>
    </row>
    <row r="8" spans="1:35" x14ac:dyDescent="0.25">
      <c r="A8">
        <v>6</v>
      </c>
      <c r="K8" s="318">
        <f t="shared" si="0"/>
        <v>43934</v>
      </c>
      <c r="S8" s="7">
        <f t="shared" si="1"/>
        <v>43935</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43942</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43949</v>
      </c>
      <c r="V10">
        <v>5</v>
      </c>
      <c r="Y10" t="s">
        <v>46</v>
      </c>
      <c r="Z10" t="str">
        <f>Setup!C34</f>
        <v>Modality 8</v>
      </c>
      <c r="AA10" t="str">
        <f t="shared" si="2"/>
        <v>Modality 8</v>
      </c>
      <c r="AE10" s="67" t="str">
        <f>IF(Capacity!B24="","",ROW(A8)&amp;". "&amp;Capacity!B24)</f>
        <v/>
      </c>
      <c r="AF10" s="67"/>
      <c r="AI10" s="67">
        <v>27</v>
      </c>
    </row>
    <row r="11" spans="1:35" x14ac:dyDescent="0.25">
      <c r="A11">
        <v>9</v>
      </c>
      <c r="C11" t="s">
        <v>1180</v>
      </c>
      <c r="K11" s="318">
        <f t="shared" si="0"/>
        <v>43955</v>
      </c>
      <c r="S11" s="7">
        <f t="shared" si="1"/>
        <v>43956</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43963</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43970</v>
      </c>
      <c r="V13">
        <v>6.5</v>
      </c>
      <c r="AA13" t="s">
        <v>211</v>
      </c>
      <c r="AE13" s="67" t="str">
        <f>IF(Capacity!B27="","",ROW(A11)&amp;". "&amp;Capacity!B27)</f>
        <v/>
      </c>
      <c r="AF13" s="67"/>
      <c r="AI13" s="67">
        <v>30</v>
      </c>
    </row>
    <row r="14" spans="1:35" x14ac:dyDescent="0.25">
      <c r="A14">
        <v>12</v>
      </c>
      <c r="E14" t="s">
        <v>25</v>
      </c>
      <c r="H14" t="s">
        <v>876</v>
      </c>
      <c r="K14" s="318">
        <f t="shared" si="0"/>
        <v>43976</v>
      </c>
      <c r="S14" s="7">
        <f t="shared" si="1"/>
        <v>43977</v>
      </c>
      <c r="V14">
        <v>7</v>
      </c>
      <c r="AE14" s="67" t="str">
        <f>IF(Capacity!B28="","",ROW(A12)&amp;". "&amp;Capacity!B28)</f>
        <v/>
      </c>
      <c r="AF14" s="67"/>
      <c r="AI14" s="67">
        <v>31</v>
      </c>
    </row>
    <row r="15" spans="1:35" x14ac:dyDescent="0.25">
      <c r="A15">
        <v>13</v>
      </c>
      <c r="K15" s="318">
        <f t="shared" si="0"/>
        <v>43983</v>
      </c>
      <c r="S15" s="7">
        <f t="shared" si="1"/>
        <v>43984</v>
      </c>
      <c r="V15">
        <v>7.5</v>
      </c>
      <c r="AE15" s="67" t="str">
        <f>IF(Capacity!B29="","",ROW(A13)&amp;". "&amp;Capacity!B29)</f>
        <v/>
      </c>
      <c r="AF15" s="67"/>
      <c r="AI15" s="67">
        <v>32</v>
      </c>
    </row>
    <row r="16" spans="1:35" x14ac:dyDescent="0.25">
      <c r="A16">
        <v>14</v>
      </c>
      <c r="E16" t="s">
        <v>88</v>
      </c>
      <c r="K16" s="318">
        <f t="shared" si="0"/>
        <v>43990</v>
      </c>
      <c r="S16" s="7">
        <f t="shared" si="1"/>
        <v>43991</v>
      </c>
      <c r="V16">
        <v>8</v>
      </c>
      <c r="AE16" s="67" t="str">
        <f>IF(Capacity!B30="","",ROW(A14)&amp;". "&amp;Capacity!B30)</f>
        <v/>
      </c>
      <c r="AF16" s="67"/>
      <c r="AI16" s="67">
        <v>33</v>
      </c>
    </row>
    <row r="17" spans="1:35" x14ac:dyDescent="0.25">
      <c r="A17">
        <v>15</v>
      </c>
      <c r="E17" t="s">
        <v>87</v>
      </c>
      <c r="K17" s="318">
        <f t="shared" si="0"/>
        <v>43997</v>
      </c>
      <c r="S17" s="7">
        <f t="shared" si="1"/>
        <v>43998</v>
      </c>
      <c r="V17">
        <v>8.5</v>
      </c>
      <c r="AE17" s="67" t="str">
        <f>IF(Capacity!B31="","",ROW(A15)&amp;". "&amp;Capacity!B31)</f>
        <v/>
      </c>
      <c r="AF17" s="67"/>
      <c r="AI17" s="67">
        <v>34</v>
      </c>
    </row>
    <row r="18" spans="1:35" x14ac:dyDescent="0.25">
      <c r="A18">
        <v>16</v>
      </c>
      <c r="K18" s="318">
        <f t="shared" si="0"/>
        <v>44004</v>
      </c>
      <c r="S18" s="7">
        <f t="shared" si="1"/>
        <v>44005</v>
      </c>
      <c r="V18">
        <v>9</v>
      </c>
      <c r="AE18" s="67" t="str">
        <f>IF(Capacity!B32="","",ROW(A16)&amp;". "&amp;Capacity!B32)</f>
        <v/>
      </c>
      <c r="AF18" s="67"/>
      <c r="AI18" s="67">
        <v>35</v>
      </c>
    </row>
    <row r="19" spans="1:35" x14ac:dyDescent="0.25">
      <c r="A19">
        <v>17</v>
      </c>
      <c r="E19" t="s">
        <v>402</v>
      </c>
      <c r="K19" s="318">
        <f t="shared" si="0"/>
        <v>44011</v>
      </c>
      <c r="S19" s="7">
        <f t="shared" si="1"/>
        <v>44012</v>
      </c>
      <c r="V19">
        <v>9.5</v>
      </c>
      <c r="AE19" s="67" t="str">
        <f>IF(Capacity!B33="","",ROW(A17)&amp;". "&amp;Capacity!B33)</f>
        <v/>
      </c>
      <c r="AF19" s="67"/>
      <c r="AI19" s="67">
        <v>36</v>
      </c>
    </row>
    <row r="20" spans="1:35" x14ac:dyDescent="0.25">
      <c r="A20">
        <v>18</v>
      </c>
      <c r="E20" t="s">
        <v>401</v>
      </c>
      <c r="K20" s="318">
        <f t="shared" si="0"/>
        <v>44018</v>
      </c>
      <c r="S20" s="7">
        <f t="shared" si="1"/>
        <v>44019</v>
      </c>
      <c r="V20">
        <v>10</v>
      </c>
      <c r="AE20" s="67" t="str">
        <f>IF(Capacity!B34="","",ROW(A18)&amp;". "&amp;Capacity!B34)</f>
        <v/>
      </c>
      <c r="AF20" s="67"/>
      <c r="AI20" s="67">
        <v>37</v>
      </c>
    </row>
    <row r="21" spans="1:35" x14ac:dyDescent="0.25">
      <c r="A21">
        <v>19</v>
      </c>
      <c r="K21" s="318">
        <f t="shared" si="0"/>
        <v>44025</v>
      </c>
      <c r="S21" s="7">
        <f t="shared" si="1"/>
        <v>44026</v>
      </c>
      <c r="V21">
        <v>10.5</v>
      </c>
      <c r="AE21" s="67" t="str">
        <f>IF(Capacity!B35="","",ROW(A19)&amp;". "&amp;Capacity!B35)</f>
        <v/>
      </c>
      <c r="AF21" s="67"/>
      <c r="AI21" s="67">
        <v>38</v>
      </c>
    </row>
    <row r="22" spans="1:35" x14ac:dyDescent="0.25">
      <c r="A22">
        <v>20</v>
      </c>
      <c r="E22" t="s">
        <v>24</v>
      </c>
      <c r="K22" s="318">
        <f t="shared" si="0"/>
        <v>44032</v>
      </c>
      <c r="S22" s="7">
        <f t="shared" si="1"/>
        <v>44033</v>
      </c>
      <c r="V22">
        <v>11</v>
      </c>
      <c r="AE22" s="67" t="str">
        <f>IF(Capacity!B36="","",ROW(A20)&amp;". "&amp;Capacity!B36)</f>
        <v/>
      </c>
      <c r="AF22" s="67"/>
      <c r="AI22" s="67">
        <v>39</v>
      </c>
    </row>
    <row r="23" spans="1:35" x14ac:dyDescent="0.25">
      <c r="A23">
        <v>21</v>
      </c>
      <c r="E23" t="s">
        <v>421</v>
      </c>
      <c r="K23" s="318">
        <f t="shared" si="0"/>
        <v>44039</v>
      </c>
      <c r="S23" s="7">
        <f t="shared" si="1"/>
        <v>44040</v>
      </c>
      <c r="V23">
        <v>11.5</v>
      </c>
      <c r="AE23" s="67" t="str">
        <f>IF(Capacity!B37="","",ROW(A21)&amp;". "&amp;Capacity!B37)</f>
        <v/>
      </c>
      <c r="AF23" s="67"/>
      <c r="AI23" s="67">
        <v>40</v>
      </c>
    </row>
    <row r="24" spans="1:35" x14ac:dyDescent="0.25">
      <c r="A24">
        <v>22</v>
      </c>
      <c r="H24" t="s">
        <v>249</v>
      </c>
      <c r="K24" s="318">
        <f t="shared" si="0"/>
        <v>44046</v>
      </c>
      <c r="S24" s="7">
        <f t="shared" si="1"/>
        <v>44047</v>
      </c>
      <c r="V24">
        <v>12</v>
      </c>
      <c r="AE24" s="67" t="str">
        <f>IF(Capacity!B38="","",ROW(A22)&amp;". "&amp;Capacity!B38)</f>
        <v/>
      </c>
      <c r="AF24" s="67"/>
      <c r="AI24" s="67">
        <v>41</v>
      </c>
    </row>
    <row r="25" spans="1:35" x14ac:dyDescent="0.25">
      <c r="A25">
        <v>23</v>
      </c>
      <c r="E25" t="s">
        <v>480</v>
      </c>
      <c r="H25" t="s">
        <v>1233</v>
      </c>
      <c r="K25" s="318">
        <f t="shared" si="0"/>
        <v>44053</v>
      </c>
      <c r="S25" s="7">
        <f t="shared" si="1"/>
        <v>44054</v>
      </c>
      <c r="AE25" s="67" t="str">
        <f>IF(Capacity!B39="","",ROW(A23)&amp;". "&amp;Capacity!B39)</f>
        <v/>
      </c>
      <c r="AF25" s="67"/>
      <c r="AI25" s="67">
        <v>42</v>
      </c>
    </row>
    <row r="26" spans="1:35" x14ac:dyDescent="0.25">
      <c r="A26">
        <v>24</v>
      </c>
      <c r="E26" t="s">
        <v>481</v>
      </c>
      <c r="K26" s="318">
        <f t="shared" si="0"/>
        <v>44060</v>
      </c>
      <c r="S26" s="7">
        <f t="shared" si="1"/>
        <v>44061</v>
      </c>
      <c r="AE26" s="67" t="str">
        <f>IF(Capacity!B40="","",ROW(A24)&amp;". "&amp;Capacity!B40)</f>
        <v/>
      </c>
      <c r="AF26" s="67"/>
      <c r="AI26" s="67">
        <v>43</v>
      </c>
    </row>
    <row r="27" spans="1:35" x14ac:dyDescent="0.25">
      <c r="A27">
        <v>25</v>
      </c>
      <c r="K27" s="318">
        <f t="shared" si="0"/>
        <v>44067</v>
      </c>
      <c r="S27" s="7">
        <f t="shared" si="1"/>
        <v>44068</v>
      </c>
      <c r="AE27" s="67" t="str">
        <f>IF(Capacity!B41="","",ROW(A25)&amp;". "&amp;Capacity!B41)</f>
        <v/>
      </c>
      <c r="AF27" s="67"/>
      <c r="AI27" s="67">
        <v>44</v>
      </c>
    </row>
    <row r="28" spans="1:35" x14ac:dyDescent="0.25">
      <c r="A28">
        <v>26</v>
      </c>
      <c r="K28" s="318">
        <f t="shared" si="0"/>
        <v>44074</v>
      </c>
      <c r="S28" s="7">
        <f t="shared" si="1"/>
        <v>44075</v>
      </c>
      <c r="AE28" s="67" t="str">
        <f>IF(Capacity!B42="","",ROW(A26)&amp;". "&amp;Capacity!B42)</f>
        <v/>
      </c>
      <c r="AF28" s="67"/>
      <c r="AI28" s="67">
        <v>45</v>
      </c>
    </row>
    <row r="29" spans="1:35" x14ac:dyDescent="0.25">
      <c r="A29">
        <v>27</v>
      </c>
      <c r="C29" t="s">
        <v>194</v>
      </c>
      <c r="E29" t="s">
        <v>482</v>
      </c>
      <c r="K29" s="318">
        <f t="shared" si="0"/>
        <v>44081</v>
      </c>
      <c r="S29" s="7">
        <f t="shared" si="1"/>
        <v>44082</v>
      </c>
      <c r="AE29" s="67" t="str">
        <f>IF(Capacity!B43="","",ROW(A27)&amp;". "&amp;Capacity!B43)</f>
        <v/>
      </c>
      <c r="AF29" s="67"/>
      <c r="AI29" s="67">
        <v>46</v>
      </c>
    </row>
    <row r="30" spans="1:35" x14ac:dyDescent="0.25">
      <c r="A30">
        <v>28</v>
      </c>
      <c r="C30" t="s">
        <v>192</v>
      </c>
      <c r="K30" s="318">
        <f t="shared" si="0"/>
        <v>44088</v>
      </c>
      <c r="S30" s="7">
        <f t="shared" si="1"/>
        <v>44089</v>
      </c>
      <c r="AE30" s="67" t="str">
        <f>IF(Capacity!B44="","",ROW(A28)&amp;". "&amp;Capacity!B44)</f>
        <v/>
      </c>
      <c r="AF30" s="67"/>
      <c r="AI30" s="67">
        <v>47</v>
      </c>
    </row>
    <row r="31" spans="1:35" x14ac:dyDescent="0.25">
      <c r="A31">
        <v>29</v>
      </c>
      <c r="C31" t="s">
        <v>193</v>
      </c>
      <c r="K31" s="318">
        <f t="shared" si="0"/>
        <v>44095</v>
      </c>
      <c r="S31" s="7">
        <f t="shared" si="1"/>
        <v>44096</v>
      </c>
      <c r="AE31" s="67" t="str">
        <f>IF(Capacity!B45="","",ROW(A29)&amp;". "&amp;Capacity!B45)</f>
        <v/>
      </c>
      <c r="AF31" s="67"/>
      <c r="AI31" s="67">
        <v>48</v>
      </c>
    </row>
    <row r="32" spans="1:35" x14ac:dyDescent="0.25">
      <c r="A32">
        <v>30</v>
      </c>
      <c r="K32" s="318">
        <f t="shared" si="0"/>
        <v>44102</v>
      </c>
      <c r="S32" s="7">
        <f t="shared" si="1"/>
        <v>44103</v>
      </c>
      <c r="AE32" s="67" t="str">
        <f>IF(Capacity!B46="","",ROW(A30)&amp;". "&amp;Capacity!B46)</f>
        <v/>
      </c>
      <c r="AF32" s="67"/>
      <c r="AI32" s="67">
        <v>49</v>
      </c>
    </row>
    <row r="33" spans="1:35" x14ac:dyDescent="0.25">
      <c r="A33">
        <v>31</v>
      </c>
      <c r="K33" s="318">
        <f t="shared" si="0"/>
        <v>44109</v>
      </c>
      <c r="S33" s="7">
        <f t="shared" si="1"/>
        <v>44110</v>
      </c>
      <c r="AE33" s="67" t="str">
        <f>IF(Capacity!B47="","",ROW(A31)&amp;". "&amp;Capacity!B47)</f>
        <v/>
      </c>
      <c r="AF33" s="67"/>
      <c r="AI33" s="67">
        <v>50</v>
      </c>
    </row>
    <row r="34" spans="1:35" x14ac:dyDescent="0.25">
      <c r="A34">
        <v>32</v>
      </c>
      <c r="C34" t="s">
        <v>24</v>
      </c>
      <c r="K34" s="318">
        <f t="shared" si="0"/>
        <v>44116</v>
      </c>
      <c r="S34" s="7">
        <f t="shared" si="1"/>
        <v>44117</v>
      </c>
      <c r="AE34" s="67" t="str">
        <f>IF(Capacity!B48="","",ROW(A32)&amp;". "&amp;Capacity!B48)</f>
        <v/>
      </c>
      <c r="AF34" s="67"/>
      <c r="AI34" s="67">
        <v>51</v>
      </c>
    </row>
    <row r="35" spans="1:35" x14ac:dyDescent="0.25">
      <c r="A35">
        <v>33</v>
      </c>
      <c r="C35" t="s">
        <v>102</v>
      </c>
      <c r="K35" s="318">
        <f t="shared" si="0"/>
        <v>44123</v>
      </c>
      <c r="S35" s="7">
        <f t="shared" si="1"/>
        <v>44124</v>
      </c>
      <c r="AE35" s="67" t="str">
        <f>IF(Capacity!B49="","",ROW(A33)&amp;". "&amp;Capacity!B49)</f>
        <v/>
      </c>
      <c r="AF35" s="67"/>
      <c r="AI35" s="67">
        <v>52</v>
      </c>
    </row>
    <row r="36" spans="1:35" x14ac:dyDescent="0.25">
      <c r="A36">
        <v>34</v>
      </c>
      <c r="K36" s="318">
        <f t="shared" si="0"/>
        <v>44130</v>
      </c>
      <c r="S36" s="7">
        <f t="shared" si="1"/>
        <v>44131</v>
      </c>
      <c r="AE36" s="67" t="str">
        <f>IF(Capacity!B50="","",ROW(A34)&amp;". "&amp;Capacity!B50)</f>
        <v/>
      </c>
      <c r="AF36" s="67"/>
    </row>
    <row r="37" spans="1:35" x14ac:dyDescent="0.25">
      <c r="A37">
        <v>35</v>
      </c>
      <c r="K37" s="318">
        <f t="shared" si="0"/>
        <v>44137</v>
      </c>
      <c r="S37" s="7">
        <f t="shared" si="1"/>
        <v>44138</v>
      </c>
      <c r="AE37" s="67" t="str">
        <f>IF(Capacity!B51="","",ROW(A35)&amp;". "&amp;Capacity!B51)</f>
        <v/>
      </c>
      <c r="AF37" s="67"/>
    </row>
    <row r="38" spans="1:35" x14ac:dyDescent="0.25">
      <c r="A38">
        <v>36</v>
      </c>
      <c r="K38" s="318">
        <f t="shared" si="0"/>
        <v>44144</v>
      </c>
      <c r="S38" s="7">
        <f t="shared" si="1"/>
        <v>44145</v>
      </c>
      <c r="AE38" s="67" t="str">
        <f>IF(Capacity!B52="","",ROW(A36)&amp;". "&amp;Capacity!B52)</f>
        <v/>
      </c>
      <c r="AF38" s="67"/>
    </row>
    <row r="39" spans="1:35" x14ac:dyDescent="0.25">
      <c r="A39">
        <v>37</v>
      </c>
      <c r="K39" s="318">
        <f t="shared" si="0"/>
        <v>44151</v>
      </c>
      <c r="S39" s="7">
        <f t="shared" si="1"/>
        <v>44152</v>
      </c>
      <c r="AE39" s="67" t="str">
        <f>IF(Capacity!B53="","",ROW(A37)&amp;". "&amp;Capacity!B53)</f>
        <v/>
      </c>
      <c r="AF39" s="67"/>
    </row>
    <row r="40" spans="1:35" x14ac:dyDescent="0.25">
      <c r="A40">
        <v>38</v>
      </c>
      <c r="K40" s="318">
        <f t="shared" si="0"/>
        <v>44158</v>
      </c>
      <c r="S40" s="7">
        <f t="shared" si="1"/>
        <v>44159</v>
      </c>
      <c r="AE40" s="67" t="str">
        <f>IF(Capacity!B54="","",ROW(A38)&amp;". "&amp;Capacity!B54)</f>
        <v/>
      </c>
      <c r="AF40" s="67"/>
    </row>
    <row r="41" spans="1:35" x14ac:dyDescent="0.25">
      <c r="A41">
        <v>39</v>
      </c>
      <c r="K41" s="318">
        <f t="shared" si="0"/>
        <v>44165</v>
      </c>
      <c r="S41" s="7">
        <f t="shared" si="1"/>
        <v>44166</v>
      </c>
      <c r="AE41" s="67" t="str">
        <f>IF(Capacity!B55="","",ROW(A39)&amp;". "&amp;Capacity!B55)</f>
        <v/>
      </c>
      <c r="AF41" s="67"/>
    </row>
    <row r="42" spans="1:35" x14ac:dyDescent="0.25">
      <c r="A42">
        <v>40</v>
      </c>
      <c r="K42" s="318">
        <f t="shared" si="0"/>
        <v>44172</v>
      </c>
      <c r="S42" s="7">
        <f t="shared" si="1"/>
        <v>44173</v>
      </c>
      <c r="AE42" s="67" t="str">
        <f>IF(Capacity!B56="","",ROW(A40)&amp;". "&amp;Capacity!B56)</f>
        <v/>
      </c>
      <c r="AF42" s="67"/>
    </row>
    <row r="43" spans="1:35" x14ac:dyDescent="0.25">
      <c r="A43">
        <v>41</v>
      </c>
      <c r="K43" s="318">
        <f t="shared" si="0"/>
        <v>44179</v>
      </c>
      <c r="S43" s="7">
        <f t="shared" si="1"/>
        <v>44180</v>
      </c>
      <c r="AE43" s="67" t="str">
        <f>IF(Capacity!B57="","",ROW(A41)&amp;". "&amp;Capacity!B57)</f>
        <v/>
      </c>
      <c r="AF43" s="67"/>
    </row>
    <row r="44" spans="1:35" x14ac:dyDescent="0.25">
      <c r="A44">
        <v>42</v>
      </c>
      <c r="K44" s="318">
        <f t="shared" si="0"/>
        <v>44186</v>
      </c>
      <c r="S44" s="7">
        <f t="shared" si="1"/>
        <v>44187</v>
      </c>
      <c r="AE44" s="67" t="str">
        <f>IF(Capacity!B58="","",ROW(A42)&amp;". "&amp;Capacity!B58)</f>
        <v/>
      </c>
      <c r="AF44" s="67"/>
    </row>
    <row r="45" spans="1:35" x14ac:dyDescent="0.25">
      <c r="A45">
        <v>43</v>
      </c>
      <c r="K45" s="318">
        <f t="shared" si="0"/>
        <v>44193</v>
      </c>
      <c r="S45" s="7">
        <f t="shared" si="1"/>
        <v>44194</v>
      </c>
      <c r="AE45" s="67" t="str">
        <f>IF(Capacity!B59="","",ROW(A43)&amp;". "&amp;Capacity!B59)</f>
        <v/>
      </c>
      <c r="AF45" s="67"/>
    </row>
    <row r="46" spans="1:35" x14ac:dyDescent="0.25">
      <c r="A46">
        <v>44</v>
      </c>
      <c r="K46" s="318">
        <f t="shared" si="0"/>
        <v>44200</v>
      </c>
      <c r="S46" s="7">
        <f t="shared" si="1"/>
        <v>44201</v>
      </c>
      <c r="AE46" s="67" t="str">
        <f>IF(Capacity!B60="","",ROW(A44)&amp;". "&amp;Capacity!B60)</f>
        <v/>
      </c>
      <c r="AF46" s="67"/>
    </row>
    <row r="47" spans="1:35" x14ac:dyDescent="0.25">
      <c r="A47">
        <v>45</v>
      </c>
      <c r="K47" s="318">
        <f t="shared" si="0"/>
        <v>44207</v>
      </c>
      <c r="S47" s="7">
        <f t="shared" si="1"/>
        <v>44208</v>
      </c>
      <c r="AE47" s="67" t="str">
        <f>IF(Capacity!B61="","",ROW(A45)&amp;". "&amp;Capacity!B61)</f>
        <v/>
      </c>
      <c r="AF47" s="67"/>
    </row>
    <row r="48" spans="1:35" x14ac:dyDescent="0.25">
      <c r="A48">
        <v>46</v>
      </c>
      <c r="K48" s="318">
        <f t="shared" si="0"/>
        <v>44214</v>
      </c>
      <c r="S48" s="7">
        <f t="shared" si="1"/>
        <v>44215</v>
      </c>
      <c r="AE48" s="67" t="str">
        <f>IF(Capacity!B62="","",ROW(A46)&amp;". "&amp;Capacity!B62)</f>
        <v/>
      </c>
      <c r="AF48" s="67"/>
    </row>
    <row r="49" spans="1:32" x14ac:dyDescent="0.25">
      <c r="A49">
        <v>47</v>
      </c>
      <c r="K49" s="318">
        <f t="shared" si="0"/>
        <v>44221</v>
      </c>
      <c r="S49" s="7">
        <f t="shared" si="1"/>
        <v>44222</v>
      </c>
      <c r="AE49" s="67" t="str">
        <f>IF(Capacity!B63="","",ROW(A47)&amp;". "&amp;Capacity!B63)</f>
        <v/>
      </c>
      <c r="AF49" s="67"/>
    </row>
    <row r="50" spans="1:32" x14ac:dyDescent="0.25">
      <c r="A50">
        <v>48</v>
      </c>
      <c r="K50" s="318">
        <f t="shared" si="0"/>
        <v>44228</v>
      </c>
      <c r="S50" s="7">
        <f t="shared" si="1"/>
        <v>44229</v>
      </c>
      <c r="AE50" s="67" t="str">
        <f>IF(Capacity!B64="","",ROW(A48)&amp;". "&amp;Capacity!B64)</f>
        <v/>
      </c>
      <c r="AF50" s="67"/>
    </row>
    <row r="51" spans="1:32" x14ac:dyDescent="0.25">
      <c r="A51">
        <v>49</v>
      </c>
      <c r="K51" s="318">
        <f t="shared" si="0"/>
        <v>44235</v>
      </c>
      <c r="S51" s="7">
        <f t="shared" si="1"/>
        <v>44236</v>
      </c>
      <c r="AE51" s="67" t="str">
        <f>IF(Capacity!B65="","",ROW(A49)&amp;". "&amp;Capacity!B65)</f>
        <v/>
      </c>
      <c r="AF51" s="67"/>
    </row>
    <row r="52" spans="1:32" x14ac:dyDescent="0.25">
      <c r="A52">
        <v>50</v>
      </c>
      <c r="K52" s="318">
        <f t="shared" si="0"/>
        <v>44242</v>
      </c>
      <c r="S52" s="7">
        <f t="shared" si="1"/>
        <v>44243</v>
      </c>
      <c r="AE52" s="67" t="str">
        <f>IF(Capacity!B66="","",ROW(A50)&amp;". "&amp;Capacity!B66)</f>
        <v/>
      </c>
      <c r="AF52" s="67"/>
    </row>
    <row r="53" spans="1:32" x14ac:dyDescent="0.25">
      <c r="A53">
        <v>51</v>
      </c>
      <c r="K53" s="318">
        <f t="shared" si="0"/>
        <v>44249</v>
      </c>
      <c r="S53" s="7">
        <f t="shared" si="1"/>
        <v>44250</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4"/>
    </row>
    <row r="6" spans="2:17" s="1" customFormat="1" x14ac:dyDescent="0.25">
      <c r="B6" s="319"/>
    </row>
    <row r="7" spans="2:17" s="1" customFormat="1" x14ac:dyDescent="0.25">
      <c r="B7" s="325"/>
    </row>
    <row r="8" spans="2:17" s="1" customFormat="1" x14ac:dyDescent="0.25">
      <c r="B8" s="319"/>
    </row>
    <row r="9" spans="2:17" s="1" customFormat="1" x14ac:dyDescent="0.25">
      <c r="B9" s="319"/>
    </row>
    <row r="10" spans="2:17" s="1" customFormat="1" x14ac:dyDescent="0.25">
      <c r="B10" s="325"/>
    </row>
    <row r="11" spans="2:17" s="1" customFormat="1" x14ac:dyDescent="0.25">
      <c r="B11" s="319"/>
    </row>
    <row r="12" spans="2:17" s="1" customFormat="1" x14ac:dyDescent="0.25">
      <c r="B12" s="319"/>
    </row>
    <row r="13" spans="2:17" s="1" customFormat="1" x14ac:dyDescent="0.25">
      <c r="B13" s="325"/>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heetViews>
  <sheetFormatPr defaultRowHeight="13.8" x14ac:dyDescent="0.25"/>
  <cols>
    <col min="57" max="57" width="0" hidden="1" customWidth="1"/>
  </cols>
  <sheetData>
    <row r="2" spans="1:9" x14ac:dyDescent="0.25">
      <c r="A2" s="2" t="s">
        <v>879</v>
      </c>
    </row>
    <row r="3" spans="1:9" x14ac:dyDescent="0.25">
      <c r="A3" s="273" t="s">
        <v>1237</v>
      </c>
    </row>
    <row r="4" spans="1:9" x14ac:dyDescent="0.25">
      <c r="A4" s="8"/>
      <c r="B4" s="8"/>
      <c r="C4" s="8"/>
      <c r="D4" s="8"/>
      <c r="E4" s="8"/>
      <c r="F4" s="8"/>
      <c r="G4" s="8"/>
      <c r="H4" s="8"/>
      <c r="I4" s="8"/>
    </row>
    <row r="5" spans="1:9" x14ac:dyDescent="0.25">
      <c r="A5" s="2" t="s">
        <v>27</v>
      </c>
      <c r="C5" s="381" t="s">
        <v>872</v>
      </c>
      <c r="D5" s="382"/>
      <c r="E5" s="382"/>
      <c r="F5" s="382"/>
      <c r="G5" s="383"/>
    </row>
    <row r="7" spans="1:9" x14ac:dyDescent="0.25">
      <c r="A7" s="2" t="s">
        <v>28</v>
      </c>
      <c r="C7" s="381" t="s">
        <v>898</v>
      </c>
      <c r="D7" s="382"/>
      <c r="E7" s="382"/>
      <c r="F7" s="382"/>
      <c r="G7" s="38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78" t="s">
        <v>926</v>
      </c>
      <c r="B11" s="378"/>
      <c r="C11" s="378"/>
      <c r="D11" s="378"/>
      <c r="E11" s="378"/>
      <c r="F11" s="378"/>
      <c r="G11" s="378"/>
      <c r="H11" s="378"/>
      <c r="I11" s="209">
        <v>1</v>
      </c>
    </row>
    <row r="12" spans="1:9" x14ac:dyDescent="0.25">
      <c r="I12" s="4"/>
    </row>
    <row r="13" spans="1:9" x14ac:dyDescent="0.25">
      <c r="A13" s="378" t="s">
        <v>424</v>
      </c>
      <c r="B13" s="378"/>
      <c r="C13" s="378"/>
      <c r="D13" s="378"/>
      <c r="E13" s="378"/>
      <c r="F13" s="378"/>
      <c r="G13" s="378"/>
      <c r="H13" s="378"/>
      <c r="I13" s="209" t="s">
        <v>22</v>
      </c>
    </row>
    <row r="14" spans="1:9" x14ac:dyDescent="0.25">
      <c r="I14" s="4"/>
    </row>
    <row r="15" spans="1:9" x14ac:dyDescent="0.25">
      <c r="A15" s="378" t="s">
        <v>425</v>
      </c>
      <c r="B15" s="378"/>
      <c r="C15" s="378"/>
      <c r="D15" s="378"/>
      <c r="E15" s="378"/>
      <c r="F15" s="378"/>
      <c r="G15" s="378"/>
      <c r="H15" s="378"/>
      <c r="I15" s="209" t="s">
        <v>22</v>
      </c>
    </row>
    <row r="16" spans="1:9" x14ac:dyDescent="0.25">
      <c r="I16" s="4"/>
    </row>
    <row r="17" spans="1:9" x14ac:dyDescent="0.25">
      <c r="A17" s="378" t="s">
        <v>29</v>
      </c>
      <c r="B17" s="378"/>
      <c r="C17" s="378"/>
      <c r="D17" s="378"/>
      <c r="E17" s="378"/>
      <c r="F17" s="378"/>
      <c r="G17" s="378"/>
      <c r="H17" s="378"/>
      <c r="I17" s="209" t="s">
        <v>23</v>
      </c>
    </row>
    <row r="18" spans="1:9" x14ac:dyDescent="0.25">
      <c r="I18" s="4"/>
    </row>
    <row r="19" spans="1:9" x14ac:dyDescent="0.25">
      <c r="A19" s="378" t="s">
        <v>30</v>
      </c>
      <c r="B19" s="378"/>
      <c r="C19" s="378"/>
      <c r="D19" s="378"/>
      <c r="E19" s="378"/>
      <c r="F19" s="378"/>
      <c r="G19" s="378"/>
      <c r="H19" s="378"/>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379" t="s">
        <v>927</v>
      </c>
      <c r="H26" s="379"/>
      <c r="I26" s="379"/>
    </row>
    <row r="27" spans="1:9" ht="19.5" customHeight="1" x14ac:dyDescent="0.25">
      <c r="A27" s="374" t="s">
        <v>31</v>
      </c>
      <c r="B27" s="375"/>
      <c r="C27" s="376" t="s">
        <v>32</v>
      </c>
      <c r="D27" s="377"/>
      <c r="E27" s="377"/>
      <c r="F27" s="377"/>
      <c r="G27" s="380">
        <v>76</v>
      </c>
      <c r="H27" s="380"/>
      <c r="I27" s="380"/>
    </row>
    <row r="28" spans="1:9" ht="19.5" hidden="1" customHeight="1" x14ac:dyDescent="0.25">
      <c r="A28" s="374" t="s">
        <v>33</v>
      </c>
      <c r="B28" s="375"/>
      <c r="C28" s="376" t="s">
        <v>34</v>
      </c>
      <c r="D28" s="377"/>
      <c r="E28" s="377"/>
      <c r="F28" s="377"/>
      <c r="G28" s="380">
        <v>0</v>
      </c>
      <c r="H28" s="380"/>
      <c r="I28" s="380"/>
    </row>
    <row r="29" spans="1:9" ht="19.5" hidden="1" customHeight="1" x14ac:dyDescent="0.25">
      <c r="A29" s="374" t="s">
        <v>35</v>
      </c>
      <c r="B29" s="375"/>
      <c r="C29" s="376" t="s">
        <v>36</v>
      </c>
      <c r="D29" s="377"/>
      <c r="E29" s="377"/>
      <c r="F29" s="377"/>
      <c r="G29" s="380">
        <v>0</v>
      </c>
      <c r="H29" s="380"/>
      <c r="I29" s="380"/>
    </row>
    <row r="30" spans="1:9" ht="19.5" hidden="1" customHeight="1" x14ac:dyDescent="0.25">
      <c r="A30" s="374" t="s">
        <v>37</v>
      </c>
      <c r="B30" s="375"/>
      <c r="C30" s="376" t="s">
        <v>38</v>
      </c>
      <c r="D30" s="377"/>
      <c r="E30" s="377"/>
      <c r="F30" s="377"/>
      <c r="G30" s="380">
        <v>0</v>
      </c>
      <c r="H30" s="380"/>
      <c r="I30" s="380"/>
    </row>
    <row r="31" spans="1:9" ht="19.5" hidden="1" customHeight="1" x14ac:dyDescent="0.25">
      <c r="A31" s="374" t="s">
        <v>39</v>
      </c>
      <c r="B31" s="375"/>
      <c r="C31" s="376" t="s">
        <v>40</v>
      </c>
      <c r="D31" s="377"/>
      <c r="E31" s="377"/>
      <c r="F31" s="377"/>
      <c r="G31" s="380">
        <v>0</v>
      </c>
      <c r="H31" s="380"/>
      <c r="I31" s="380"/>
    </row>
    <row r="32" spans="1:9" ht="19.5" hidden="1" customHeight="1" x14ac:dyDescent="0.25">
      <c r="A32" s="374" t="s">
        <v>41</v>
      </c>
      <c r="B32" s="375"/>
      <c r="C32" s="376" t="s">
        <v>42</v>
      </c>
      <c r="D32" s="377"/>
      <c r="E32" s="377"/>
      <c r="F32" s="377"/>
      <c r="G32" s="380">
        <v>0</v>
      </c>
      <c r="H32" s="380"/>
      <c r="I32" s="380"/>
    </row>
    <row r="33" spans="1:9" ht="19.5" hidden="1" customHeight="1" x14ac:dyDescent="0.25">
      <c r="A33" s="374" t="s">
        <v>43</v>
      </c>
      <c r="B33" s="375"/>
      <c r="C33" s="376" t="s">
        <v>44</v>
      </c>
      <c r="D33" s="377"/>
      <c r="E33" s="377"/>
      <c r="F33" s="377"/>
      <c r="G33" s="380">
        <v>0</v>
      </c>
      <c r="H33" s="380"/>
      <c r="I33" s="380"/>
    </row>
    <row r="34" spans="1:9" ht="19.5" hidden="1" customHeight="1" x14ac:dyDescent="0.25">
      <c r="A34" s="374" t="s">
        <v>45</v>
      </c>
      <c r="B34" s="375"/>
      <c r="C34" s="376" t="s">
        <v>46</v>
      </c>
      <c r="D34" s="377"/>
      <c r="E34" s="377"/>
      <c r="F34" s="377"/>
      <c r="G34" s="380">
        <v>0</v>
      </c>
      <c r="H34" s="380"/>
      <c r="I34" s="380"/>
    </row>
    <row r="35" spans="1:9" ht="19.5" hidden="1" customHeight="1" x14ac:dyDescent="0.25">
      <c r="A35" s="374" t="s">
        <v>47</v>
      </c>
      <c r="B35" s="375"/>
      <c r="C35" s="376" t="s">
        <v>48</v>
      </c>
      <c r="D35" s="377"/>
      <c r="E35" s="377"/>
      <c r="F35" s="377"/>
      <c r="G35" s="380">
        <v>0</v>
      </c>
      <c r="H35" s="380"/>
      <c r="I35" s="380"/>
    </row>
    <row r="36" spans="1:9" ht="19.5" hidden="1" customHeight="1" x14ac:dyDescent="0.25">
      <c r="A36" s="374" t="s">
        <v>49</v>
      </c>
      <c r="B36" s="375"/>
      <c r="C36" s="376" t="s">
        <v>50</v>
      </c>
      <c r="D36" s="377"/>
      <c r="E36" s="377"/>
      <c r="F36" s="377"/>
      <c r="G36" s="380">
        <v>0</v>
      </c>
      <c r="H36" s="380"/>
      <c r="I36" s="380"/>
    </row>
  </sheetData>
  <sheetProtection algorithmName="SHA-512" hashValue="aLFP7uVrnRQ8dTFhEH2eKPpGnz1E/0OQs3vlxhNI9f8Y2ESYGY6tpX6W9kp7RqHG1/msdcqT4rU4lTIAGyQ9MA==" saltValue="UZR5OBO5e88jEZLGUhlC2Q=="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16</v>
      </c>
      <c r="B6" t="s">
        <v>1208</v>
      </c>
      <c r="C6" s="334">
        <v>43893</v>
      </c>
      <c r="K6" s="72"/>
    </row>
    <row r="7" spans="1:57" ht="14.25" customHeight="1" x14ac:dyDescent="0.25">
      <c r="B7" t="s">
        <v>1178</v>
      </c>
      <c r="C7" s="162">
        <v>15</v>
      </c>
    </row>
    <row r="8" spans="1:57" x14ac:dyDescent="0.25">
      <c r="B8" t="s">
        <v>1179</v>
      </c>
      <c r="C8" s="337" t="s">
        <v>1238</v>
      </c>
    </row>
    <row r="9" spans="1:57" x14ac:dyDescent="0.25">
      <c r="B9" s="345" t="str">
        <f>IF(LEFT(C8,1)="M","Note: SPC Chart is disabled when using your own forecast.","")</f>
        <v/>
      </c>
    </row>
    <row r="10" spans="1:57" x14ac:dyDescent="0.25">
      <c r="B10" s="385" t="s">
        <v>128</v>
      </c>
      <c r="C10" s="385" t="s">
        <v>56</v>
      </c>
      <c r="D10" s="384" t="s">
        <v>1209</v>
      </c>
      <c r="E10" s="266" t="str">
        <f ca="1">OFFSET('Control sheet (hide)'!$AA$3,QUOTIENT(COLUMN(Demand!E9)-4,5),0,1,1)</f>
        <v>Modality 1</v>
      </c>
      <c r="F10" s="266"/>
      <c r="G10" s="266"/>
      <c r="H10" s="266"/>
      <c r="I10" s="266"/>
      <c r="J10" s="266" t="str">
        <f ca="1">OFFSET('Control sheet (hide)'!$AA$3,QUOTIENT(COLUMN(Demand!J9)-4,5),0,1,1)</f>
        <v>Modality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384" t="str">
        <f>"Total"&amp;IF(Setup!$I$17&lt;&gt;"Patients","
(Patients)","")</f>
        <v>Total
(Patients)</v>
      </c>
      <c r="BD10" s="384" t="str">
        <f>"Total
("&amp;Setup!$I$17&amp;")"</f>
        <v>Total
(Points)</v>
      </c>
      <c r="BE10" s="384" t="s">
        <v>111</v>
      </c>
    </row>
    <row r="11" spans="1:57" ht="14.25" customHeight="1" x14ac:dyDescent="0.25">
      <c r="B11" s="385"/>
      <c r="C11" s="385"/>
      <c r="D11" s="384"/>
      <c r="E11" s="6" t="str">
        <f>IF(Setup!$I$17&lt;&gt;"Patients",Setup!$I$17&amp;":","")</f>
        <v>Points:</v>
      </c>
      <c r="F11" s="346">
        <v>2</v>
      </c>
      <c r="G11" s="6"/>
      <c r="H11" s="6"/>
      <c r="I11" s="6"/>
      <c r="J11" s="6" t="str">
        <f>IF(Setup!$I$17&lt;&gt;"Patients",Setup!$I$17&amp;":","")</f>
        <v>Points:</v>
      </c>
      <c r="K11" s="346">
        <v>0</v>
      </c>
      <c r="L11" s="6"/>
      <c r="M11" s="6"/>
      <c r="N11" s="6"/>
      <c r="O11" s="6" t="str">
        <f>IF(Setup!$I$17&lt;&gt;"Patients",Setup!$I$17&amp;":","")</f>
        <v>Points:</v>
      </c>
      <c r="P11" s="346">
        <v>0</v>
      </c>
      <c r="Q11" s="6"/>
      <c r="R11" s="6"/>
      <c r="S11" s="6"/>
      <c r="T11" s="6" t="str">
        <f>IF(Setup!$I$17&lt;&gt;"Patients",Setup!$I$17&amp;":","")</f>
        <v>Points:</v>
      </c>
      <c r="U11" s="346">
        <v>0</v>
      </c>
      <c r="V11" s="6"/>
      <c r="W11" s="6"/>
      <c r="X11" s="6"/>
      <c r="Y11" s="6" t="str">
        <f>IF(Setup!$I$17&lt;&gt;"Patients",Setup!$I$17&amp;":","")</f>
        <v>Points:</v>
      </c>
      <c r="Z11" s="346">
        <v>0</v>
      </c>
      <c r="AA11" s="6"/>
      <c r="AB11" s="6"/>
      <c r="AC11" s="6"/>
      <c r="AD11" s="6" t="str">
        <f>IF(Setup!$I$17&lt;&gt;"Patients",Setup!$I$17&amp;":","")</f>
        <v>Points:</v>
      </c>
      <c r="AE11" s="346">
        <v>0</v>
      </c>
      <c r="AF11" s="6"/>
      <c r="AG11" s="6"/>
      <c r="AH11" s="6"/>
      <c r="AI11" s="6" t="str">
        <f>IF(Setup!$I$17&lt;&gt;"Patients",Setup!$I$17&amp;":","")</f>
        <v>Points:</v>
      </c>
      <c r="AJ11" s="346">
        <v>0</v>
      </c>
      <c r="AK11" s="6"/>
      <c r="AL11" s="6"/>
      <c r="AM11" s="6"/>
      <c r="AN11" s="6" t="str">
        <f>IF(Setup!$I$17&lt;&gt;"Patients",Setup!$I$17&amp;":","")</f>
        <v>Points:</v>
      </c>
      <c r="AO11" s="346">
        <v>0</v>
      </c>
      <c r="AP11" s="6"/>
      <c r="AQ11" s="6"/>
      <c r="AR11" s="6"/>
      <c r="AS11" s="6" t="str">
        <f>IF(Setup!$I$17&lt;&gt;"Patients",Setup!$I$17&amp;":","")</f>
        <v>Points:</v>
      </c>
      <c r="AT11" s="346">
        <v>0</v>
      </c>
      <c r="AU11" s="6"/>
      <c r="AV11" s="6"/>
      <c r="AW11" s="6"/>
      <c r="AX11" s="6" t="str">
        <f>IF(Setup!$I$17&lt;&gt;"Patients",Setup!$I$17&amp;":","")</f>
        <v>Points:</v>
      </c>
      <c r="AY11" s="346">
        <v>0</v>
      </c>
      <c r="AZ11" s="6"/>
      <c r="BA11" s="6"/>
      <c r="BB11" s="6"/>
      <c r="BC11" s="384"/>
      <c r="BD11" s="384"/>
      <c r="BE11" s="384"/>
    </row>
    <row r="12" spans="1:57" ht="14.4" thickBot="1" x14ac:dyDescent="0.3">
      <c r="B12" s="385"/>
      <c r="C12" s="385"/>
      <c r="D12" s="384"/>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4"/>
      <c r="BD12" s="384"/>
      <c r="BE12" s="384"/>
    </row>
    <row r="13" spans="1:57" x14ac:dyDescent="0.25">
      <c r="A13">
        <v>1</v>
      </c>
      <c r="B13" s="259">
        <f>IF(C6&lt;&gt;"",YEAR(D13),1)</f>
        <v>2020</v>
      </c>
      <c r="C13" s="260">
        <f>IF(C$6&lt;&gt;"",WEEKNUM($C$6, 21),1)</f>
        <v>10</v>
      </c>
      <c r="D13" s="452">
        <f>IF($C$6&lt;&gt;"",$C$6-WEEKDAY($C$6,3),"")</f>
        <v>43892</v>
      </c>
      <c r="E13" s="179">
        <v>2641</v>
      </c>
      <c r="F13" s="180"/>
      <c r="G13" s="181"/>
      <c r="H13" s="182"/>
      <c r="I13" s="247">
        <f>IF(COUNTBLANK(E13:H13)=4,"",SUM(E13:G13)+IF(Setup!$I$15="No",0,H13))</f>
        <v>2641</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f>
        <v>2641</v>
      </c>
      <c r="BD13" s="255">
        <f ca="1">IF(AND(A13&lt;=MaxRows,BE13&lt;&gt;"Yes"),'Demand background (hide)'!X4+IF(Setup!$I$15="Yes",'Demand background (hide)'!AJ4,0),"")</f>
        <v>5282</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11</v>
      </c>
      <c r="D14" s="453">
        <f t="shared" ref="D14:D77" ca="1" si="3">IF(OR(AND(ROW(A2)&lt;=MaxRows,$C$6&lt;&gt;""),AND(ROW(A14)&lt;=64,LEFT($C$8,1)&lt;&gt;"H")),D13+7,"")</f>
        <v>43899</v>
      </c>
      <c r="E14" s="183">
        <v>2511</v>
      </c>
      <c r="F14" s="184"/>
      <c r="G14" s="185"/>
      <c r="H14" s="186"/>
      <c r="I14" s="248">
        <f>IF(COUNTBLANK(E14:H14)=4,"",SUM(E14:G14)+IF(Setup!$I$15="No",0,H14))</f>
        <v>2511</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f>
        <v>2511</v>
      </c>
      <c r="BD14" s="256">
        <f ca="1">IF(AND(A14&lt;=MaxRows,BE14&lt;&gt;"Yes"),'Demand background (hide)'!X5+IF(Setup!$I$15="Yes",'Demand background (hide)'!AJ5,0),"")</f>
        <v>5022</v>
      </c>
      <c r="BE14" s="206"/>
    </row>
    <row r="15" spans="1:57" x14ac:dyDescent="0.25">
      <c r="A15">
        <f t="shared" ca="1" si="0"/>
        <v>3</v>
      </c>
      <c r="B15" s="259" t="str">
        <f t="shared" ca="1" si="1"/>
        <v xml:space="preserve"> </v>
      </c>
      <c r="C15" s="261">
        <f t="shared" ca="1" si="2"/>
        <v>12</v>
      </c>
      <c r="D15" s="453">
        <f t="shared" ca="1" si="3"/>
        <v>43906</v>
      </c>
      <c r="E15" s="183">
        <v>1766</v>
      </c>
      <c r="F15" s="184"/>
      <c r="G15" s="185"/>
      <c r="H15" s="186"/>
      <c r="I15" s="248">
        <f>IF(COUNTBLANK(E15:H15)=4,"",SUM(E15:G15)+IF(Setup!$I$15="No",0,H15))</f>
        <v>1766</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f>
        <v>1766</v>
      </c>
      <c r="BD15" s="256">
        <f ca="1">IF(AND(A15&lt;=MaxRows,BE15&lt;&gt;"Yes"),'Demand background (hide)'!X6+IF(Setup!$I$15="Yes",'Demand background (hide)'!AJ6,0),"")</f>
        <v>3532</v>
      </c>
      <c r="BE15" s="206"/>
    </row>
    <row r="16" spans="1:57" x14ac:dyDescent="0.25">
      <c r="A16">
        <f t="shared" ca="1" si="0"/>
        <v>4</v>
      </c>
      <c r="B16" s="259" t="str">
        <f t="shared" ca="1" si="1"/>
        <v xml:space="preserve"> </v>
      </c>
      <c r="C16" s="261">
        <f t="shared" ca="1" si="2"/>
        <v>13</v>
      </c>
      <c r="D16" s="453">
        <f t="shared" ca="1" si="3"/>
        <v>43913</v>
      </c>
      <c r="E16" s="183">
        <v>1126</v>
      </c>
      <c r="F16" s="184"/>
      <c r="G16" s="185"/>
      <c r="H16" s="186"/>
      <c r="I16" s="248">
        <f>IF(COUNTBLANK(E16:H16)=4,"",SUM(E16:G16)+IF(Setup!$I$15="No",0,H16))</f>
        <v>1126</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f>
        <v>1126</v>
      </c>
      <c r="BD16" s="256">
        <f ca="1">IF(AND(A16&lt;=MaxRows,BE16&lt;&gt;"Yes"),'Demand background (hide)'!X7+IF(Setup!$I$15="Yes",'Demand background (hide)'!AJ7,0),"")</f>
        <v>2252</v>
      </c>
      <c r="BE16" s="206"/>
    </row>
    <row r="17" spans="1:57" x14ac:dyDescent="0.25">
      <c r="A17">
        <f t="shared" ca="1" si="0"/>
        <v>5</v>
      </c>
      <c r="B17" s="259" t="str">
        <f t="shared" ca="1" si="1"/>
        <v xml:space="preserve"> </v>
      </c>
      <c r="C17" s="261">
        <f t="shared" ca="1" si="2"/>
        <v>14</v>
      </c>
      <c r="D17" s="453">
        <f t="shared" ca="1" si="3"/>
        <v>43920</v>
      </c>
      <c r="E17" s="183">
        <v>777</v>
      </c>
      <c r="F17" s="184"/>
      <c r="G17" s="185"/>
      <c r="H17" s="186"/>
      <c r="I17" s="248">
        <f>IF(COUNTBLANK(E17:H17)=4,"",SUM(E17:G17)+IF(Setup!$I$15="No",0,H17))</f>
        <v>777</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f>
        <v>777</v>
      </c>
      <c r="BD17" s="256">
        <f ca="1">IF(AND(A17&lt;=MaxRows,BE17&lt;&gt;"Yes"),'Demand background (hide)'!X8+IF(Setup!$I$15="Yes",'Demand background (hide)'!AJ8,0),"")</f>
        <v>1554</v>
      </c>
      <c r="BE17" s="206"/>
    </row>
    <row r="18" spans="1:57" x14ac:dyDescent="0.25">
      <c r="A18">
        <f t="shared" ca="1" si="0"/>
        <v>6</v>
      </c>
      <c r="B18" s="259" t="str">
        <f t="shared" ca="1" si="1"/>
        <v xml:space="preserve"> </v>
      </c>
      <c r="C18" s="261">
        <f t="shared" ca="1" si="2"/>
        <v>15</v>
      </c>
      <c r="D18" s="453">
        <f t="shared" ca="1" si="3"/>
        <v>43927</v>
      </c>
      <c r="E18" s="183">
        <v>628</v>
      </c>
      <c r="F18" s="184"/>
      <c r="G18" s="185"/>
      <c r="H18" s="186"/>
      <c r="I18" s="248">
        <f>IF(COUNTBLANK(E18:H18)=4,"",SUM(E18:G18)+IF(Setup!$I$15="No",0,H18))</f>
        <v>628</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f>
        <v>628</v>
      </c>
      <c r="BD18" s="256">
        <f ca="1">IF(AND(A18&lt;=MaxRows,BE18&lt;&gt;"Yes"),'Demand background (hide)'!X9+IF(Setup!$I$15="Yes",'Demand background (hide)'!AJ9,0),"")</f>
        <v>1256</v>
      </c>
      <c r="BE18" s="206"/>
    </row>
    <row r="19" spans="1:57" x14ac:dyDescent="0.25">
      <c r="A19">
        <f t="shared" ca="1" si="0"/>
        <v>7</v>
      </c>
      <c r="B19" s="259" t="str">
        <f t="shared" ca="1" si="1"/>
        <v xml:space="preserve"> </v>
      </c>
      <c r="C19" s="261">
        <f t="shared" ca="1" si="2"/>
        <v>16</v>
      </c>
      <c r="D19" s="453">
        <f t="shared" ca="1" si="3"/>
        <v>43934</v>
      </c>
      <c r="E19" s="183">
        <v>819</v>
      </c>
      <c r="F19" s="184"/>
      <c r="G19" s="185"/>
      <c r="H19" s="186"/>
      <c r="I19" s="248">
        <f>IF(COUNTBLANK(E19:H19)=4,"",SUM(E19:G19)+IF(Setup!$I$15="No",0,H19))</f>
        <v>819</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f>
        <v>819</v>
      </c>
      <c r="BD19" s="256">
        <f ca="1">IF(AND(A19&lt;=MaxRows,BE19&lt;&gt;"Yes"),'Demand background (hide)'!X10+IF(Setup!$I$15="Yes",'Demand background (hide)'!AJ10,0),"")</f>
        <v>1638</v>
      </c>
      <c r="BE19" s="206"/>
    </row>
    <row r="20" spans="1:57" x14ac:dyDescent="0.25">
      <c r="A20">
        <f t="shared" ca="1" si="0"/>
        <v>8</v>
      </c>
      <c r="B20" s="259" t="str">
        <f t="shared" ca="1" si="1"/>
        <v xml:space="preserve"> </v>
      </c>
      <c r="C20" s="261">
        <f t="shared" ca="1" si="2"/>
        <v>17</v>
      </c>
      <c r="D20" s="453">
        <f t="shared" ca="1" si="3"/>
        <v>43941</v>
      </c>
      <c r="E20" s="183">
        <v>973</v>
      </c>
      <c r="F20" s="184"/>
      <c r="G20" s="185"/>
      <c r="H20" s="186"/>
      <c r="I20" s="248">
        <f>IF(COUNTBLANK(E20:H20)=4,"",SUM(E20:G20)+IF(Setup!$I$15="No",0,H20))</f>
        <v>973</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f>
        <v>973</v>
      </c>
      <c r="BD20" s="256">
        <f ca="1">IF(AND(A20&lt;=MaxRows,BE20&lt;&gt;"Yes"),'Demand background (hide)'!X11+IF(Setup!$I$15="Yes",'Demand background (hide)'!AJ11,0),"")</f>
        <v>1946</v>
      </c>
      <c r="BE20" s="206"/>
    </row>
    <row r="21" spans="1:57" x14ac:dyDescent="0.25">
      <c r="A21">
        <f t="shared" ca="1" si="0"/>
        <v>9</v>
      </c>
      <c r="B21" s="259" t="str">
        <f t="shared" ca="1" si="1"/>
        <v xml:space="preserve"> </v>
      </c>
      <c r="C21" s="261">
        <f t="shared" ca="1" si="2"/>
        <v>18</v>
      </c>
      <c r="D21" s="453">
        <f t="shared" ca="1" si="3"/>
        <v>43948</v>
      </c>
      <c r="E21" s="183">
        <v>1234</v>
      </c>
      <c r="F21" s="184"/>
      <c r="G21" s="185"/>
      <c r="H21" s="186"/>
      <c r="I21" s="248">
        <f>IF(COUNTBLANK(E21:H21)=4,"",SUM(E21:G21)+IF(Setup!$I$15="No",0,H21))</f>
        <v>1234</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f>
        <v>1234</v>
      </c>
      <c r="BD21" s="256">
        <f ca="1">IF(AND(A21&lt;=MaxRows,BE21&lt;&gt;"Yes"),'Demand background (hide)'!X12+IF(Setup!$I$15="Yes",'Demand background (hide)'!AJ12,0),"")</f>
        <v>2468</v>
      </c>
      <c r="BE21" s="206"/>
    </row>
    <row r="22" spans="1:57" x14ac:dyDescent="0.25">
      <c r="A22">
        <f t="shared" ca="1" si="0"/>
        <v>10</v>
      </c>
      <c r="B22" s="259" t="str">
        <f t="shared" ca="1" si="1"/>
        <v xml:space="preserve"> </v>
      </c>
      <c r="C22" s="261">
        <f t="shared" ca="1" si="2"/>
        <v>19</v>
      </c>
      <c r="D22" s="453">
        <f t="shared" ca="1" si="3"/>
        <v>43955</v>
      </c>
      <c r="E22" s="183">
        <v>1149</v>
      </c>
      <c r="F22" s="184"/>
      <c r="G22" s="185"/>
      <c r="H22" s="186"/>
      <c r="I22" s="248">
        <f>IF(COUNTBLANK(E22:H22)=4,"",SUM(E22:G22)+IF(Setup!$I$15="No",0,H22))</f>
        <v>1149</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f>
        <v>1149</v>
      </c>
      <c r="BD22" s="256">
        <f ca="1">IF(AND(A22&lt;=MaxRows,BE22&lt;&gt;"Yes"),'Demand background (hide)'!X13+IF(Setup!$I$15="Yes",'Demand background (hide)'!AJ13,0),"")</f>
        <v>2298</v>
      </c>
      <c r="BE22" s="206"/>
    </row>
    <row r="23" spans="1:57" x14ac:dyDescent="0.25">
      <c r="A23">
        <f t="shared" ca="1" si="0"/>
        <v>11</v>
      </c>
      <c r="B23" s="259" t="str">
        <f t="shared" ca="1" si="1"/>
        <v xml:space="preserve"> </v>
      </c>
      <c r="C23" s="261">
        <f t="shared" ca="1" si="2"/>
        <v>20</v>
      </c>
      <c r="D23" s="453">
        <f t="shared" ca="1" si="3"/>
        <v>43962</v>
      </c>
      <c r="E23" s="183">
        <v>1373</v>
      </c>
      <c r="F23" s="184"/>
      <c r="G23" s="185"/>
      <c r="H23" s="186"/>
      <c r="I23" s="248">
        <f>IF(COUNTBLANK(E23:H23)=4,"",SUM(E23:G23)+IF(Setup!$I$15="No",0,H23))</f>
        <v>1373</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f>
        <v>1373</v>
      </c>
      <c r="BD23" s="256">
        <f ca="1">IF(AND(A23&lt;=MaxRows,BE23&lt;&gt;"Yes"),'Demand background (hide)'!X14+IF(Setup!$I$15="Yes",'Demand background (hide)'!AJ14,0),"")</f>
        <v>2746</v>
      </c>
      <c r="BE23" s="206"/>
    </row>
    <row r="24" spans="1:57" x14ac:dyDescent="0.25">
      <c r="A24">
        <f t="shared" ca="1" si="0"/>
        <v>12</v>
      </c>
      <c r="B24" s="259" t="str">
        <f t="shared" ca="1" si="1"/>
        <v xml:space="preserve"> </v>
      </c>
      <c r="C24" s="261">
        <f t="shared" ca="1" si="2"/>
        <v>21</v>
      </c>
      <c r="D24" s="453">
        <f t="shared" ca="1" si="3"/>
        <v>43969</v>
      </c>
      <c r="E24" s="183">
        <v>1406</v>
      </c>
      <c r="F24" s="184"/>
      <c r="G24" s="185"/>
      <c r="H24" s="186"/>
      <c r="I24" s="248">
        <f>IF(COUNTBLANK(E24:H24)=4,"",SUM(E24:G24)+IF(Setup!$I$15="No",0,H24))</f>
        <v>1406</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f>
        <v>1406</v>
      </c>
      <c r="BD24" s="256">
        <f ca="1">IF(AND(A24&lt;=MaxRows,BE24&lt;&gt;"Yes"),'Demand background (hide)'!X15+IF(Setup!$I$15="Yes",'Demand background (hide)'!AJ15,0),"")</f>
        <v>2812</v>
      </c>
      <c r="BE24" s="206"/>
    </row>
    <row r="25" spans="1:57" x14ac:dyDescent="0.25">
      <c r="A25">
        <f t="shared" ca="1" si="0"/>
        <v>13</v>
      </c>
      <c r="B25" s="259" t="str">
        <f t="shared" ca="1" si="1"/>
        <v xml:space="preserve"> </v>
      </c>
      <c r="C25" s="261">
        <f t="shared" ca="1" si="2"/>
        <v>22</v>
      </c>
      <c r="D25" s="453">
        <f t="shared" ca="1" si="3"/>
        <v>43976</v>
      </c>
      <c r="E25" s="183">
        <v>1293</v>
      </c>
      <c r="F25" s="184"/>
      <c r="G25" s="185"/>
      <c r="H25" s="186"/>
      <c r="I25" s="248">
        <f>IF(COUNTBLANK(E25:H25)=4,"",SUM(E25:G25)+IF(Setup!$I$15="No",0,H25))</f>
        <v>1293</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f>
        <v>1293</v>
      </c>
      <c r="BD25" s="256">
        <f ca="1">IF(AND(A25&lt;=MaxRows,BE25&lt;&gt;"Yes"),'Demand background (hide)'!X16+IF(Setup!$I$15="Yes",'Demand background (hide)'!AJ16,0),"")</f>
        <v>2586</v>
      </c>
      <c r="BE25" s="206"/>
    </row>
    <row r="26" spans="1:57" x14ac:dyDescent="0.25">
      <c r="A26">
        <f t="shared" ca="1" si="0"/>
        <v>14</v>
      </c>
      <c r="B26" s="259" t="str">
        <f t="shared" ca="1" si="1"/>
        <v xml:space="preserve"> </v>
      </c>
      <c r="C26" s="261">
        <f t="shared" ca="1" si="2"/>
        <v>23</v>
      </c>
      <c r="D26" s="453">
        <f t="shared" ca="1" si="3"/>
        <v>43983</v>
      </c>
      <c r="E26" s="183">
        <v>1563</v>
      </c>
      <c r="F26" s="184"/>
      <c r="G26" s="185"/>
      <c r="H26" s="186"/>
      <c r="I26" s="248">
        <f>IF(COUNTBLANK(E26:H26)=4,"",SUM(E26:G26)+IF(Setup!$I$15="No",0,H26))</f>
        <v>1563</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f>
        <v>1563</v>
      </c>
      <c r="BD26" s="256">
        <f ca="1">IF(AND(A26&lt;=MaxRows,BE26&lt;&gt;"Yes"),'Demand background (hide)'!X17+IF(Setup!$I$15="Yes",'Demand background (hide)'!AJ17,0),"")</f>
        <v>3126</v>
      </c>
      <c r="BE26" s="206"/>
    </row>
    <row r="27" spans="1:57" x14ac:dyDescent="0.25">
      <c r="A27">
        <f t="shared" ca="1" si="0"/>
        <v>15</v>
      </c>
      <c r="B27" s="259" t="str">
        <f t="shared" ca="1" si="1"/>
        <v xml:space="preserve"> </v>
      </c>
      <c r="C27" s="261">
        <f t="shared" ca="1" si="2"/>
        <v>24</v>
      </c>
      <c r="D27" s="453">
        <f t="shared" ca="1" si="3"/>
        <v>43990</v>
      </c>
      <c r="E27" s="183">
        <v>1733</v>
      </c>
      <c r="F27" s="184"/>
      <c r="G27" s="185"/>
      <c r="H27" s="186"/>
      <c r="I27" s="248">
        <f>IF(COUNTBLANK(E27:H27)=4,"",SUM(E27:G27)+IF(Setup!$I$15="No",0,H27))</f>
        <v>1733</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f>
        <v>1733</v>
      </c>
      <c r="BD27" s="256">
        <f ca="1">IF(AND(A27&lt;=MaxRows,BE27&lt;&gt;"Yes"),'Demand background (hide)'!X18+IF(Setup!$I$15="Yes",'Demand background (hide)'!AJ18,0),"")</f>
        <v>3466</v>
      </c>
      <c r="BE27" s="206"/>
    </row>
    <row r="28" spans="1:57" x14ac:dyDescent="0.25">
      <c r="A28">
        <f t="shared" ca="1" si="0"/>
        <v>16</v>
      </c>
      <c r="B28" s="259" t="str">
        <f t="shared" ca="1" si="1"/>
        <v xml:space="preserve"> </v>
      </c>
      <c r="C28" s="261">
        <f t="shared" ca="1" si="2"/>
        <v>25</v>
      </c>
      <c r="D28" s="453">
        <f t="shared" ca="1" si="3"/>
        <v>43997</v>
      </c>
      <c r="E28" s="183">
        <v>1664</v>
      </c>
      <c r="F28" s="184"/>
      <c r="G28" s="185"/>
      <c r="H28" s="186"/>
      <c r="I28" s="248">
        <f>IF(COUNTBLANK(E28:H28)=4,"",SUM(E28:G28)+IF(Setup!$I$15="No",0,H28))</f>
        <v>1664</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f>
        <v>1664</v>
      </c>
      <c r="BD28" s="256">
        <f ca="1">IF(AND(A28&lt;=MaxRows,BE28&lt;&gt;"Yes"),'Demand background (hide)'!X19+IF(Setup!$I$15="Yes",'Demand background (hide)'!AJ19,0),"")</f>
        <v>3328</v>
      </c>
      <c r="BE28" s="206"/>
    </row>
    <row r="29" spans="1:57" x14ac:dyDescent="0.25">
      <c r="A29" t="str">
        <f t="shared" ca="1" si="0"/>
        <v/>
      </c>
      <c r="B29" s="259" t="str">
        <f t="shared" ca="1" si="1"/>
        <v xml:space="preserve"> </v>
      </c>
      <c r="C29" s="261" t="str">
        <f t="shared" ca="1" si="2"/>
        <v/>
      </c>
      <c r="D29" s="453"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x14ac:dyDescent="0.25">
      <c r="A30" t="str">
        <f t="shared" ca="1" si="0"/>
        <v/>
      </c>
      <c r="B30" s="259" t="str">
        <f t="shared" ca="1" si="1"/>
        <v xml:space="preserve"> </v>
      </c>
      <c r="C30" s="261" t="str">
        <f t="shared" ca="1" si="2"/>
        <v/>
      </c>
      <c r="D30" s="453"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x14ac:dyDescent="0.25">
      <c r="A31" t="str">
        <f t="shared" ca="1" si="0"/>
        <v/>
      </c>
      <c r="B31" s="259" t="str">
        <f t="shared" ca="1" si="1"/>
        <v xml:space="preserve"> </v>
      </c>
      <c r="C31" s="261" t="str">
        <f t="shared" ca="1" si="2"/>
        <v/>
      </c>
      <c r="D31" s="453"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x14ac:dyDescent="0.25">
      <c r="A32" t="str">
        <f t="shared" ca="1" si="0"/>
        <v/>
      </c>
      <c r="B32" s="259" t="str">
        <f t="shared" ca="1" si="1"/>
        <v xml:space="preserve"> </v>
      </c>
      <c r="C32" s="261" t="str">
        <f t="shared" ca="1" si="2"/>
        <v/>
      </c>
      <c r="D32" s="453"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x14ac:dyDescent="0.25">
      <c r="A33" t="str">
        <f t="shared" ca="1" si="0"/>
        <v/>
      </c>
      <c r="B33" s="259" t="str">
        <f t="shared" ca="1" si="1"/>
        <v xml:space="preserve"> </v>
      </c>
      <c r="C33" s="261" t="str">
        <f t="shared" ca="1" si="2"/>
        <v/>
      </c>
      <c r="D33" s="453"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x14ac:dyDescent="0.25">
      <c r="A34" t="str">
        <f t="shared" ca="1" si="0"/>
        <v/>
      </c>
      <c r="B34" s="259" t="str">
        <f t="shared" ca="1" si="1"/>
        <v xml:space="preserve"> </v>
      </c>
      <c r="C34" s="261" t="str">
        <f t="shared" ca="1" si="2"/>
        <v/>
      </c>
      <c r="D34" s="453"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x14ac:dyDescent="0.25">
      <c r="A35" t="str">
        <f t="shared" ca="1" si="0"/>
        <v/>
      </c>
      <c r="B35" s="259" t="str">
        <f t="shared" ca="1" si="1"/>
        <v xml:space="preserve"> </v>
      </c>
      <c r="C35" s="261" t="str">
        <f t="shared" ca="1" si="2"/>
        <v/>
      </c>
      <c r="D35" s="453"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x14ac:dyDescent="0.25">
      <c r="A36" t="str">
        <f t="shared" ca="1" si="0"/>
        <v/>
      </c>
      <c r="B36" s="259" t="str">
        <f t="shared" ca="1" si="1"/>
        <v xml:space="preserve"> </v>
      </c>
      <c r="C36" s="261" t="str">
        <f t="shared" ca="1" si="2"/>
        <v/>
      </c>
      <c r="D36" s="453"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x14ac:dyDescent="0.25">
      <c r="A37" t="str">
        <f t="shared" ca="1" si="0"/>
        <v/>
      </c>
      <c r="B37" s="259" t="str">
        <f t="shared" ca="1" si="1"/>
        <v xml:space="preserve"> </v>
      </c>
      <c r="C37" s="261" t="str">
        <f t="shared" ca="1" si="2"/>
        <v/>
      </c>
      <c r="D37" s="453"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x14ac:dyDescent="0.25">
      <c r="A38" t="str">
        <f t="shared" ca="1" si="0"/>
        <v/>
      </c>
      <c r="B38" s="259" t="str">
        <f t="shared" ca="1" si="1"/>
        <v xml:space="preserve"> </v>
      </c>
      <c r="C38" s="261" t="str">
        <f t="shared" ca="1" si="2"/>
        <v/>
      </c>
      <c r="D38" s="453"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x14ac:dyDescent="0.25">
      <c r="A39" t="str">
        <f t="shared" ca="1" si="0"/>
        <v/>
      </c>
      <c r="B39" s="259" t="str">
        <f t="shared" ca="1" si="1"/>
        <v xml:space="preserve"> </v>
      </c>
      <c r="C39" s="261" t="str">
        <f t="shared" ca="1" si="2"/>
        <v/>
      </c>
      <c r="D39" s="453"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x14ac:dyDescent="0.25">
      <c r="A40" t="str">
        <f t="shared" ca="1" si="0"/>
        <v/>
      </c>
      <c r="B40" s="259" t="str">
        <f t="shared" ca="1" si="1"/>
        <v xml:space="preserve"> </v>
      </c>
      <c r="C40" s="261" t="str">
        <f t="shared" ca="1" si="2"/>
        <v/>
      </c>
      <c r="D40" s="453"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x14ac:dyDescent="0.25">
      <c r="A41" t="str">
        <f t="shared" ca="1" si="0"/>
        <v/>
      </c>
      <c r="B41" s="259" t="str">
        <f t="shared" ca="1" si="1"/>
        <v xml:space="preserve"> </v>
      </c>
      <c r="C41" s="261" t="str">
        <f t="shared" ca="1" si="2"/>
        <v/>
      </c>
      <c r="D41" s="453"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x14ac:dyDescent="0.25">
      <c r="A42" t="str">
        <f t="shared" ca="1" si="0"/>
        <v/>
      </c>
      <c r="B42" s="259" t="str">
        <f t="shared" ca="1" si="1"/>
        <v xml:space="preserve"> </v>
      </c>
      <c r="C42" s="261" t="str">
        <f t="shared" ca="1" si="2"/>
        <v/>
      </c>
      <c r="D42" s="453"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x14ac:dyDescent="0.25">
      <c r="A43" t="str">
        <f t="shared" ca="1" si="0"/>
        <v/>
      </c>
      <c r="B43" s="259" t="str">
        <f t="shared" ca="1" si="1"/>
        <v xml:space="preserve"> </v>
      </c>
      <c r="C43" s="261" t="str">
        <f t="shared" ca="1" si="2"/>
        <v/>
      </c>
      <c r="D43" s="453"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x14ac:dyDescent="0.25">
      <c r="A44" t="str">
        <f t="shared" ca="1" si="0"/>
        <v/>
      </c>
      <c r="B44" s="259" t="str">
        <f t="shared" ca="1" si="1"/>
        <v xml:space="preserve"> </v>
      </c>
      <c r="C44" s="261" t="str">
        <f t="shared" ca="1" si="2"/>
        <v/>
      </c>
      <c r="D44" s="453"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x14ac:dyDescent="0.25">
      <c r="A45" t="str">
        <f t="shared" ca="1" si="0"/>
        <v/>
      </c>
      <c r="B45" s="259" t="str">
        <f t="shared" ca="1" si="1"/>
        <v xml:space="preserve"> </v>
      </c>
      <c r="C45" s="261" t="str">
        <f t="shared" ca="1" si="2"/>
        <v/>
      </c>
      <c r="D45" s="453"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x14ac:dyDescent="0.25">
      <c r="A46" t="str">
        <f t="shared" ca="1" si="0"/>
        <v/>
      </c>
      <c r="B46" s="259" t="str">
        <f t="shared" ca="1" si="1"/>
        <v xml:space="preserve"> </v>
      </c>
      <c r="C46" s="261" t="str">
        <f t="shared" ca="1" si="2"/>
        <v/>
      </c>
      <c r="D46" s="453"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x14ac:dyDescent="0.25">
      <c r="A47" t="str">
        <f t="shared" ca="1" si="0"/>
        <v/>
      </c>
      <c r="B47" s="259" t="str">
        <f t="shared" ca="1" si="1"/>
        <v xml:space="preserve"> </v>
      </c>
      <c r="C47" s="261" t="str">
        <f t="shared" ca="1" si="2"/>
        <v/>
      </c>
      <c r="D47" s="453"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x14ac:dyDescent="0.25">
      <c r="A48" t="str">
        <f t="shared" ca="1" si="0"/>
        <v/>
      </c>
      <c r="B48" s="259" t="str">
        <f t="shared" ca="1" si="1"/>
        <v xml:space="preserve"> </v>
      </c>
      <c r="C48" s="261" t="str">
        <f t="shared" ca="1" si="2"/>
        <v/>
      </c>
      <c r="D48" s="453"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x14ac:dyDescent="0.25">
      <c r="A49" t="str">
        <f t="shared" ca="1" si="0"/>
        <v/>
      </c>
      <c r="B49" s="259" t="str">
        <f t="shared" ca="1" si="1"/>
        <v xml:space="preserve"> </v>
      </c>
      <c r="C49" s="261" t="str">
        <f t="shared" ca="1" si="2"/>
        <v/>
      </c>
      <c r="D49" s="453"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x14ac:dyDescent="0.25">
      <c r="A50" t="str">
        <f t="shared" ca="1" si="0"/>
        <v/>
      </c>
      <c r="B50" s="259" t="str">
        <f t="shared" ca="1" si="1"/>
        <v xml:space="preserve"> </v>
      </c>
      <c r="C50" s="261" t="str">
        <f t="shared" ca="1" si="2"/>
        <v/>
      </c>
      <c r="D50" s="453"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x14ac:dyDescent="0.25">
      <c r="A51" t="str">
        <f t="shared" ca="1" si="0"/>
        <v/>
      </c>
      <c r="B51" s="259" t="str">
        <f t="shared" ca="1" si="1"/>
        <v xml:space="preserve"> </v>
      </c>
      <c r="C51" s="261" t="str">
        <f t="shared" ca="1" si="2"/>
        <v/>
      </c>
      <c r="D51" s="453"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x14ac:dyDescent="0.25">
      <c r="A52" t="str">
        <f t="shared" ca="1" si="0"/>
        <v/>
      </c>
      <c r="B52" s="259" t="str">
        <f t="shared" ca="1" si="1"/>
        <v xml:space="preserve"> </v>
      </c>
      <c r="C52" s="261" t="str">
        <f t="shared" ca="1" si="2"/>
        <v/>
      </c>
      <c r="D52" s="453"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x14ac:dyDescent="0.25">
      <c r="A53" t="str">
        <f t="shared" ca="1" si="0"/>
        <v/>
      </c>
      <c r="B53" s="259" t="str">
        <f t="shared" ca="1" si="1"/>
        <v xml:space="preserve"> </v>
      </c>
      <c r="C53" s="261" t="str">
        <f t="shared" ca="1" si="2"/>
        <v/>
      </c>
      <c r="D53" s="453"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x14ac:dyDescent="0.25">
      <c r="A54" t="str">
        <f t="shared" ca="1" si="0"/>
        <v/>
      </c>
      <c r="B54" s="259" t="str">
        <f t="shared" ca="1" si="1"/>
        <v xml:space="preserve"> </v>
      </c>
      <c r="C54" s="261" t="str">
        <f t="shared" ca="1" si="2"/>
        <v/>
      </c>
      <c r="D54" s="453"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x14ac:dyDescent="0.25">
      <c r="A55" t="str">
        <f t="shared" ca="1" si="0"/>
        <v/>
      </c>
      <c r="B55" s="259" t="str">
        <f t="shared" ca="1" si="1"/>
        <v xml:space="preserve"> </v>
      </c>
      <c r="C55" s="261" t="str">
        <f t="shared" ca="1" si="2"/>
        <v/>
      </c>
      <c r="D55" s="453"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x14ac:dyDescent="0.25">
      <c r="A56" t="str">
        <f t="shared" ca="1" si="0"/>
        <v/>
      </c>
      <c r="B56" s="259" t="str">
        <f t="shared" ca="1" si="1"/>
        <v xml:space="preserve"> </v>
      </c>
      <c r="C56" s="261" t="str">
        <f t="shared" ca="1" si="2"/>
        <v/>
      </c>
      <c r="D56" s="453"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x14ac:dyDescent="0.25">
      <c r="A57" t="str">
        <f t="shared" ca="1" si="0"/>
        <v/>
      </c>
      <c r="B57" s="259" t="str">
        <f t="shared" ca="1" si="1"/>
        <v xml:space="preserve"> </v>
      </c>
      <c r="C57" s="261" t="str">
        <f t="shared" ca="1" si="2"/>
        <v/>
      </c>
      <c r="D57" s="453"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x14ac:dyDescent="0.25">
      <c r="A58" t="str">
        <f t="shared" ca="1" si="0"/>
        <v/>
      </c>
      <c r="B58" s="259" t="str">
        <f t="shared" ca="1" si="1"/>
        <v xml:space="preserve"> </v>
      </c>
      <c r="C58" s="261" t="str">
        <f t="shared" ca="1" si="2"/>
        <v/>
      </c>
      <c r="D58" s="453"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x14ac:dyDescent="0.25">
      <c r="A59" t="str">
        <f t="shared" ca="1" si="0"/>
        <v/>
      </c>
      <c r="B59" s="259" t="str">
        <f t="shared" ca="1" si="1"/>
        <v xml:space="preserve"> </v>
      </c>
      <c r="C59" s="261" t="str">
        <f t="shared" ca="1" si="2"/>
        <v/>
      </c>
      <c r="D59" s="453"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x14ac:dyDescent="0.25">
      <c r="A60" t="str">
        <f t="shared" ca="1" si="0"/>
        <v/>
      </c>
      <c r="B60" s="259" t="str">
        <f t="shared" ca="1" si="1"/>
        <v xml:space="preserve"> </v>
      </c>
      <c r="C60" s="261" t="str">
        <f t="shared" ca="1" si="2"/>
        <v/>
      </c>
      <c r="D60" s="453"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x14ac:dyDescent="0.25">
      <c r="A61" t="str">
        <f t="shared" ca="1" si="0"/>
        <v/>
      </c>
      <c r="B61" s="259" t="str">
        <f t="shared" ca="1" si="1"/>
        <v xml:space="preserve"> </v>
      </c>
      <c r="C61" s="261" t="str">
        <f t="shared" ca="1" si="2"/>
        <v/>
      </c>
      <c r="D61" s="453"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x14ac:dyDescent="0.25">
      <c r="A62" t="str">
        <f t="shared" ca="1" si="0"/>
        <v/>
      </c>
      <c r="B62" s="259" t="str">
        <f t="shared" ca="1" si="1"/>
        <v xml:space="preserve"> </v>
      </c>
      <c r="C62" s="261" t="str">
        <f t="shared" ca="1" si="2"/>
        <v/>
      </c>
      <c r="D62" s="453"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x14ac:dyDescent="0.25">
      <c r="A63" t="str">
        <f t="shared" ca="1" si="0"/>
        <v/>
      </c>
      <c r="B63" s="259" t="str">
        <f t="shared" ca="1" si="1"/>
        <v xml:space="preserve"> </v>
      </c>
      <c r="C63" s="261" t="str">
        <f t="shared" ca="1" si="2"/>
        <v/>
      </c>
      <c r="D63" s="453"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4.4" thickBot="1" x14ac:dyDescent="0.3">
      <c r="A64" t="str">
        <f t="shared" ca="1" si="0"/>
        <v/>
      </c>
      <c r="B64" s="259" t="str">
        <f t="shared" ca="1" si="1"/>
        <v xml:space="preserve"> </v>
      </c>
      <c r="C64" s="262" t="str">
        <f t="shared" ca="1" si="2"/>
        <v/>
      </c>
      <c r="D64" s="454"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x14ac:dyDescent="0.25">
      <c r="A65" t="str">
        <f t="shared" ca="1" si="0"/>
        <v/>
      </c>
      <c r="B65" s="263" t="str">
        <f t="shared" ca="1" si="1"/>
        <v xml:space="preserve"> </v>
      </c>
      <c r="C65" s="264" t="str">
        <f t="shared" ca="1" si="2"/>
        <v/>
      </c>
      <c r="D65" s="455"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x14ac:dyDescent="0.25">
      <c r="A66" t="str">
        <f t="shared" ca="1" si="0"/>
        <v/>
      </c>
      <c r="B66" s="263" t="str">
        <f t="shared" ca="1" si="1"/>
        <v xml:space="preserve"> </v>
      </c>
      <c r="C66" s="264" t="str">
        <f t="shared" ca="1" si="2"/>
        <v/>
      </c>
      <c r="D66" s="455"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x14ac:dyDescent="0.25">
      <c r="A67" t="str">
        <f t="shared" ca="1" si="0"/>
        <v/>
      </c>
      <c r="B67" s="263" t="str">
        <f t="shared" ca="1" si="1"/>
        <v xml:space="preserve"> </v>
      </c>
      <c r="C67" s="264" t="str">
        <f t="shared" ca="1" si="2"/>
        <v/>
      </c>
      <c r="D67" s="455"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x14ac:dyDescent="0.25">
      <c r="A68" t="str">
        <f t="shared" ca="1" si="0"/>
        <v/>
      </c>
      <c r="B68" s="263" t="str">
        <f t="shared" ca="1" si="1"/>
        <v xml:space="preserve"> </v>
      </c>
      <c r="C68" s="264" t="str">
        <f t="shared" ca="1" si="2"/>
        <v/>
      </c>
      <c r="D68" s="455"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x14ac:dyDescent="0.25">
      <c r="A69" t="str">
        <f t="shared" ca="1" si="0"/>
        <v/>
      </c>
      <c r="B69" s="263" t="str">
        <f t="shared" ca="1" si="1"/>
        <v xml:space="preserve"> </v>
      </c>
      <c r="C69" s="264" t="str">
        <f t="shared" ca="1" si="2"/>
        <v/>
      </c>
      <c r="D69" s="455"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x14ac:dyDescent="0.25">
      <c r="A70" t="str">
        <f t="shared" ca="1" si="0"/>
        <v/>
      </c>
      <c r="B70" s="263" t="str">
        <f t="shared" ca="1" si="1"/>
        <v xml:space="preserve"> </v>
      </c>
      <c r="C70" s="264" t="str">
        <f t="shared" ca="1" si="2"/>
        <v/>
      </c>
      <c r="D70" s="455"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x14ac:dyDescent="0.25">
      <c r="A71" t="str">
        <f t="shared" ca="1" si="0"/>
        <v/>
      </c>
      <c r="B71" s="263" t="str">
        <f t="shared" ca="1" si="1"/>
        <v xml:space="preserve"> </v>
      </c>
      <c r="C71" s="264" t="str">
        <f t="shared" ca="1" si="2"/>
        <v/>
      </c>
      <c r="D71" s="455"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x14ac:dyDescent="0.25">
      <c r="A72" t="str">
        <f t="shared" ca="1" si="0"/>
        <v/>
      </c>
      <c r="B72" s="263" t="str">
        <f t="shared" ca="1" si="1"/>
        <v xml:space="preserve"> </v>
      </c>
      <c r="C72" s="264" t="str">
        <f t="shared" ca="1" si="2"/>
        <v/>
      </c>
      <c r="D72" s="455"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x14ac:dyDescent="0.25">
      <c r="A73" t="str">
        <f t="shared" ca="1" si="0"/>
        <v/>
      </c>
      <c r="B73" s="263" t="str">
        <f t="shared" ca="1" si="1"/>
        <v xml:space="preserve"> </v>
      </c>
      <c r="C73" s="264" t="str">
        <f t="shared" ca="1" si="2"/>
        <v/>
      </c>
      <c r="D73" s="455"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x14ac:dyDescent="0.25">
      <c r="A74" t="str">
        <f t="shared" ca="1" si="0"/>
        <v/>
      </c>
      <c r="B74" s="263" t="str">
        <f t="shared" ca="1" si="1"/>
        <v xml:space="preserve"> </v>
      </c>
      <c r="C74" s="264" t="str">
        <f t="shared" ca="1" si="2"/>
        <v/>
      </c>
      <c r="D74" s="455"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x14ac:dyDescent="0.25">
      <c r="A75" t="str">
        <f t="shared" ca="1" si="0"/>
        <v/>
      </c>
      <c r="B75" s="263" t="str">
        <f t="shared" ca="1" si="1"/>
        <v xml:space="preserve"> </v>
      </c>
      <c r="C75" s="264" t="str">
        <f t="shared" ca="1" si="2"/>
        <v/>
      </c>
      <c r="D75" s="455"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x14ac:dyDescent="0.25">
      <c r="A76" t="str">
        <f t="shared" ca="1" si="0"/>
        <v/>
      </c>
      <c r="B76" s="263" t="str">
        <f t="shared" ca="1" si="1"/>
        <v xml:space="preserve"> </v>
      </c>
      <c r="C76" s="264" t="str">
        <f t="shared" ca="1" si="2"/>
        <v/>
      </c>
      <c r="D76" s="455"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x14ac:dyDescent="0.25">
      <c r="A77" t="str">
        <f t="shared" ref="A77:A140" ca="1" si="4">IF(BC77&lt;&gt;"",ROW(A65),"")</f>
        <v/>
      </c>
      <c r="B77" s="263" t="str">
        <f t="shared" ca="1" si="1"/>
        <v xml:space="preserve"> </v>
      </c>
      <c r="C77" s="264" t="str">
        <f t="shared" ca="1" si="2"/>
        <v/>
      </c>
      <c r="D77" s="455"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455"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x14ac:dyDescent="0.25">
      <c r="A79" t="str">
        <f t="shared" ca="1" si="4"/>
        <v/>
      </c>
      <c r="B79" s="263" t="str">
        <f t="shared" ca="1" si="5"/>
        <v xml:space="preserve"> </v>
      </c>
      <c r="C79" s="264" t="str">
        <f t="shared" ca="1" si="6"/>
        <v/>
      </c>
      <c r="D79" s="455"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x14ac:dyDescent="0.25">
      <c r="A80" t="str">
        <f t="shared" ca="1" si="4"/>
        <v/>
      </c>
      <c r="B80" s="263" t="str">
        <f t="shared" ca="1" si="5"/>
        <v xml:space="preserve"> </v>
      </c>
      <c r="C80" s="264" t="str">
        <f t="shared" ca="1" si="6"/>
        <v/>
      </c>
      <c r="D80" s="455"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x14ac:dyDescent="0.25">
      <c r="A81" t="str">
        <f t="shared" ca="1" si="4"/>
        <v/>
      </c>
      <c r="B81" s="263" t="str">
        <f t="shared" ca="1" si="5"/>
        <v xml:space="preserve"> </v>
      </c>
      <c r="C81" s="264" t="str">
        <f t="shared" ca="1" si="6"/>
        <v/>
      </c>
      <c r="D81" s="455"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x14ac:dyDescent="0.25">
      <c r="A82" t="str">
        <f t="shared" ca="1" si="4"/>
        <v/>
      </c>
      <c r="B82" s="263" t="str">
        <f t="shared" ca="1" si="5"/>
        <v xml:space="preserve"> </v>
      </c>
      <c r="C82" s="264" t="str">
        <f t="shared" ca="1" si="6"/>
        <v/>
      </c>
      <c r="D82" s="455"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x14ac:dyDescent="0.25">
      <c r="A83" t="str">
        <f t="shared" ca="1" si="4"/>
        <v/>
      </c>
      <c r="B83" s="263" t="str">
        <f t="shared" ca="1" si="5"/>
        <v xml:space="preserve"> </v>
      </c>
      <c r="C83" s="264" t="str">
        <f t="shared" ca="1" si="6"/>
        <v/>
      </c>
      <c r="D83" s="455"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x14ac:dyDescent="0.25">
      <c r="A84" t="str">
        <f t="shared" ca="1" si="4"/>
        <v/>
      </c>
      <c r="B84" s="263" t="str">
        <f t="shared" ca="1" si="5"/>
        <v xml:space="preserve"> </v>
      </c>
      <c r="C84" s="264" t="str">
        <f t="shared" ca="1" si="6"/>
        <v/>
      </c>
      <c r="D84" s="455"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x14ac:dyDescent="0.25">
      <c r="A85" t="str">
        <f t="shared" ca="1" si="4"/>
        <v/>
      </c>
      <c r="B85" s="263" t="str">
        <f t="shared" ca="1" si="5"/>
        <v xml:space="preserve"> </v>
      </c>
      <c r="C85" s="264" t="str">
        <f t="shared" ca="1" si="6"/>
        <v/>
      </c>
      <c r="D85" s="455"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x14ac:dyDescent="0.25">
      <c r="A86" t="str">
        <f t="shared" ca="1" si="4"/>
        <v/>
      </c>
      <c r="B86" s="263" t="str">
        <f t="shared" ca="1" si="5"/>
        <v xml:space="preserve"> </v>
      </c>
      <c r="C86" s="264" t="str">
        <f t="shared" ca="1" si="6"/>
        <v/>
      </c>
      <c r="D86" s="455"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x14ac:dyDescent="0.25">
      <c r="A87" t="str">
        <f t="shared" ca="1" si="4"/>
        <v/>
      </c>
      <c r="B87" s="263" t="str">
        <f t="shared" ca="1" si="5"/>
        <v xml:space="preserve"> </v>
      </c>
      <c r="C87" s="264" t="str">
        <f t="shared" ca="1" si="6"/>
        <v/>
      </c>
      <c r="D87" s="455"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x14ac:dyDescent="0.25">
      <c r="A88" t="str">
        <f t="shared" ca="1" si="4"/>
        <v/>
      </c>
      <c r="B88" s="263" t="str">
        <f t="shared" ca="1" si="5"/>
        <v xml:space="preserve"> </v>
      </c>
      <c r="C88" s="264" t="str">
        <f t="shared" ca="1" si="6"/>
        <v/>
      </c>
      <c r="D88" s="455"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x14ac:dyDescent="0.25">
      <c r="A89" t="str">
        <f t="shared" ca="1" si="4"/>
        <v/>
      </c>
      <c r="B89" s="263" t="str">
        <f t="shared" ca="1" si="5"/>
        <v xml:space="preserve"> </v>
      </c>
      <c r="C89" s="264" t="str">
        <f t="shared" ca="1" si="6"/>
        <v/>
      </c>
      <c r="D89" s="455"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x14ac:dyDescent="0.25">
      <c r="A90" t="str">
        <f t="shared" ca="1" si="4"/>
        <v/>
      </c>
      <c r="B90" s="263" t="str">
        <f t="shared" ca="1" si="5"/>
        <v xml:space="preserve"> </v>
      </c>
      <c r="C90" s="264" t="str">
        <f t="shared" ca="1" si="6"/>
        <v/>
      </c>
      <c r="D90" s="455"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x14ac:dyDescent="0.25">
      <c r="A91" t="str">
        <f t="shared" ca="1" si="4"/>
        <v/>
      </c>
      <c r="B91" s="263" t="str">
        <f t="shared" ca="1" si="5"/>
        <v xml:space="preserve"> </v>
      </c>
      <c r="C91" s="264" t="str">
        <f t="shared" ca="1" si="6"/>
        <v/>
      </c>
      <c r="D91" s="455"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x14ac:dyDescent="0.25">
      <c r="A92" t="str">
        <f t="shared" ca="1" si="4"/>
        <v/>
      </c>
      <c r="B92" s="263" t="str">
        <f t="shared" ca="1" si="5"/>
        <v xml:space="preserve"> </v>
      </c>
      <c r="C92" s="264" t="str">
        <f t="shared" ca="1" si="6"/>
        <v/>
      </c>
      <c r="D92" s="455"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x14ac:dyDescent="0.25">
      <c r="A93" t="str">
        <f t="shared" ca="1" si="4"/>
        <v/>
      </c>
      <c r="B93" s="263" t="str">
        <f t="shared" ca="1" si="5"/>
        <v xml:space="preserve"> </v>
      </c>
      <c r="C93" s="264" t="str">
        <f t="shared" ca="1" si="6"/>
        <v/>
      </c>
      <c r="D93" s="455"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x14ac:dyDescent="0.25">
      <c r="A94" t="str">
        <f t="shared" ca="1" si="4"/>
        <v/>
      </c>
      <c r="B94" s="263" t="str">
        <f t="shared" ca="1" si="5"/>
        <v xml:space="preserve"> </v>
      </c>
      <c r="C94" s="264" t="str">
        <f t="shared" ca="1" si="6"/>
        <v/>
      </c>
      <c r="D94" s="455"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x14ac:dyDescent="0.25">
      <c r="A95" t="str">
        <f t="shared" ca="1" si="4"/>
        <v/>
      </c>
      <c r="B95" s="263" t="str">
        <f t="shared" ca="1" si="5"/>
        <v xml:space="preserve"> </v>
      </c>
      <c r="C95" s="264" t="str">
        <f t="shared" ca="1" si="6"/>
        <v/>
      </c>
      <c r="D95" s="455"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x14ac:dyDescent="0.25">
      <c r="A96" t="str">
        <f t="shared" ca="1" si="4"/>
        <v/>
      </c>
      <c r="B96" s="263" t="str">
        <f t="shared" ca="1" si="5"/>
        <v xml:space="preserve"> </v>
      </c>
      <c r="C96" s="264" t="str">
        <f t="shared" ca="1" si="6"/>
        <v/>
      </c>
      <c r="D96" s="455"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x14ac:dyDescent="0.25">
      <c r="A97" t="str">
        <f t="shared" ca="1" si="4"/>
        <v/>
      </c>
      <c r="B97" s="263" t="str">
        <f t="shared" ca="1" si="5"/>
        <v xml:space="preserve"> </v>
      </c>
      <c r="C97" s="264" t="str">
        <f t="shared" ca="1" si="6"/>
        <v/>
      </c>
      <c r="D97" s="455"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x14ac:dyDescent="0.25">
      <c r="A98" t="str">
        <f t="shared" ca="1" si="4"/>
        <v/>
      </c>
      <c r="B98" s="263" t="str">
        <f t="shared" ca="1" si="5"/>
        <v xml:space="preserve"> </v>
      </c>
      <c r="C98" s="264" t="str">
        <f t="shared" ca="1" si="6"/>
        <v/>
      </c>
      <c r="D98" s="455"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x14ac:dyDescent="0.25">
      <c r="A99" t="str">
        <f t="shared" ca="1" si="4"/>
        <v/>
      </c>
      <c r="B99" s="263" t="str">
        <f t="shared" ca="1" si="5"/>
        <v xml:space="preserve"> </v>
      </c>
      <c r="C99" s="264" t="str">
        <f t="shared" ca="1" si="6"/>
        <v/>
      </c>
      <c r="D99" s="455"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x14ac:dyDescent="0.25">
      <c r="A100" t="str">
        <f t="shared" ca="1" si="4"/>
        <v/>
      </c>
      <c r="B100" s="263" t="str">
        <f t="shared" ca="1" si="5"/>
        <v xml:space="preserve"> </v>
      </c>
      <c r="C100" s="264" t="str">
        <f t="shared" ca="1" si="6"/>
        <v/>
      </c>
      <c r="D100" s="455"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x14ac:dyDescent="0.25">
      <c r="A101" t="str">
        <f t="shared" ca="1" si="4"/>
        <v/>
      </c>
      <c r="B101" s="263" t="str">
        <f t="shared" ca="1" si="5"/>
        <v xml:space="preserve"> </v>
      </c>
      <c r="C101" s="264" t="str">
        <f t="shared" ca="1" si="6"/>
        <v/>
      </c>
      <c r="D101" s="455"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x14ac:dyDescent="0.25">
      <c r="A102" t="str">
        <f t="shared" ca="1" si="4"/>
        <v/>
      </c>
      <c r="B102" s="263" t="str">
        <f t="shared" ca="1" si="5"/>
        <v xml:space="preserve"> </v>
      </c>
      <c r="C102" s="264" t="str">
        <f t="shared" ca="1" si="6"/>
        <v/>
      </c>
      <c r="D102" s="455"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x14ac:dyDescent="0.25">
      <c r="A103" t="str">
        <f t="shared" ca="1" si="4"/>
        <v/>
      </c>
      <c r="B103" s="263" t="str">
        <f t="shared" ca="1" si="5"/>
        <v xml:space="preserve"> </v>
      </c>
      <c r="C103" s="264" t="str">
        <f t="shared" ca="1" si="6"/>
        <v/>
      </c>
      <c r="D103" s="455"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x14ac:dyDescent="0.25">
      <c r="A104" t="str">
        <f t="shared" ca="1" si="4"/>
        <v/>
      </c>
      <c r="B104" s="263" t="str">
        <f t="shared" ca="1" si="5"/>
        <v xml:space="preserve"> </v>
      </c>
      <c r="C104" s="264" t="str">
        <f t="shared" ca="1" si="6"/>
        <v/>
      </c>
      <c r="D104" s="455"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x14ac:dyDescent="0.25">
      <c r="A105" t="str">
        <f t="shared" ca="1" si="4"/>
        <v/>
      </c>
      <c r="B105" s="263" t="str">
        <f t="shared" ca="1" si="5"/>
        <v xml:space="preserve"> </v>
      </c>
      <c r="C105" s="264" t="str">
        <f t="shared" ca="1" si="6"/>
        <v/>
      </c>
      <c r="D105" s="455"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x14ac:dyDescent="0.25">
      <c r="A106" t="str">
        <f t="shared" ca="1" si="4"/>
        <v/>
      </c>
      <c r="B106" s="263" t="str">
        <f t="shared" ca="1" si="5"/>
        <v xml:space="preserve"> </v>
      </c>
      <c r="C106" s="264" t="str">
        <f t="shared" ca="1" si="6"/>
        <v/>
      </c>
      <c r="D106" s="455"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x14ac:dyDescent="0.25">
      <c r="A107" t="str">
        <f t="shared" ca="1" si="4"/>
        <v/>
      </c>
      <c r="B107" s="263" t="str">
        <f t="shared" ca="1" si="5"/>
        <v xml:space="preserve"> </v>
      </c>
      <c r="C107" s="264" t="str">
        <f t="shared" ca="1" si="6"/>
        <v/>
      </c>
      <c r="D107" s="455"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x14ac:dyDescent="0.25">
      <c r="A108" t="str">
        <f t="shared" ca="1" si="4"/>
        <v/>
      </c>
      <c r="B108" s="263" t="str">
        <f t="shared" ca="1" si="5"/>
        <v xml:space="preserve"> </v>
      </c>
      <c r="C108" s="264" t="str">
        <f t="shared" ca="1" si="6"/>
        <v/>
      </c>
      <c r="D108" s="455"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x14ac:dyDescent="0.25">
      <c r="A109" t="str">
        <f t="shared" ca="1" si="4"/>
        <v/>
      </c>
      <c r="B109" s="263" t="str">
        <f t="shared" ca="1" si="5"/>
        <v xml:space="preserve"> </v>
      </c>
      <c r="C109" s="264" t="str">
        <f t="shared" ca="1" si="6"/>
        <v/>
      </c>
      <c r="D109" s="455"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x14ac:dyDescent="0.25">
      <c r="A110" t="str">
        <f t="shared" ca="1" si="4"/>
        <v/>
      </c>
      <c r="B110" s="263" t="str">
        <f t="shared" ca="1" si="5"/>
        <v xml:space="preserve"> </v>
      </c>
      <c r="C110" s="264" t="str">
        <f t="shared" ca="1" si="6"/>
        <v/>
      </c>
      <c r="D110" s="455"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x14ac:dyDescent="0.25">
      <c r="A111" t="str">
        <f t="shared" ca="1" si="4"/>
        <v/>
      </c>
      <c r="B111" s="263" t="str">
        <f t="shared" ca="1" si="5"/>
        <v xml:space="preserve"> </v>
      </c>
      <c r="C111" s="264" t="str">
        <f t="shared" ca="1" si="6"/>
        <v/>
      </c>
      <c r="D111" s="455"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x14ac:dyDescent="0.25">
      <c r="A112" t="str">
        <f t="shared" ca="1" si="4"/>
        <v/>
      </c>
      <c r="B112" s="263" t="str">
        <f t="shared" ca="1" si="5"/>
        <v xml:space="preserve"> </v>
      </c>
      <c r="C112" s="264" t="str">
        <f t="shared" ca="1" si="6"/>
        <v/>
      </c>
      <c r="D112" s="455"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x14ac:dyDescent="0.25">
      <c r="A113" t="str">
        <f t="shared" ca="1" si="4"/>
        <v/>
      </c>
      <c r="B113" s="263" t="str">
        <f t="shared" ca="1" si="5"/>
        <v xml:space="preserve"> </v>
      </c>
      <c r="C113" s="264" t="str">
        <f t="shared" ca="1" si="6"/>
        <v/>
      </c>
      <c r="D113" s="455"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x14ac:dyDescent="0.25">
      <c r="A114" t="str">
        <f t="shared" ca="1" si="4"/>
        <v/>
      </c>
      <c r="B114" s="263" t="str">
        <f t="shared" ca="1" si="5"/>
        <v xml:space="preserve"> </v>
      </c>
      <c r="C114" s="264" t="str">
        <f t="shared" ca="1" si="6"/>
        <v/>
      </c>
      <c r="D114" s="455"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x14ac:dyDescent="0.25">
      <c r="A115" t="str">
        <f t="shared" ca="1" si="4"/>
        <v/>
      </c>
      <c r="B115" s="263" t="str">
        <f t="shared" ca="1" si="5"/>
        <v xml:space="preserve"> </v>
      </c>
      <c r="C115" s="264" t="str">
        <f t="shared" ca="1" si="6"/>
        <v/>
      </c>
      <c r="D115" s="455"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x14ac:dyDescent="0.25">
      <c r="A116" t="str">
        <f t="shared" ca="1" si="4"/>
        <v/>
      </c>
      <c r="B116" s="263" t="str">
        <f t="shared" ca="1" si="5"/>
        <v xml:space="preserve"> </v>
      </c>
      <c r="C116" s="264" t="str">
        <f t="shared" ca="1" si="6"/>
        <v/>
      </c>
      <c r="D116" s="455"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x14ac:dyDescent="0.25">
      <c r="A117" t="str">
        <f t="shared" ca="1" si="4"/>
        <v/>
      </c>
      <c r="B117" s="263" t="str">
        <f t="shared" ca="1" si="5"/>
        <v xml:space="preserve"> </v>
      </c>
      <c r="C117" s="264" t="str">
        <f t="shared" ca="1" si="6"/>
        <v/>
      </c>
      <c r="D117" s="455"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x14ac:dyDescent="0.25">
      <c r="A118" t="str">
        <f t="shared" ca="1" si="4"/>
        <v/>
      </c>
      <c r="B118" s="263" t="str">
        <f t="shared" ca="1" si="5"/>
        <v xml:space="preserve"> </v>
      </c>
      <c r="C118" s="264" t="str">
        <f t="shared" ca="1" si="6"/>
        <v/>
      </c>
      <c r="D118" s="455"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x14ac:dyDescent="0.25">
      <c r="A119" t="str">
        <f t="shared" ca="1" si="4"/>
        <v/>
      </c>
      <c r="B119" s="263" t="str">
        <f t="shared" ca="1" si="5"/>
        <v xml:space="preserve"> </v>
      </c>
      <c r="C119" s="264" t="str">
        <f t="shared" ca="1" si="6"/>
        <v/>
      </c>
      <c r="D119" s="455"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x14ac:dyDescent="0.25">
      <c r="A120" t="str">
        <f t="shared" ca="1" si="4"/>
        <v/>
      </c>
      <c r="B120" s="263" t="str">
        <f t="shared" ca="1" si="5"/>
        <v xml:space="preserve"> </v>
      </c>
      <c r="C120" s="264" t="str">
        <f t="shared" ca="1" si="6"/>
        <v/>
      </c>
      <c r="D120" s="455"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x14ac:dyDescent="0.25">
      <c r="A121" t="str">
        <f t="shared" ca="1" si="4"/>
        <v/>
      </c>
      <c r="B121" s="263" t="str">
        <f t="shared" ca="1" si="5"/>
        <v xml:space="preserve"> </v>
      </c>
      <c r="C121" s="264" t="str">
        <f t="shared" ca="1" si="6"/>
        <v/>
      </c>
      <c r="D121" s="455"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x14ac:dyDescent="0.25">
      <c r="A122" t="str">
        <f t="shared" ca="1" si="4"/>
        <v/>
      </c>
      <c r="B122" s="263" t="str">
        <f t="shared" ca="1" si="5"/>
        <v xml:space="preserve"> </v>
      </c>
      <c r="C122" s="264" t="str">
        <f t="shared" ca="1" si="6"/>
        <v/>
      </c>
      <c r="D122" s="455"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x14ac:dyDescent="0.25">
      <c r="A123" t="str">
        <f t="shared" ca="1" si="4"/>
        <v/>
      </c>
      <c r="B123" s="263" t="str">
        <f t="shared" ca="1" si="5"/>
        <v xml:space="preserve"> </v>
      </c>
      <c r="C123" s="264" t="str">
        <f t="shared" ca="1" si="6"/>
        <v/>
      </c>
      <c r="D123" s="455"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x14ac:dyDescent="0.25">
      <c r="A124" t="str">
        <f t="shared" ca="1" si="4"/>
        <v/>
      </c>
      <c r="B124" s="263" t="str">
        <f t="shared" ca="1" si="5"/>
        <v xml:space="preserve"> </v>
      </c>
      <c r="C124" s="264" t="str">
        <f t="shared" ca="1" si="6"/>
        <v/>
      </c>
      <c r="D124" s="455"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x14ac:dyDescent="0.25">
      <c r="A125" t="str">
        <f t="shared" ca="1" si="4"/>
        <v/>
      </c>
      <c r="B125" s="263" t="str">
        <f t="shared" ca="1" si="5"/>
        <v xml:space="preserve"> </v>
      </c>
      <c r="C125" s="264" t="str">
        <f t="shared" ca="1" si="6"/>
        <v/>
      </c>
      <c r="D125" s="455"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x14ac:dyDescent="0.25">
      <c r="A126" t="str">
        <f t="shared" ca="1" si="4"/>
        <v/>
      </c>
      <c r="B126" s="263" t="str">
        <f t="shared" ca="1" si="5"/>
        <v xml:space="preserve"> </v>
      </c>
      <c r="C126" s="264" t="str">
        <f t="shared" ca="1" si="6"/>
        <v/>
      </c>
      <c r="D126" s="455"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x14ac:dyDescent="0.25">
      <c r="A127" t="str">
        <f t="shared" ca="1" si="4"/>
        <v/>
      </c>
      <c r="B127" s="263" t="str">
        <f t="shared" ca="1" si="5"/>
        <v xml:space="preserve"> </v>
      </c>
      <c r="C127" s="264" t="str">
        <f t="shared" ca="1" si="6"/>
        <v/>
      </c>
      <c r="D127" s="455"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x14ac:dyDescent="0.25">
      <c r="A128" t="str">
        <f t="shared" ca="1" si="4"/>
        <v/>
      </c>
      <c r="B128" s="263" t="str">
        <f t="shared" ca="1" si="5"/>
        <v xml:space="preserve"> </v>
      </c>
      <c r="C128" s="264" t="str">
        <f t="shared" ca="1" si="6"/>
        <v/>
      </c>
      <c r="D128" s="455"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x14ac:dyDescent="0.25">
      <c r="A129" t="str">
        <f t="shared" ca="1" si="4"/>
        <v/>
      </c>
      <c r="B129" s="263" t="str">
        <f t="shared" ca="1" si="5"/>
        <v xml:space="preserve"> </v>
      </c>
      <c r="C129" s="264" t="str">
        <f t="shared" ca="1" si="6"/>
        <v/>
      </c>
      <c r="D129" s="455"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x14ac:dyDescent="0.25">
      <c r="A130" t="str">
        <f t="shared" ca="1" si="4"/>
        <v/>
      </c>
      <c r="B130" s="263" t="str">
        <f t="shared" ca="1" si="5"/>
        <v xml:space="preserve"> </v>
      </c>
      <c r="C130" s="264" t="str">
        <f t="shared" ca="1" si="6"/>
        <v/>
      </c>
      <c r="D130" s="455"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x14ac:dyDescent="0.25">
      <c r="A131" t="str">
        <f t="shared" ca="1" si="4"/>
        <v/>
      </c>
      <c r="B131" s="263" t="str">
        <f t="shared" ca="1" si="5"/>
        <v xml:space="preserve"> </v>
      </c>
      <c r="C131" s="264" t="str">
        <f t="shared" ca="1" si="6"/>
        <v/>
      </c>
      <c r="D131" s="455"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x14ac:dyDescent="0.25">
      <c r="A132" t="str">
        <f t="shared" ca="1" si="4"/>
        <v/>
      </c>
      <c r="B132" s="263" t="str">
        <f t="shared" ca="1" si="5"/>
        <v xml:space="preserve"> </v>
      </c>
      <c r="C132" s="264" t="str">
        <f t="shared" ca="1" si="6"/>
        <v/>
      </c>
      <c r="D132" s="455"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x14ac:dyDescent="0.25">
      <c r="A133" t="str">
        <f t="shared" ca="1" si="4"/>
        <v/>
      </c>
      <c r="B133" s="263" t="str">
        <f t="shared" ca="1" si="5"/>
        <v xml:space="preserve"> </v>
      </c>
      <c r="C133" s="264" t="str">
        <f t="shared" ca="1" si="6"/>
        <v/>
      </c>
      <c r="D133" s="455"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x14ac:dyDescent="0.25">
      <c r="A134" t="str">
        <f t="shared" ca="1" si="4"/>
        <v/>
      </c>
      <c r="B134" s="263" t="str">
        <f t="shared" ca="1" si="5"/>
        <v xml:space="preserve"> </v>
      </c>
      <c r="C134" s="264" t="str">
        <f t="shared" ca="1" si="6"/>
        <v/>
      </c>
      <c r="D134" s="455"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x14ac:dyDescent="0.25">
      <c r="A135" t="str">
        <f t="shared" ca="1" si="4"/>
        <v/>
      </c>
      <c r="B135" s="263" t="str">
        <f t="shared" ca="1" si="5"/>
        <v xml:space="preserve"> </v>
      </c>
      <c r="C135" s="264" t="str">
        <f t="shared" ca="1" si="6"/>
        <v/>
      </c>
      <c r="D135" s="455"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x14ac:dyDescent="0.25">
      <c r="A136" t="str">
        <f t="shared" ca="1" si="4"/>
        <v/>
      </c>
      <c r="B136" s="263" t="str">
        <f t="shared" ca="1" si="5"/>
        <v xml:space="preserve"> </v>
      </c>
      <c r="C136" s="264" t="str">
        <f t="shared" ca="1" si="6"/>
        <v/>
      </c>
      <c r="D136" s="455"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x14ac:dyDescent="0.25">
      <c r="A137" t="str">
        <f t="shared" ca="1" si="4"/>
        <v/>
      </c>
      <c r="B137" s="263" t="str">
        <f t="shared" ca="1" si="5"/>
        <v xml:space="preserve"> </v>
      </c>
      <c r="C137" s="264" t="str">
        <f t="shared" ca="1" si="6"/>
        <v/>
      </c>
      <c r="D137" s="455"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x14ac:dyDescent="0.25">
      <c r="A138" t="str">
        <f t="shared" ca="1" si="4"/>
        <v/>
      </c>
      <c r="B138" s="263" t="str">
        <f t="shared" ca="1" si="5"/>
        <v xml:space="preserve"> </v>
      </c>
      <c r="C138" s="264" t="str">
        <f t="shared" ca="1" si="6"/>
        <v/>
      </c>
      <c r="D138" s="455"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x14ac:dyDescent="0.25">
      <c r="A139" t="str">
        <f t="shared" ca="1" si="4"/>
        <v/>
      </c>
      <c r="B139" s="263" t="str">
        <f t="shared" ca="1" si="5"/>
        <v xml:space="preserve"> </v>
      </c>
      <c r="C139" s="264" t="str">
        <f t="shared" ca="1" si="6"/>
        <v/>
      </c>
      <c r="D139" s="455"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x14ac:dyDescent="0.25">
      <c r="A140" t="str">
        <f t="shared" ca="1" si="4"/>
        <v/>
      </c>
      <c r="B140" s="263" t="str">
        <f t="shared" ca="1" si="5"/>
        <v xml:space="preserve"> </v>
      </c>
      <c r="C140" s="264" t="str">
        <f t="shared" ca="1" si="6"/>
        <v/>
      </c>
      <c r="D140" s="455"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x14ac:dyDescent="0.25">
      <c r="A141" t="str">
        <f t="shared" ref="A141:A204" ca="1" si="8">IF(BC141&lt;&gt;"",ROW(A129),"")</f>
        <v/>
      </c>
      <c r="B141" s="263" t="str">
        <f t="shared" ca="1" si="5"/>
        <v xml:space="preserve"> </v>
      </c>
      <c r="C141" s="264" t="str">
        <f t="shared" ca="1" si="6"/>
        <v/>
      </c>
      <c r="D141" s="455"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455"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x14ac:dyDescent="0.25">
      <c r="A143" t="str">
        <f t="shared" ca="1" si="8"/>
        <v/>
      </c>
      <c r="B143" s="263" t="str">
        <f t="shared" ca="1" si="9"/>
        <v xml:space="preserve"> </v>
      </c>
      <c r="C143" s="264" t="str">
        <f t="shared" ca="1" si="10"/>
        <v/>
      </c>
      <c r="D143" s="455"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x14ac:dyDescent="0.25">
      <c r="A144" t="str">
        <f t="shared" ca="1" si="8"/>
        <v/>
      </c>
      <c r="B144" s="263" t="str">
        <f t="shared" ca="1" si="9"/>
        <v xml:space="preserve"> </v>
      </c>
      <c r="C144" s="264" t="str">
        <f t="shared" ca="1" si="10"/>
        <v/>
      </c>
      <c r="D144" s="455"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x14ac:dyDescent="0.25">
      <c r="A145" t="str">
        <f t="shared" ca="1" si="8"/>
        <v/>
      </c>
      <c r="B145" s="263" t="str">
        <f t="shared" ca="1" si="9"/>
        <v xml:space="preserve"> </v>
      </c>
      <c r="C145" s="264" t="str">
        <f t="shared" ca="1" si="10"/>
        <v/>
      </c>
      <c r="D145" s="455"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x14ac:dyDescent="0.25">
      <c r="A146" t="str">
        <f t="shared" ca="1" si="8"/>
        <v/>
      </c>
      <c r="B146" s="263" t="str">
        <f t="shared" ca="1" si="9"/>
        <v xml:space="preserve"> </v>
      </c>
      <c r="C146" s="264" t="str">
        <f t="shared" ca="1" si="10"/>
        <v/>
      </c>
      <c r="D146" s="455"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x14ac:dyDescent="0.25">
      <c r="A147" t="str">
        <f t="shared" ca="1" si="8"/>
        <v/>
      </c>
      <c r="B147" s="263" t="str">
        <f t="shared" ca="1" si="9"/>
        <v xml:space="preserve"> </v>
      </c>
      <c r="C147" s="264" t="str">
        <f t="shared" ca="1" si="10"/>
        <v/>
      </c>
      <c r="D147" s="455"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x14ac:dyDescent="0.25">
      <c r="A148" t="str">
        <f t="shared" ca="1" si="8"/>
        <v/>
      </c>
      <c r="B148" s="263" t="str">
        <f t="shared" ca="1" si="9"/>
        <v xml:space="preserve"> </v>
      </c>
      <c r="C148" s="264" t="str">
        <f t="shared" ca="1" si="10"/>
        <v/>
      </c>
      <c r="D148" s="455"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x14ac:dyDescent="0.25">
      <c r="A149" t="str">
        <f t="shared" ca="1" si="8"/>
        <v/>
      </c>
      <c r="B149" s="263" t="str">
        <f t="shared" ca="1" si="9"/>
        <v xml:space="preserve"> </v>
      </c>
      <c r="C149" s="264" t="str">
        <f t="shared" ca="1" si="10"/>
        <v/>
      </c>
      <c r="D149" s="455"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x14ac:dyDescent="0.25">
      <c r="A150" t="str">
        <f t="shared" ca="1" si="8"/>
        <v/>
      </c>
      <c r="B150" s="263" t="str">
        <f t="shared" ca="1" si="9"/>
        <v xml:space="preserve"> </v>
      </c>
      <c r="C150" s="264" t="str">
        <f t="shared" ca="1" si="10"/>
        <v/>
      </c>
      <c r="D150" s="455"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x14ac:dyDescent="0.25">
      <c r="A151" t="str">
        <f t="shared" ca="1" si="8"/>
        <v/>
      </c>
      <c r="B151" s="263" t="str">
        <f t="shared" ca="1" si="9"/>
        <v xml:space="preserve"> </v>
      </c>
      <c r="C151" s="264" t="str">
        <f t="shared" ca="1" si="10"/>
        <v/>
      </c>
      <c r="D151" s="455"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x14ac:dyDescent="0.25">
      <c r="A152" t="str">
        <f t="shared" ca="1" si="8"/>
        <v/>
      </c>
      <c r="B152" s="263" t="str">
        <f t="shared" ca="1" si="9"/>
        <v xml:space="preserve"> </v>
      </c>
      <c r="C152" s="264" t="str">
        <f t="shared" ca="1" si="10"/>
        <v/>
      </c>
      <c r="D152" s="455"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x14ac:dyDescent="0.25">
      <c r="A153" t="str">
        <f t="shared" ca="1" si="8"/>
        <v/>
      </c>
      <c r="B153" s="263" t="str">
        <f t="shared" ca="1" si="9"/>
        <v xml:space="preserve"> </v>
      </c>
      <c r="C153" s="264" t="str">
        <f t="shared" ca="1" si="10"/>
        <v/>
      </c>
      <c r="D153" s="455"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x14ac:dyDescent="0.25">
      <c r="A154" t="str">
        <f t="shared" ca="1" si="8"/>
        <v/>
      </c>
      <c r="B154" s="263" t="str">
        <f t="shared" ca="1" si="9"/>
        <v xml:space="preserve"> </v>
      </c>
      <c r="C154" s="264" t="str">
        <f t="shared" ca="1" si="10"/>
        <v/>
      </c>
      <c r="D154" s="455"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x14ac:dyDescent="0.25">
      <c r="A155" t="str">
        <f t="shared" ca="1" si="8"/>
        <v/>
      </c>
      <c r="B155" s="263" t="str">
        <f t="shared" ca="1" si="9"/>
        <v xml:space="preserve"> </v>
      </c>
      <c r="C155" s="264" t="str">
        <f t="shared" ca="1" si="10"/>
        <v/>
      </c>
      <c r="D155" s="455"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x14ac:dyDescent="0.25">
      <c r="A156" t="str">
        <f t="shared" ca="1" si="8"/>
        <v/>
      </c>
      <c r="B156" s="263" t="str">
        <f t="shared" ca="1" si="9"/>
        <v xml:space="preserve"> </v>
      </c>
      <c r="C156" s="264" t="str">
        <f t="shared" ca="1" si="10"/>
        <v/>
      </c>
      <c r="D156" s="455"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x14ac:dyDescent="0.25">
      <c r="A157" t="str">
        <f t="shared" ca="1" si="8"/>
        <v/>
      </c>
      <c r="B157" s="263" t="str">
        <f t="shared" ca="1" si="9"/>
        <v xml:space="preserve"> </v>
      </c>
      <c r="C157" s="264" t="str">
        <f t="shared" ca="1" si="10"/>
        <v/>
      </c>
      <c r="D157" s="455"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x14ac:dyDescent="0.25">
      <c r="A158" t="str">
        <f t="shared" ca="1" si="8"/>
        <v/>
      </c>
      <c r="B158" s="263" t="str">
        <f t="shared" ca="1" si="9"/>
        <v xml:space="preserve"> </v>
      </c>
      <c r="C158" s="264" t="str">
        <f t="shared" ca="1" si="10"/>
        <v/>
      </c>
      <c r="D158" s="455"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x14ac:dyDescent="0.25">
      <c r="A159" t="str">
        <f t="shared" ca="1" si="8"/>
        <v/>
      </c>
      <c r="B159" s="263" t="str">
        <f t="shared" ca="1" si="9"/>
        <v xml:space="preserve"> </v>
      </c>
      <c r="C159" s="264" t="str">
        <f t="shared" ca="1" si="10"/>
        <v/>
      </c>
      <c r="D159" s="455"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x14ac:dyDescent="0.25">
      <c r="A160" t="str">
        <f t="shared" ca="1" si="8"/>
        <v/>
      </c>
      <c r="B160" s="263" t="str">
        <f t="shared" ca="1" si="9"/>
        <v xml:space="preserve"> </v>
      </c>
      <c r="C160" s="264" t="str">
        <f t="shared" ca="1" si="10"/>
        <v/>
      </c>
      <c r="D160" s="455"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x14ac:dyDescent="0.25">
      <c r="A161" t="str">
        <f t="shared" ca="1" si="8"/>
        <v/>
      </c>
      <c r="B161" s="263" t="str">
        <f t="shared" ca="1" si="9"/>
        <v xml:space="preserve"> </v>
      </c>
      <c r="C161" s="264" t="str">
        <f t="shared" ca="1" si="10"/>
        <v/>
      </c>
      <c r="D161" s="455"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x14ac:dyDescent="0.25">
      <c r="A162" t="str">
        <f t="shared" ca="1" si="8"/>
        <v/>
      </c>
      <c r="B162" s="263" t="str">
        <f t="shared" ca="1" si="9"/>
        <v xml:space="preserve"> </v>
      </c>
      <c r="C162" s="264" t="str">
        <f t="shared" ca="1" si="10"/>
        <v/>
      </c>
      <c r="D162" s="455"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x14ac:dyDescent="0.25">
      <c r="A163" t="str">
        <f t="shared" ca="1" si="8"/>
        <v/>
      </c>
      <c r="B163" s="263" t="str">
        <f t="shared" ca="1" si="9"/>
        <v xml:space="preserve"> </v>
      </c>
      <c r="C163" s="264" t="str">
        <f t="shared" ca="1" si="10"/>
        <v/>
      </c>
      <c r="D163" s="455"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x14ac:dyDescent="0.25">
      <c r="A164" t="str">
        <f t="shared" ca="1" si="8"/>
        <v/>
      </c>
      <c r="B164" s="263" t="str">
        <f t="shared" ca="1" si="9"/>
        <v xml:space="preserve"> </v>
      </c>
      <c r="C164" s="264" t="str">
        <f t="shared" ca="1" si="10"/>
        <v/>
      </c>
      <c r="D164" s="455"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455"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455"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455"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455"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455"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455"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455"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455"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455"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455"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455"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455"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455"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455"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455"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455"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455"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455"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455"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455"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455"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455"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455"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455"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455"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455"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455"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455"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455"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455"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455"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455"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455"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455"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455"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455"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455"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455"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455"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455"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455"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55"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455"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455"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455"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455"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455"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455"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455"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455"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455"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455"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455"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455"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455"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455"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455"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455"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455"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455"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455"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455"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455"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455"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455"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455"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455"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455"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455"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455"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455"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455"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455"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455"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455"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455"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455"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455"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455"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455"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455"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455"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455"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455"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455"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455"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455"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455"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455"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455"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455"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455"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455"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455"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455"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455"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455"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455"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455"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455"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455"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455"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455"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455"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455"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55"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455"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455"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svu8OmYee4/dh8xjFaTL1yinEIgaGkhTNy8B2ehKIaVHy69t8fuzz+aBf4KUs0UkLRFxbs2xuhjja8E1TQR51A==" saltValue="dRwJIeZCOnhyNMAVESOaRw=="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AW1" workbookViewId="0">
      <selection activeCell="AX23" sqref="AX23"/>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Points</v>
      </c>
      <c r="Z1" t="s">
        <v>66</v>
      </c>
      <c r="AL1" t="s">
        <v>285</v>
      </c>
      <c r="AP1" s="36" t="s">
        <v>129</v>
      </c>
      <c r="BQ1" t="s">
        <v>432</v>
      </c>
      <c r="CV1" t="s">
        <v>215</v>
      </c>
      <c r="CW1" t="s">
        <v>216</v>
      </c>
      <c r="DN1" t="s">
        <v>1192</v>
      </c>
    </row>
    <row r="2" spans="1:135"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1193</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2724.8</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1201</v>
      </c>
      <c r="DR3" t="s">
        <v>1194</v>
      </c>
      <c r="DS3" t="s">
        <v>1200</v>
      </c>
      <c r="DT3" s="67" t="s">
        <v>1203</v>
      </c>
      <c r="DU3" t="s">
        <v>502</v>
      </c>
      <c r="DV3" s="67" t="s">
        <v>1227</v>
      </c>
      <c r="DW3" s="67" t="s">
        <v>1228</v>
      </c>
      <c r="DX3" s="67" t="s">
        <v>1226</v>
      </c>
      <c r="DZ3" s="67" t="s">
        <v>1225</v>
      </c>
      <c r="EA3" s="5">
        <f ca="1">IFERROR(SUM(DU4:DU29),0)</f>
        <v>-5388.75</v>
      </c>
      <c r="ED3" t="s">
        <v>1229</v>
      </c>
      <c r="EE3" t="s">
        <v>1197</v>
      </c>
    </row>
    <row r="4" spans="1:135"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5282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5282</v>
      </c>
      <c r="Y4" s="5">
        <f t="shared" ref="Y4:Y67" ca="1" si="5">SUM(OFFSET(N4,0,0,1,Num_Modalities))</f>
        <v>5282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5282</v>
      </c>
      <c r="AM4" s="5">
        <f ca="1">IF(AN4&lt;&gt;"","",AJ4)</f>
        <v>0</v>
      </c>
      <c r="AN4" s="5" t="str">
        <f>IF(Demand!BE13="Yes","Yes","")</f>
        <v/>
      </c>
      <c r="AP4" s="36">
        <f>Demand!B13</f>
        <v>2020</v>
      </c>
      <c r="AQ4" s="5" t="str">
        <f>TEXT(Demand!D13,"MMM")</f>
        <v>Mar</v>
      </c>
      <c r="AV4" s="5" t="s">
        <v>71</v>
      </c>
      <c r="AW4" s="44">
        <f ca="1">IFERROR(AVERAGE(OFFSET($AT$4,'SPC background (hide)'!$C$4-1,0,'SPC background (hide)'!$H$5,1)),0)</f>
        <v>600.88888888888891</v>
      </c>
      <c r="BB4"/>
      <c r="BC4"/>
      <c r="BD4"/>
      <c r="BE4"/>
      <c r="BF4" t="s">
        <v>199</v>
      </c>
      <c r="BG4"/>
      <c r="BH4"/>
      <c r="BI4"/>
      <c r="BJ4"/>
      <c r="BK4"/>
      <c r="BL4"/>
      <c r="BM4"/>
      <c r="BP4"/>
      <c r="BQ4">
        <f ca="1">IF($AN4="",OFFSET(Demand!$A$13,ROW(A1)-1,4+((QUOTIENT(COLUMN(BQ$2)-69,3))*5)+MOD(COLUMN(BQ$2),3),1,1),"")</f>
        <v>2641</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19</v>
      </c>
      <c r="DN4" s="318">
        <f>'Demand adjustments for Covid'!F12</f>
        <v>43955</v>
      </c>
      <c r="DO4" s="5">
        <f ca="1">VLOOKUP(IF($DM4&lt;53,$DM4,52),'Summary Calculations (hide)'!$D$15:$F$67,2,0)</f>
        <v>2442.5</v>
      </c>
      <c r="DP4" s="5">
        <f ca="1">VLOOKUP(IF($DM4&lt;53,$DM4,52),'Summary Calculations (hide)'!$D$15:$F$67,3,0)</f>
        <v>4500.4999999999982</v>
      </c>
      <c r="DQ4" s="5">
        <f ca="1">IF(AND(DN4&gt;='Demand adjustments for Covid'!$F$12,DN4&lt;'Demand adjustments for Covid'!$F$17),'Demand adjustments for Covid'!$F$13,DO4)</f>
        <v>2442.5</v>
      </c>
      <c r="DR4" s="5">
        <f t="shared" ref="DR4:DR35" si="7">IF(AND(ROW(A1)&gt;=$EE$4,ROW(A1)&lt;=$EE$5),1,0)</f>
        <v>1</v>
      </c>
      <c r="DS4" s="5">
        <f ca="1">IF('Demand adjustments for Covid'!$F$9="Yes",IF(DR4=0,DQ4,((SUM(DR$4:DR4)-1)*$EE$8)+'Demand adjustments for Covid'!F$13),'Demand background (hide)'!DO4)</f>
        <v>3640</v>
      </c>
      <c r="DT4" s="5">
        <f ca="1">IF(AND('Demand adjustments for Covid'!$F$9="Yes",MaxRows&gt;=10),IF(OR(AND(DN4&gt;='Demand adjustments for Covid'!$F$12,DN4&lt;'Demand adjustments for Covid'!$F$17),DR4=1),DS4+3,DP4),'Demand background (hide)'!DP4)</f>
        <v>3643</v>
      </c>
      <c r="DU4" s="5">
        <f ca="1">IF(DS4&lt;='Demand adjustments for Covid'!$F$17,DO4-DS4,0)</f>
        <v>-1197.5</v>
      </c>
      <c r="DV4" s="5">
        <f ca="1">IF(AND(ROW(A1)&gt;$EE$5,ROW(A1)&lt;=$EA$5),OFFSET('Demand adjustments for Covid'!$F$35,0,ROW(A1)-'Demand background (hide)'!$EE$5,1,1),0)</f>
        <v>0</v>
      </c>
      <c r="DW4" s="5">
        <f ca="1">IF(AND(ROW(A1)&gt;$EE$5,ROW(A1)&lt;=$EA$5),OFFSET('Demand adjustments for Covid'!$F$36,0,ROW(A1)-'Demand background (hide)'!$EE$5,1,1),0)</f>
        <v>0</v>
      </c>
      <c r="DX4" s="5">
        <f ca="1">SUM(DV4:DW4,DT4)</f>
        <v>3643</v>
      </c>
      <c r="ED4" s="5" t="s">
        <v>1195</v>
      </c>
      <c r="EE4" s="5">
        <f>MATCH('Demand adjustments for Covid'!$F$17,$DN$4:$DN$55,0)</f>
        <v>1</v>
      </c>
    </row>
    <row r="5" spans="1:135"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5022</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5022</v>
      </c>
      <c r="Y5" s="5">
        <f t="shared" ca="1" si="5"/>
        <v>5022</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5022</v>
      </c>
      <c r="AM5" s="5">
        <f t="shared" ref="AM5:AM68" ca="1" si="9">IF(AN5&lt;&gt;"","",AJ5)</f>
        <v>0</v>
      </c>
      <c r="AN5" s="5" t="str">
        <f>IF(Demand!BE14="Yes","Yes","")</f>
        <v/>
      </c>
      <c r="AP5" s="36" t="str">
        <f ca="1">Demand!B14</f>
        <v xml:space="preserve"> </v>
      </c>
      <c r="AQ5" s="5" t="str">
        <f ca="1">IF(TEXT(Demand!D14,"MMM")&lt;&gt;TEXT(Demand!D13,"MMM"),TEXT(Demand!D14,"MMM"),"")</f>
        <v/>
      </c>
      <c r="AT5" s="5">
        <f ca="1">IF(OR(AL5="",AL4=""),"",ABS(AL5-AL4))</f>
        <v>260</v>
      </c>
      <c r="AV5" s="5" t="s">
        <v>70</v>
      </c>
      <c r="AW5" s="44">
        <f ca="1">AW4/1.128</f>
        <v>532.70291568163918</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2511</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20</v>
      </c>
      <c r="DN5" s="318">
        <f>DN4+7</f>
        <v>43962</v>
      </c>
      <c r="DO5" s="5">
        <f ca="1">VLOOKUP(IF($DM5&lt;53,$DM5,52),'Summary Calculations (hide)'!$D$15:$F$67,2,0)</f>
        <v>2442.5</v>
      </c>
      <c r="DP5" s="5">
        <f ca="1">VLOOKUP(IF($DM5&lt;53,$DM5,52),'Summary Calculations (hide)'!$D$15:$F$67,3,0)</f>
        <v>4500.4999999999982</v>
      </c>
      <c r="DQ5" s="5">
        <f ca="1">IF(AND(DN5&gt;='Demand adjustments for Covid'!$F$12,DN5&lt;'Demand adjustments for Covid'!$F$17),'Demand adjustments for Covid'!$F$13,DO5)</f>
        <v>2442.5</v>
      </c>
      <c r="DR5" s="5">
        <f t="shared" si="7"/>
        <v>1</v>
      </c>
      <c r="DS5" s="5">
        <f ca="1">IF('Demand adjustments for Covid'!$F$9="Yes",IF(DR5=0,DQ5,((SUM(DR$4:DR5)-1)*$EE$8)+'Demand adjustments for Covid'!F$13),'Demand background (hide)'!DO5)</f>
        <v>3490.3125</v>
      </c>
      <c r="DT5" s="5">
        <f ca="1">IF('Demand adjustments for Covid'!$F$9="Yes",IF(OR(AND(DN5&gt;='Demand adjustments for Covid'!$F$12,DN5&lt;'Demand adjustments for Covid'!$F$17),DR5=1),DS5+3,DP5),'Demand background (hide)'!DP5)</f>
        <v>3493.3125</v>
      </c>
      <c r="DU5" s="5">
        <f ca="1">IF(DS5&lt;='Demand adjustments for Covid'!$F$17,DO5-DS5,0)</f>
        <v>-1047.8125</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3493.3125</v>
      </c>
      <c r="DZ5" s="5" t="s">
        <v>1230</v>
      </c>
      <c r="EA5" s="5">
        <f>MATCH('Demand adjustments for Covid'!F17,'Demand background (hide)'!DN4:DN55,0)+'Demand adjustments for Covid'!F18+12</f>
        <v>21</v>
      </c>
      <c r="ED5" s="5" t="s">
        <v>1196</v>
      </c>
      <c r="EE5" s="5">
        <f>EE4+'Demand adjustments for Covid'!$F$18</f>
        <v>9</v>
      </c>
    </row>
    <row r="6" spans="1:135"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3532</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3532</v>
      </c>
      <c r="Y6" s="5">
        <f t="shared" ca="1" si="5"/>
        <v>3532</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3532</v>
      </c>
      <c r="AM6" s="5">
        <f t="shared" ca="1" si="9"/>
        <v>0</v>
      </c>
      <c r="AN6" s="5" t="str">
        <f>IF(Demand!BE15="Yes","Yes","")</f>
        <v/>
      </c>
      <c r="AP6" s="36" t="str">
        <f ca="1">Demand!B15</f>
        <v xml:space="preserve"> </v>
      </c>
      <c r="AQ6" s="5" t="str">
        <f ca="1">IF(TEXT(Demand!D15,"MMM")&lt;&gt;TEXT(Demand!D14,"MMM"),TEXT(Demand!D15,"MMM"),"")</f>
        <v/>
      </c>
      <c r="AT6" s="5">
        <f t="shared" ref="AT6:AT69" ca="1" si="12">IF(OR(AL6="",AL5=""),"",ABS(AL6-AL5))</f>
        <v>1490</v>
      </c>
      <c r="AV6" s="5" t="s">
        <v>137</v>
      </c>
      <c r="AW6" s="44">
        <f ca="1">PERCENTILE(OFFSET(AL$4,'SPC background (hide)'!$C$4-1,0,'SPC background (hide)'!$H$5,1),'Control sheet (hide)'!$I$9)</f>
        <v>2442.5</v>
      </c>
      <c r="AX6" s="5">
        <f ca="1">PERCENTILE(OFFSET(AM$4,'SPC background (hide)'!$C$4-1,0,'SPC background (hide)'!$H$5,1),'Control sheet (hide)'!$I$9)</f>
        <v>0</v>
      </c>
      <c r="BB6" t="str">
        <f>'Control sheet (hide)'!AA3</f>
        <v>Modality 1</v>
      </c>
      <c r="BC6" s="46">
        <f t="shared" ref="BC6:BC15" ca="1" si="13">IFERROR(IF(ROW(A1)&lt;=Num_Modalities,BJ6/$BM6,""),"")</f>
        <v>1</v>
      </c>
      <c r="BD6" s="46">
        <f t="shared" ref="BD6:BD15" ca="1" si="14">IFERROR(IF(ROW(B1)&lt;=Num_Modalities,BK6/$BM6,""),"")</f>
        <v>0</v>
      </c>
      <c r="BE6" s="46">
        <f t="shared" ref="BE6:BE15" ca="1" si="15">IFERROR(IF(ROW(C1)&lt;=Num_Modalities,BL6/$BM6,""),"")</f>
        <v>0</v>
      </c>
      <c r="BF6" s="5">
        <f ca="1">SUM(OFFSET($BQ$4,'SPC background (hide)'!$C$4-1,((ROW(A1)-1)*3)+MOD(COLUMN(C1),3),'SPC background (hide)'!$I$11,1))</f>
        <v>13624</v>
      </c>
      <c r="BG6" s="5">
        <f ca="1">SUM(OFFSET($BQ$4,'SPC background (hide)'!$C$4-1,((ROW(B1)-1)*3)+MOD(COLUMN(D1),3),'SPC background (hide)'!$I$11,1))</f>
        <v>0</v>
      </c>
      <c r="BH6" s="5">
        <f ca="1">SUM(OFFSET($BQ$4,'SPC background (hide)'!$C$4-1,((ROW(C1)-1)*3)+MOD(COLUMN(E1),3),'SPC background (hide)'!$I$11,1))</f>
        <v>0</v>
      </c>
      <c r="BI6" s="5">
        <f ca="1">SUM(BF6:BH6)</f>
        <v>13624</v>
      </c>
      <c r="BJ6" s="5">
        <f ca="1">BF6*OFFSET($N$2,0,ROW(A1)-1,1,1)</f>
        <v>27248</v>
      </c>
      <c r="BK6" s="5">
        <f t="shared" ref="BK6:BL6" ca="1" si="16">BG6*OFFSET($N$2,0,ROW(B1)-1,1,1)</f>
        <v>0</v>
      </c>
      <c r="BL6" s="5">
        <f t="shared" ca="1" si="16"/>
        <v>0</v>
      </c>
      <c r="BM6" s="5">
        <f ca="1">SUM(BJ6:BL6)</f>
        <v>27248</v>
      </c>
      <c r="BN6" s="5">
        <f ca="1">OFFSET($N$2,0,ROW(A1)-1,1,1)</f>
        <v>2</v>
      </c>
      <c r="BO6" s="84">
        <f ca="1">BM6/$BM$16</f>
        <v>1</v>
      </c>
      <c r="BQ6">
        <f ca="1">IF($AN6="",OFFSET(Demand!$A$13,ROW(A3)-1,4+((QUOTIENT(COLUMN(BQ$2)-69,3))*5)+MOD(COLUMN(BQ$2),3),1,1),"")</f>
        <v>1766</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21</v>
      </c>
      <c r="DN6" s="318">
        <f t="shared" ref="DN6:DN56" si="17">DN5+7</f>
        <v>43969</v>
      </c>
      <c r="DO6" s="5">
        <f ca="1">VLOOKUP(IF($DM6&lt;53,$DM6,52),'Summary Calculations (hide)'!$D$15:$F$67,2,0)</f>
        <v>2442.5</v>
      </c>
      <c r="DP6" s="5">
        <f ca="1">VLOOKUP(IF($DM6&lt;53,$DM6,52),'Summary Calculations (hide)'!$D$15:$F$67,3,0)</f>
        <v>4500.4999999999982</v>
      </c>
      <c r="DQ6" s="5">
        <f ca="1">IF(AND(DN6&gt;='Demand adjustments for Covid'!$F$12,DN6&lt;'Demand adjustments for Covid'!$F$17),'Demand adjustments for Covid'!$F$13,DO6)</f>
        <v>2442.5</v>
      </c>
      <c r="DR6" s="5">
        <f t="shared" si="7"/>
        <v>1</v>
      </c>
      <c r="DS6" s="5">
        <f ca="1">IF('Demand adjustments for Covid'!$F$9="Yes",IF(DR6=0,DQ6,((SUM(DR$4:DR6)-1)*$EE$8)+'Demand adjustments for Covid'!F$13),'Demand background (hide)'!DO6)</f>
        <v>3340.625</v>
      </c>
      <c r="DT6" s="5">
        <f ca="1">IF('Demand adjustments for Covid'!$F$9="Yes",IF(OR(AND(DN6&gt;='Demand adjustments for Covid'!$F$12,DN6&lt;'Demand adjustments for Covid'!$F$17),DR6=1),DS6+3,DP6),'Demand background (hide)'!DP6)</f>
        <v>3343.625</v>
      </c>
      <c r="DU6" s="5">
        <f ca="1">IF(DS6&lt;='Demand adjustments for Covid'!$F$17,DO6-DS6,0)</f>
        <v>-898.125</v>
      </c>
      <c r="DV6" s="5">
        <f ca="1">IF(AND(ROW(A3)&gt;$EE$5,ROW(A3)&lt;=$EA$5),OFFSET('Demand adjustments for Covid'!$F$35,0,ROW(A3)-'Demand background (hide)'!$EE$5,1,1),0)</f>
        <v>0</v>
      </c>
      <c r="DW6" s="5">
        <f ca="1">IF(AND(ROW(A3)&gt;$EE$5,ROW(A3)&lt;=$EA$5),OFFSET('Demand adjustments for Covid'!$F$36,0,ROW(A3)-'Demand background (hide)'!$EE$5,1,1),0)</f>
        <v>0</v>
      </c>
      <c r="DX6" s="5">
        <f t="shared" ca="1" si="11"/>
        <v>3343.625</v>
      </c>
      <c r="EA6" s="318"/>
    </row>
    <row r="7" spans="1:135"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2252</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2252</v>
      </c>
      <c r="Y7" s="5">
        <f t="shared" ca="1" si="5"/>
        <v>2252</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2252</v>
      </c>
      <c r="AM7" s="5">
        <f t="shared" ca="1" si="9"/>
        <v>0</v>
      </c>
      <c r="AN7" s="5" t="str">
        <f>IF(Demand!BE16="Yes","Yes","")</f>
        <v/>
      </c>
      <c r="AP7" s="36" t="str">
        <f ca="1">Demand!B16</f>
        <v xml:space="preserve"> </v>
      </c>
      <c r="AQ7" s="5" t="str">
        <f ca="1">IF(TEXT(Demand!D16,"MMM")&lt;&gt;TEXT(Demand!D15,"MMM"),TEXT(Demand!D16,"MMM"),"")</f>
        <v/>
      </c>
      <c r="AT7" s="5">
        <f t="shared" ca="1" si="12"/>
        <v>1280</v>
      </c>
      <c r="AV7" s="5" t="s">
        <v>138</v>
      </c>
      <c r="AW7" s="44">
        <f ca="1">PERCENTILE(OFFSET(AL$4,'SPC background (hide)'!$C$4-1,0,'SPC background (hide)'!$H$5,1),'Control sheet (hide)'!$I$10)</f>
        <v>4500.4999999999982</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f t="shared" ref="BO7:BO15" ca="1" si="22">BM7/$BM$16</f>
        <v>0</v>
      </c>
      <c r="BQ7">
        <f ca="1">IF($AN7="",OFFSET(Demand!$A$13,ROW(A4)-1,4+((QUOTIENT(COLUMN(BQ$2)-69,3))*5)+MOD(COLUMN(BQ$2),3),1,1),"")</f>
        <v>1126</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22</v>
      </c>
      <c r="DN7" s="318">
        <f t="shared" si="17"/>
        <v>43976</v>
      </c>
      <c r="DO7" s="5">
        <f ca="1">VLOOKUP(IF($DM7&lt;53,$DM7,52),'Summary Calculations (hide)'!$D$15:$F$67,2,0)</f>
        <v>2442.5</v>
      </c>
      <c r="DP7" s="5">
        <f ca="1">VLOOKUP(IF($DM7&lt;53,$DM7,52),'Summary Calculations (hide)'!$D$15:$F$67,3,0)</f>
        <v>4500.4999999999982</v>
      </c>
      <c r="DQ7" s="5">
        <f ca="1">IF(AND(DN7&gt;='Demand adjustments for Covid'!$F$12,DN7&lt;'Demand adjustments for Covid'!$F$17),'Demand adjustments for Covid'!$F$13,DO7)</f>
        <v>2442.5</v>
      </c>
      <c r="DR7" s="5">
        <f t="shared" si="7"/>
        <v>1</v>
      </c>
      <c r="DS7" s="5">
        <f ca="1">IF('Demand adjustments for Covid'!$F$9="Yes",IF(DR7=0,DQ7,((SUM(DR$4:DR7)-1)*$EE$8)+'Demand adjustments for Covid'!F$13),'Demand background (hide)'!DO7)</f>
        <v>3190.9375</v>
      </c>
      <c r="DT7" s="5">
        <f ca="1">IF('Demand adjustments for Covid'!$F$9="Yes",IF(OR(AND(DN7&gt;='Demand adjustments for Covid'!$F$12,DN7&lt;'Demand adjustments for Covid'!$F$17),DR7=1),DS7+3,DP7),'Demand background (hide)'!DP7)</f>
        <v>3193.9375</v>
      </c>
      <c r="DU7" s="5">
        <f ca="1">IF(DS7&lt;='Demand adjustments for Covid'!$F$17,DO7-DS7,0)</f>
        <v>-748.4375</v>
      </c>
      <c r="DV7" s="5">
        <f ca="1">IF(AND(ROW(A4)&gt;$EE$5,ROW(A4)&lt;=$EA$5),OFFSET('Demand adjustments for Covid'!$F$35,0,ROW(A4)-'Demand background (hide)'!$EE$5,1,1),0)</f>
        <v>0</v>
      </c>
      <c r="DW7" s="5">
        <f ca="1">IF(AND(ROW(A4)&gt;$EE$5,ROW(A4)&lt;=$EA$5),OFFSET('Demand adjustments for Covid'!$F$36,0,ROW(A4)-'Demand background (hide)'!$EE$5,1,1),0)</f>
        <v>0</v>
      </c>
      <c r="DX7" s="5">
        <f t="shared" ca="1" si="11"/>
        <v>3193.9375</v>
      </c>
      <c r="ED7" s="5" t="s">
        <v>1198</v>
      </c>
      <c r="EE7" s="5">
        <f ca="1">INDEX($DO$4:$DO$55,EE5)</f>
        <v>2442.5</v>
      </c>
    </row>
    <row r="8" spans="1:135"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1554</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1554</v>
      </c>
      <c r="Y8" s="5">
        <f t="shared" ca="1" si="5"/>
        <v>1554</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1554</v>
      </c>
      <c r="AM8" s="5">
        <f t="shared" ca="1" si="9"/>
        <v>0</v>
      </c>
      <c r="AN8" s="5" t="str">
        <f>IF(Demand!BE17="Yes","Yes","")</f>
        <v/>
      </c>
      <c r="AP8" s="36" t="str">
        <f ca="1">Demand!B17</f>
        <v xml:space="preserve"> </v>
      </c>
      <c r="AQ8" s="5" t="str">
        <f ca="1">IF(TEXT(Demand!D17,"MMM")&lt;&gt;TEXT(Demand!D16,"MMM"),TEXT(Demand!D17,"MMM"),"")</f>
        <v/>
      </c>
      <c r="AT8" s="5">
        <f t="shared" ca="1" si="12"/>
        <v>698</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f t="shared" ca="1" si="22"/>
        <v>0</v>
      </c>
      <c r="BQ8">
        <f ca="1">IF($AN8="",OFFSET(Demand!$A$13,ROW(A5)-1,4+((QUOTIENT(COLUMN(BQ$2)-69,3))*5)+MOD(COLUMN(BQ$2),3),1,1),"")</f>
        <v>777</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23</v>
      </c>
      <c r="DN8" s="318">
        <f t="shared" si="17"/>
        <v>43983</v>
      </c>
      <c r="DO8" s="5">
        <f ca="1">VLOOKUP(IF($DM8&lt;53,$DM8,52),'Summary Calculations (hide)'!$D$15:$F$67,2,0)</f>
        <v>2442.5</v>
      </c>
      <c r="DP8" s="5">
        <f ca="1">VLOOKUP(IF($DM8&lt;53,$DM8,52),'Summary Calculations (hide)'!$D$15:$F$67,3,0)</f>
        <v>4500.4999999999982</v>
      </c>
      <c r="DQ8" s="5">
        <f ca="1">IF(AND(DN8&gt;='Demand adjustments for Covid'!$F$12,DN8&lt;'Demand adjustments for Covid'!$F$17),'Demand adjustments for Covid'!$F$13,DO8)</f>
        <v>2442.5</v>
      </c>
      <c r="DR8" s="5">
        <f t="shared" si="7"/>
        <v>1</v>
      </c>
      <c r="DS8" s="5">
        <f ca="1">IF('Demand adjustments for Covid'!$F$9="Yes",IF(DR8=0,DQ8,((SUM(DR$4:DR8)-1)*$EE$8)+'Demand adjustments for Covid'!F$13),'Demand background (hide)'!DO8)</f>
        <v>3041.25</v>
      </c>
      <c r="DT8" s="5">
        <f ca="1">IF('Demand adjustments for Covid'!$F$9="Yes",IF(OR(AND(DN8&gt;='Demand adjustments for Covid'!$F$12,DN8&lt;'Demand adjustments for Covid'!$F$17),DR8=1),DS8+3,DP8),'Demand background (hide)'!DP8)</f>
        <v>3044.25</v>
      </c>
      <c r="DU8" s="5">
        <f ca="1">IF(DS8&lt;='Demand adjustments for Covid'!$F$17,DO8-DS8,0)</f>
        <v>-598.75</v>
      </c>
      <c r="DV8" s="5">
        <f ca="1">IF(AND(ROW(A5)&gt;$EE$5,ROW(A5)&lt;=$EA$5),OFFSET('Demand adjustments for Covid'!$F$35,0,ROW(A5)-'Demand background (hide)'!$EE$5,1,1),0)</f>
        <v>0</v>
      </c>
      <c r="DW8" s="5">
        <f ca="1">IF(AND(ROW(A5)&gt;$EE$5,ROW(A5)&lt;=$EA$5),OFFSET('Demand adjustments for Covid'!$F$36,0,ROW(A5)-'Demand background (hide)'!$EE$5,1,1),0)</f>
        <v>0</v>
      </c>
      <c r="DX8" s="5">
        <f t="shared" ca="1" si="11"/>
        <v>3044.25</v>
      </c>
      <c r="ED8" s="5" t="s">
        <v>1199</v>
      </c>
      <c r="EE8" s="5">
        <f ca="1">IF('Demand adjustments for Covid'!F18&gt;0,(EE7-'Demand adjustments for Covid'!F13)/'Demand adjustments for Covid'!F18,0)</f>
        <v>-149.6875</v>
      </c>
    </row>
    <row r="9" spans="1:135"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1256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1256</v>
      </c>
      <c r="Y9" s="5">
        <f t="shared" ca="1" si="5"/>
        <v>1256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1256</v>
      </c>
      <c r="AM9" s="5">
        <f t="shared" ca="1" si="9"/>
        <v>0</v>
      </c>
      <c r="AN9" s="5" t="str">
        <f>IF(Demand!BE18="Yes","Yes","")</f>
        <v/>
      </c>
      <c r="AP9" s="36" t="str">
        <f ca="1">Demand!B18</f>
        <v xml:space="preserve"> </v>
      </c>
      <c r="AQ9" s="5" t="str">
        <f ca="1">IF(TEXT(Demand!D18,"MMM")&lt;&gt;TEXT(Demand!D17,"MMM"),TEXT(Demand!D18,"MMM"),"")</f>
        <v>Apr</v>
      </c>
      <c r="AT9" s="5">
        <f t="shared" ca="1" si="12"/>
        <v>298</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f t="shared" ca="1" si="22"/>
        <v>0</v>
      </c>
      <c r="BQ9">
        <f ca="1">IF($AN9="",OFFSET(Demand!$A$13,ROW(A6)-1,4+((QUOTIENT(COLUMN(BQ$2)-69,3))*5)+MOD(COLUMN(BQ$2),3),1,1),"")</f>
        <v>628</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24</v>
      </c>
      <c r="DN9" s="318">
        <f t="shared" si="17"/>
        <v>43990</v>
      </c>
      <c r="DO9" s="5">
        <f ca="1">VLOOKUP(IF($DM9&lt;53,$DM9,52),'Summary Calculations (hide)'!$D$15:$F$67,2,0)</f>
        <v>2442.5</v>
      </c>
      <c r="DP9" s="5">
        <f ca="1">VLOOKUP(IF($DM9&lt;53,$DM9,52),'Summary Calculations (hide)'!$D$15:$F$67,3,0)</f>
        <v>4500.4999999999982</v>
      </c>
      <c r="DQ9" s="5">
        <f ca="1">IF(AND(DN9&gt;='Demand adjustments for Covid'!$F$12,DN9&lt;'Demand adjustments for Covid'!$F$17),'Demand adjustments for Covid'!$F$13,DO9)</f>
        <v>2442.5</v>
      </c>
      <c r="DR9" s="5">
        <f t="shared" si="7"/>
        <v>1</v>
      </c>
      <c r="DS9" s="5">
        <f ca="1">IF('Demand adjustments for Covid'!$F$9="Yes",IF(DR9=0,DQ9,((SUM(DR$4:DR9)-1)*$EE$8)+'Demand adjustments for Covid'!F$13),'Demand background (hide)'!DO9)</f>
        <v>2891.5625</v>
      </c>
      <c r="DT9" s="5">
        <f ca="1">IF('Demand adjustments for Covid'!$F$9="Yes",IF(OR(AND(DN9&gt;='Demand adjustments for Covid'!$F$12,DN9&lt;'Demand adjustments for Covid'!$F$17),DR9=1),DS9+3,DP9),'Demand background (hide)'!DP9)</f>
        <v>2894.5625</v>
      </c>
      <c r="DU9" s="5">
        <f ca="1">IF(DS9&lt;='Demand adjustments for Covid'!$F$17,DO9-DS9,0)</f>
        <v>-449.0625</v>
      </c>
      <c r="DV9" s="5">
        <f ca="1">IF(AND(ROW(A6)&gt;$EE$5,ROW(A6)&lt;=$EA$5),OFFSET('Demand adjustments for Covid'!$F$35,0,ROW(A6)-'Demand background (hide)'!$EE$5,1,1),0)</f>
        <v>0</v>
      </c>
      <c r="DW9" s="5">
        <f ca="1">IF(AND(ROW(A6)&gt;$EE$5,ROW(A6)&lt;=$EA$5),OFFSET('Demand adjustments for Covid'!$F$36,0,ROW(A6)-'Demand background (hide)'!$EE$5,1,1),0)</f>
        <v>0</v>
      </c>
      <c r="DX9" s="5">
        <f t="shared" ca="1" si="11"/>
        <v>2894.5625</v>
      </c>
    </row>
    <row r="10" spans="1:135"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1638</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1638</v>
      </c>
      <c r="Y10" s="5">
        <f t="shared" ca="1" si="5"/>
        <v>1638</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1638</v>
      </c>
      <c r="AM10" s="5">
        <f t="shared" ca="1" si="9"/>
        <v>0</v>
      </c>
      <c r="AN10" s="5" t="str">
        <f>IF(Demand!BE19="Yes","Yes","")</f>
        <v/>
      </c>
      <c r="AP10" s="36" t="str">
        <f ca="1">Demand!B19</f>
        <v xml:space="preserve"> </v>
      </c>
      <c r="AQ10" s="5" t="str">
        <f ca="1">IF(TEXT(Demand!D19,"MMM")&lt;&gt;TEXT(Demand!D18,"MMM"),TEXT(Demand!D19,"MMM"),"")</f>
        <v/>
      </c>
      <c r="AT10" s="5">
        <f t="shared" ca="1" si="12"/>
        <v>382</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f t="shared" ca="1" si="22"/>
        <v>0</v>
      </c>
      <c r="BQ10">
        <f ca="1">IF($AN10="",OFFSET(Demand!$A$13,ROW(A7)-1,4+((QUOTIENT(COLUMN(BQ$2)-69,3))*5)+MOD(COLUMN(BQ$2),3),1,1),"")</f>
        <v>819</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25</v>
      </c>
      <c r="DN10" s="318">
        <f t="shared" si="17"/>
        <v>43997</v>
      </c>
      <c r="DO10" s="5">
        <f ca="1">VLOOKUP(IF($DM10&lt;53,$DM10,52),'Summary Calculations (hide)'!$D$15:$F$67,2,0)</f>
        <v>2442.5</v>
      </c>
      <c r="DP10" s="5">
        <f ca="1">VLOOKUP(IF($DM10&lt;53,$DM10,52),'Summary Calculations (hide)'!$D$15:$F$67,3,0)</f>
        <v>4500.4999999999982</v>
      </c>
      <c r="DQ10" s="5">
        <f ca="1">IF(AND(DN10&gt;='Demand adjustments for Covid'!$F$12,DN10&lt;'Demand adjustments for Covid'!$F$17),'Demand adjustments for Covid'!$F$13,DO10)</f>
        <v>2442.5</v>
      </c>
      <c r="DR10" s="5">
        <f t="shared" si="7"/>
        <v>1</v>
      </c>
      <c r="DS10" s="5">
        <f ca="1">IF('Demand adjustments for Covid'!$F$9="Yes",IF(DR10=0,DQ10,((SUM(DR$4:DR10)-1)*$EE$8)+'Demand adjustments for Covid'!F$13),'Demand background (hide)'!DO10)</f>
        <v>2741.875</v>
      </c>
      <c r="DT10" s="5">
        <f ca="1">IF('Demand adjustments for Covid'!$F$9="Yes",IF(OR(AND(DN10&gt;='Demand adjustments for Covid'!$F$12,DN10&lt;'Demand adjustments for Covid'!$F$17),DR10=1),DS10+3,DP10),'Demand background (hide)'!DP10)</f>
        <v>2744.875</v>
      </c>
      <c r="DU10" s="5">
        <f ca="1">IF(DS10&lt;='Demand adjustments for Covid'!$F$17,DO10-DS10,0)</f>
        <v>-299.375</v>
      </c>
      <c r="DV10" s="5">
        <f ca="1">IF(AND(ROW(A7)&gt;$EE$5,ROW(A7)&lt;=$EA$5),OFFSET('Demand adjustments for Covid'!$F$35,0,ROW(A7)-'Demand background (hide)'!$EE$5,1,1),0)</f>
        <v>0</v>
      </c>
      <c r="DW10" s="5">
        <f ca="1">IF(AND(ROW(A7)&gt;$EE$5,ROW(A7)&lt;=$EA$5),OFFSET('Demand adjustments for Covid'!$F$36,0,ROW(A7)-'Demand background (hide)'!$EE$5,1,1),0)</f>
        <v>0</v>
      </c>
      <c r="DX10" s="5">
        <f t="shared" ca="1" si="11"/>
        <v>2744.875</v>
      </c>
      <c r="ED10" s="5" t="s">
        <v>1202</v>
      </c>
      <c r="EE10" s="5">
        <f ca="1">SUM(DU4:DU55)</f>
        <v>-5388.75</v>
      </c>
    </row>
    <row r="11" spans="1:135"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1946</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1946</v>
      </c>
      <c r="Y11" s="5">
        <f t="shared" ca="1" si="5"/>
        <v>1946</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1946</v>
      </c>
      <c r="AM11" s="5">
        <f t="shared" ca="1" si="9"/>
        <v>0</v>
      </c>
      <c r="AN11" s="5" t="str">
        <f>IF(Demand!BE20="Yes","Yes","")</f>
        <v/>
      </c>
      <c r="AP11" s="36" t="str">
        <f ca="1">Demand!B20</f>
        <v xml:space="preserve"> </v>
      </c>
      <c r="AQ11" s="5" t="str">
        <f ca="1">IF(TEXT(Demand!D20,"MMM")&lt;&gt;TEXT(Demand!D19,"MMM"),TEXT(Demand!D20,"MMM"),"")</f>
        <v/>
      </c>
      <c r="AT11" s="5">
        <f t="shared" ca="1" si="12"/>
        <v>308</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f t="shared" ca="1" si="22"/>
        <v>0</v>
      </c>
      <c r="BQ11">
        <f ca="1">IF($AN11="",OFFSET(Demand!$A$13,ROW(A8)-1,4+((QUOTIENT(COLUMN(BQ$2)-69,3))*5)+MOD(COLUMN(BQ$2),3),1,1),"")</f>
        <v>973</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26</v>
      </c>
      <c r="DN11" s="318">
        <f t="shared" si="17"/>
        <v>44004</v>
      </c>
      <c r="DO11" s="5">
        <f ca="1">VLOOKUP(IF($DM11&lt;53,$DM11,52),'Summary Calculations (hide)'!$D$15:$F$67,2,0)</f>
        <v>2442.5</v>
      </c>
      <c r="DP11" s="5">
        <f ca="1">VLOOKUP(IF($DM11&lt;53,$DM11,52),'Summary Calculations (hide)'!$D$15:$F$67,3,0)</f>
        <v>4500.4999999999982</v>
      </c>
      <c r="DQ11" s="5">
        <f ca="1">IF(AND(DN11&gt;='Demand adjustments for Covid'!$F$12,DN11&lt;'Demand adjustments for Covid'!$F$17),'Demand adjustments for Covid'!$F$13,DO11)</f>
        <v>2442.5</v>
      </c>
      <c r="DR11" s="5">
        <f t="shared" si="7"/>
        <v>1</v>
      </c>
      <c r="DS11" s="5">
        <f ca="1">IF('Demand adjustments for Covid'!$F$9="Yes",IF(DR11=0,DQ11,((SUM(DR$4:DR11)-1)*$EE$8)+'Demand adjustments for Covid'!F$13),'Demand background (hide)'!DO11)</f>
        <v>2592.1875</v>
      </c>
      <c r="DT11" s="5">
        <f ca="1">IF('Demand adjustments for Covid'!$F$9="Yes",IF(OR(AND(DN11&gt;='Demand adjustments for Covid'!$F$12,DN11&lt;'Demand adjustments for Covid'!$F$17),DR11=1),DS11+3,DP11),'Demand background (hide)'!DP11)</f>
        <v>2595.1875</v>
      </c>
      <c r="DU11" s="5">
        <f ca="1">IF(DS11&lt;='Demand adjustments for Covid'!$F$17,DO11-DS11,0)</f>
        <v>-149.6875</v>
      </c>
      <c r="DV11" s="5">
        <f ca="1">IF(AND(ROW(A8)&gt;$EE$5,ROW(A8)&lt;=$EA$5),OFFSET('Demand adjustments for Covid'!$F$35,0,ROW(A8)-'Demand background (hide)'!$EE$5,1,1),0)</f>
        <v>0</v>
      </c>
      <c r="DW11" s="5">
        <f ca="1">IF(AND(ROW(A8)&gt;$EE$5,ROW(A8)&lt;=$EA$5),OFFSET('Demand adjustments for Covid'!$F$36,0,ROW(A8)-'Demand background (hide)'!$EE$5,1,1),0)</f>
        <v>0</v>
      </c>
      <c r="DX11" s="5">
        <f t="shared" ca="1" si="11"/>
        <v>2595.1875</v>
      </c>
    </row>
    <row r="12" spans="1:135"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2468</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2468</v>
      </c>
      <c r="Y12" s="5">
        <f t="shared" ca="1" si="5"/>
        <v>2468</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2468</v>
      </c>
      <c r="AM12" s="5">
        <f t="shared" ca="1" si="9"/>
        <v>0</v>
      </c>
      <c r="AN12" s="5" t="str">
        <f>IF(Demand!BE21="Yes","Yes","")</f>
        <v/>
      </c>
      <c r="AP12" s="36" t="str">
        <f ca="1">Demand!B21</f>
        <v xml:space="preserve"> </v>
      </c>
      <c r="AQ12" s="5" t="str">
        <f ca="1">IF(TEXT(Demand!D21,"MMM")&lt;&gt;TEXT(Demand!D20,"MMM"),TEXT(Demand!D21,"MMM"),"")</f>
        <v/>
      </c>
      <c r="AT12" s="5">
        <f t="shared" ca="1" si="12"/>
        <v>522</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f t="shared" ca="1" si="22"/>
        <v>0</v>
      </c>
      <c r="BQ12">
        <f ca="1">IF($AN12="",OFFSET(Demand!$A$13,ROW(A9)-1,4+((QUOTIENT(COLUMN(BQ$2)-69,3))*5)+MOD(COLUMN(BQ$2),3),1,1),"")</f>
        <v>1234</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27</v>
      </c>
      <c r="DN12" s="318">
        <f t="shared" si="17"/>
        <v>44011</v>
      </c>
      <c r="DO12" s="5">
        <f ca="1">VLOOKUP(IF($DM12&lt;53,$DM12,52),'Summary Calculations (hide)'!$D$15:$F$67,2,0)</f>
        <v>2442.5</v>
      </c>
      <c r="DP12" s="5">
        <f ca="1">VLOOKUP(IF($DM12&lt;53,$DM12,52),'Summary Calculations (hide)'!$D$15:$F$67,3,0)</f>
        <v>4500.4999999999982</v>
      </c>
      <c r="DQ12" s="5">
        <f ca="1">IF(AND(DN12&gt;='Demand adjustments for Covid'!$F$12,DN12&lt;'Demand adjustments for Covid'!$F$17),'Demand adjustments for Covid'!$F$13,DO12)</f>
        <v>2442.5</v>
      </c>
      <c r="DR12" s="5">
        <f t="shared" si="7"/>
        <v>1</v>
      </c>
      <c r="DS12" s="5">
        <f ca="1">IF('Demand adjustments for Covid'!$F$9="Yes",IF(DR12=0,DQ12,((SUM(DR$4:DR12)-1)*$EE$8)+'Demand adjustments for Covid'!F$13),'Demand background (hide)'!DO12)</f>
        <v>2442.5</v>
      </c>
      <c r="DT12" s="5">
        <f ca="1">IF('Demand adjustments for Covid'!$F$9="Yes",IF(OR(AND(DN12&gt;='Demand adjustments for Covid'!$F$12,DN12&lt;'Demand adjustments for Covid'!$F$17),DR12=1),DS12+3,DP12),'Demand background (hide)'!DP12)</f>
        <v>2445.5</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2445.5</v>
      </c>
    </row>
    <row r="13" spans="1:135"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2298</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2298</v>
      </c>
      <c r="Y13" s="5">
        <f t="shared" ca="1" si="5"/>
        <v>2298</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2298</v>
      </c>
      <c r="AM13" s="5">
        <f t="shared" ca="1" si="9"/>
        <v>0</v>
      </c>
      <c r="AN13" s="5" t="str">
        <f>IF(Demand!BE22="Yes","Yes","")</f>
        <v/>
      </c>
      <c r="AP13" s="36" t="str">
        <f ca="1">Demand!B22</f>
        <v xml:space="preserve"> </v>
      </c>
      <c r="AQ13" s="5" t="str">
        <f ca="1">IF(TEXT(Demand!D22,"MMM")&lt;&gt;TEXT(Demand!D21,"MMM"),TEXT(Demand!D22,"MMM"),"")</f>
        <v>May</v>
      </c>
      <c r="AT13" s="5">
        <f t="shared" ca="1" si="12"/>
        <v>170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f t="shared" ca="1" si="22"/>
        <v>0</v>
      </c>
      <c r="BQ13">
        <f ca="1">IF($AN13="",OFFSET(Demand!$A$13,ROW(A10)-1,4+((QUOTIENT(COLUMN(BQ$2)-69,3))*5)+MOD(COLUMN(BQ$2),3),1,1),"")</f>
        <v>1149</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28</v>
      </c>
      <c r="DN13" s="318">
        <f t="shared" si="17"/>
        <v>44018</v>
      </c>
      <c r="DO13" s="5">
        <f ca="1">VLOOKUP(IF($DM13&lt;53,$DM13,52),'Summary Calculations (hide)'!$D$15:$F$67,2,0)</f>
        <v>2442.5</v>
      </c>
      <c r="DP13" s="5">
        <f ca="1">VLOOKUP(IF($DM13&lt;53,$DM13,52),'Summary Calculations (hide)'!$D$15:$F$67,3,0)</f>
        <v>4500.4999999999982</v>
      </c>
      <c r="DQ13" s="5">
        <f ca="1">IF(AND(DN13&gt;='Demand adjustments for Covid'!$F$12,DN13&lt;'Demand adjustments for Covid'!$F$17),'Demand adjustments for Covid'!$F$13,DO13)</f>
        <v>2442.5</v>
      </c>
      <c r="DR13" s="5">
        <f t="shared" si="7"/>
        <v>0</v>
      </c>
      <c r="DS13" s="5">
        <f ca="1">IF('Demand adjustments for Covid'!$F$9="Yes",IF(DR13=0,DQ13,((SUM(DR$4:DR13)-1)*$EE$8)+'Demand adjustments for Covid'!F$13),'Demand background (hide)'!DO13)</f>
        <v>2442.5</v>
      </c>
      <c r="DT13" s="5">
        <f ca="1">IF('Demand adjustments for Covid'!$F$9="Yes",IF(OR(AND(DN13&gt;='Demand adjustments for Covid'!$F$12,DN13&lt;'Demand adjustments for Covid'!$F$17),DR13=1),DS13+3,DP13),'Demand background (hide)'!DP13)</f>
        <v>4500.4999999999982</v>
      </c>
      <c r="DU13" s="5">
        <f ca="1">IF(DS13&lt;='Demand adjustments for Covid'!$F$17,DO13-DS13,0)</f>
        <v>0</v>
      </c>
      <c r="DV13" s="5">
        <f ca="1">IF(AND(ROW(A10)&gt;$EE$5,ROW(A10)&lt;=$EA$5),OFFSET('Demand adjustments for Covid'!$F$35,0,ROW(A10)-'Demand background (hide)'!$EE$5,1,1),0)</f>
        <v>50</v>
      </c>
      <c r="DW13" s="5">
        <f ca="1">IF(AND(ROW(A10)&gt;$EE$5,ROW(A10)&lt;=$EA$5),OFFSET('Demand adjustments for Covid'!$F$36,0,ROW(A10)-'Demand background (hide)'!$EE$5,1,1),0)</f>
        <v>50</v>
      </c>
      <c r="DX13" s="5">
        <f t="shared" ca="1" si="11"/>
        <v>4600.4999999999982</v>
      </c>
    </row>
    <row r="14" spans="1:135"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2746</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2746</v>
      </c>
      <c r="Y14" s="5">
        <f t="shared" ca="1" si="5"/>
        <v>2746</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2746</v>
      </c>
      <c r="AM14" s="5">
        <f t="shared" ca="1" si="9"/>
        <v>0</v>
      </c>
      <c r="AN14" s="5" t="str">
        <f>IF(Demand!BE23="Yes","Yes","")</f>
        <v/>
      </c>
      <c r="AP14" s="36" t="str">
        <f ca="1">Demand!B23</f>
        <v xml:space="preserve"> </v>
      </c>
      <c r="AQ14" s="5" t="str">
        <f ca="1">IF(TEXT(Demand!D23,"MMM")&lt;&gt;TEXT(Demand!D22,"MMM"),TEXT(Demand!D23,"MMM"),"")</f>
        <v/>
      </c>
      <c r="AT14" s="5">
        <f t="shared" ca="1" si="12"/>
        <v>448</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f t="shared" ca="1" si="22"/>
        <v>0</v>
      </c>
      <c r="BQ14">
        <f ca="1">IF($AN14="",OFFSET(Demand!$A$13,ROW(A11)-1,4+((QUOTIENT(COLUMN(BQ$2)-69,3))*5)+MOD(COLUMN(BQ$2),3),1,1),"")</f>
        <v>1373</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29</v>
      </c>
      <c r="DN14" s="318">
        <f t="shared" si="17"/>
        <v>44025</v>
      </c>
      <c r="DO14" s="5">
        <f ca="1">VLOOKUP(IF($DM14&lt;53,$DM14,52),'Summary Calculations (hide)'!$D$15:$F$67,2,0)</f>
        <v>2442.5</v>
      </c>
      <c r="DP14" s="5">
        <f ca="1">VLOOKUP(IF($DM14&lt;53,$DM14,52),'Summary Calculations (hide)'!$D$15:$F$67,3,0)</f>
        <v>4500.4999999999982</v>
      </c>
      <c r="DQ14" s="5">
        <f ca="1">IF(AND(DN14&gt;='Demand adjustments for Covid'!$F$12,DN14&lt;'Demand adjustments for Covid'!$F$17),'Demand adjustments for Covid'!$F$13,DO14)</f>
        <v>2442.5</v>
      </c>
      <c r="DR14" s="5">
        <f t="shared" si="7"/>
        <v>0</v>
      </c>
      <c r="DS14" s="5">
        <f ca="1">IF('Demand adjustments for Covid'!$F$9="Yes",IF(DR14=0,DQ14,((SUM(DR$4:DR14)-1)*$EE$8)+'Demand adjustments for Covid'!F$13),'Demand background (hide)'!DO14)</f>
        <v>2442.5</v>
      </c>
      <c r="DT14" s="5">
        <f ca="1">IF('Demand adjustments for Covid'!$F$9="Yes",IF(OR(AND(DN14&gt;='Demand adjustments for Covid'!$F$12,DN14&lt;'Demand adjustments for Covid'!$F$17),DR14=1),DS14+3,DP14),'Demand background (hide)'!DP14)</f>
        <v>4500.4999999999982</v>
      </c>
      <c r="DU14" s="5">
        <f ca="1">IF(DS14&lt;='Demand adjustments for Covid'!$F$17,DO14-DS14,0)</f>
        <v>0</v>
      </c>
      <c r="DV14" s="5">
        <f ca="1">IF(AND(ROW(A11)&gt;$EE$5,ROW(A11)&lt;=$EA$5),OFFSET('Demand adjustments for Covid'!$F$35,0,ROW(A11)-'Demand background (hide)'!$EE$5,1,1),0)</f>
        <v>50</v>
      </c>
      <c r="DW14" s="5">
        <f ca="1">IF(AND(ROW(A11)&gt;$EE$5,ROW(A11)&lt;=$EA$5),OFFSET('Demand adjustments for Covid'!$F$36,0,ROW(A11)-'Demand background (hide)'!$EE$5,1,1),0)</f>
        <v>50</v>
      </c>
      <c r="DX14" s="5">
        <f t="shared" ca="1" si="11"/>
        <v>4600.4999999999982</v>
      </c>
    </row>
    <row r="15" spans="1:135"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2812</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2812</v>
      </c>
      <c r="Y15" s="5">
        <f t="shared" ca="1" si="5"/>
        <v>2812</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2812</v>
      </c>
      <c r="AM15" s="5">
        <f t="shared" ca="1" si="9"/>
        <v>0</v>
      </c>
      <c r="AN15" s="5" t="str">
        <f>IF(Demand!BE24="Yes","Yes","")</f>
        <v/>
      </c>
      <c r="AP15" s="36" t="str">
        <f ca="1">Demand!B24</f>
        <v xml:space="preserve"> </v>
      </c>
      <c r="AQ15" s="5" t="str">
        <f ca="1">IF(TEXT(Demand!D24,"MMM")&lt;&gt;TEXT(Demand!D23,"MMM"),TEXT(Demand!D24,"MMM"),"")</f>
        <v/>
      </c>
      <c r="AT15" s="5">
        <f t="shared" ca="1" si="12"/>
        <v>66</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f t="shared" ca="1" si="22"/>
        <v>0</v>
      </c>
      <c r="BQ15">
        <f ca="1">IF($AN15="",OFFSET(Demand!$A$13,ROW(A12)-1,4+((QUOTIENT(COLUMN(BQ$2)-69,3))*5)+MOD(COLUMN(BQ$2),3),1,1),"")</f>
        <v>1406</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30</v>
      </c>
      <c r="DN15" s="318">
        <f t="shared" si="17"/>
        <v>44032</v>
      </c>
      <c r="DO15" s="5">
        <f ca="1">VLOOKUP(IF($DM15&lt;53,$DM15,52),'Summary Calculations (hide)'!$D$15:$F$67,2,0)</f>
        <v>2442.5</v>
      </c>
      <c r="DP15" s="5">
        <f ca="1">VLOOKUP(IF($DM15&lt;53,$DM15,52),'Summary Calculations (hide)'!$D$15:$F$67,3,0)</f>
        <v>4500.4999999999982</v>
      </c>
      <c r="DQ15" s="5">
        <f ca="1">IF(AND(DN15&gt;='Demand adjustments for Covid'!$F$12,DN15&lt;'Demand adjustments for Covid'!$F$17),'Demand adjustments for Covid'!$F$13,DO15)</f>
        <v>2442.5</v>
      </c>
      <c r="DR15" s="5">
        <f t="shared" si="7"/>
        <v>0</v>
      </c>
      <c r="DS15" s="5">
        <f ca="1">IF('Demand adjustments for Covid'!$F$9="Yes",IF(DR15=0,DQ15,((SUM(DR$4:DR15)-1)*$EE$8)+'Demand adjustments for Covid'!F$13),'Demand background (hide)'!DO15)</f>
        <v>2442.5</v>
      </c>
      <c r="DT15" s="5">
        <f ca="1">IF('Demand adjustments for Covid'!$F$9="Yes",IF(OR(AND(DN15&gt;='Demand adjustments for Covid'!$F$12,DN15&lt;'Demand adjustments for Covid'!$F$17),DR15=1),DS15+3,DP15),'Demand background (hide)'!DP15)</f>
        <v>4500.4999999999982</v>
      </c>
      <c r="DU15" s="5">
        <f ca="1">IF(DS15&lt;='Demand adjustments for Covid'!$F$17,DO15-DS15,0)</f>
        <v>0</v>
      </c>
      <c r="DV15" s="5">
        <f ca="1">IF(AND(ROW(A12)&gt;$EE$5,ROW(A12)&lt;=$EA$5),OFFSET('Demand adjustments for Covid'!$F$35,0,ROW(A12)-'Demand background (hide)'!$EE$5,1,1),0)</f>
        <v>50</v>
      </c>
      <c r="DW15" s="5">
        <f ca="1">IF(AND(ROW(A12)&gt;$EE$5,ROW(A12)&lt;=$EA$5),OFFSET('Demand adjustments for Covid'!$F$36,0,ROW(A12)-'Demand background (hide)'!$EE$5,1,1),0)</f>
        <v>50</v>
      </c>
      <c r="DX15" s="5">
        <f t="shared" ca="1" si="11"/>
        <v>4600.4999999999982</v>
      </c>
    </row>
    <row r="16" spans="1:135"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2586</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2586</v>
      </c>
      <c r="Y16" s="5">
        <f t="shared" ca="1" si="5"/>
        <v>2586</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2586</v>
      </c>
      <c r="AM16" s="5">
        <f t="shared" ca="1" si="9"/>
        <v>0</v>
      </c>
      <c r="AN16" s="5" t="str">
        <f>IF(Demand!BE25="Yes","Yes","")</f>
        <v/>
      </c>
      <c r="AP16" s="36" t="str">
        <f ca="1">Demand!B25</f>
        <v xml:space="preserve"> </v>
      </c>
      <c r="AQ16" s="5" t="str">
        <f ca="1">IF(TEXT(Demand!D25,"MMM")&lt;&gt;TEXT(Demand!D24,"MMM"),TEXT(Demand!D25,"MMM"),"")</f>
        <v/>
      </c>
      <c r="AT16" s="5">
        <f t="shared" ca="1" si="12"/>
        <v>226</v>
      </c>
      <c r="BB16" s="5" t="s">
        <v>24</v>
      </c>
      <c r="BC16" s="46">
        <f ca="1">BJ16/$BM16</f>
        <v>1</v>
      </c>
      <c r="BD16" s="46">
        <f ca="1">BK16/$BM16</f>
        <v>0</v>
      </c>
      <c r="BE16" s="46">
        <f ca="1">BL16/$BM16</f>
        <v>0</v>
      </c>
      <c r="BF16" s="5">
        <f t="shared" ref="BF16:BM16" ca="1" si="31">SUM(OFFSET(BF$6,0,0,Num_Modalities,1))</f>
        <v>13624</v>
      </c>
      <c r="BG16" s="5">
        <f t="shared" ca="1" si="31"/>
        <v>0</v>
      </c>
      <c r="BH16" s="5">
        <f t="shared" ca="1" si="31"/>
        <v>0</v>
      </c>
      <c r="BI16" s="5">
        <f t="shared" ca="1" si="31"/>
        <v>13624</v>
      </c>
      <c r="BJ16" s="5">
        <f t="shared" ca="1" si="31"/>
        <v>27248</v>
      </c>
      <c r="BK16" s="5">
        <f t="shared" ca="1" si="31"/>
        <v>0</v>
      </c>
      <c r="BL16" s="5">
        <f t="shared" ca="1" si="31"/>
        <v>0</v>
      </c>
      <c r="BM16" s="5">
        <f t="shared" ca="1" si="31"/>
        <v>27248</v>
      </c>
      <c r="BN16" s="5">
        <f ca="1">IF(BI16=0,1,BM16/BI16)</f>
        <v>2</v>
      </c>
      <c r="BQ16">
        <f ca="1">IF($AN16="",OFFSET(Demand!$A$13,ROW(A13)-1,4+((QUOTIENT(COLUMN(BQ$2)-69,3))*5)+MOD(COLUMN(BQ$2),3),1,1),"")</f>
        <v>1293</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31</v>
      </c>
      <c r="DN16" s="318">
        <f t="shared" si="17"/>
        <v>44039</v>
      </c>
      <c r="DO16" s="5">
        <f ca="1">VLOOKUP(IF($DM16&lt;53,$DM16,52),'Summary Calculations (hide)'!$D$15:$F$67,2,0)</f>
        <v>2442.5</v>
      </c>
      <c r="DP16" s="5">
        <f ca="1">VLOOKUP(IF($DM16&lt;53,$DM16,52),'Summary Calculations (hide)'!$D$15:$F$67,3,0)</f>
        <v>4500.4999999999982</v>
      </c>
      <c r="DQ16" s="5">
        <f ca="1">IF(AND(DN16&gt;='Demand adjustments for Covid'!$F$12,DN16&lt;'Demand adjustments for Covid'!$F$17),'Demand adjustments for Covid'!$F$13,DO16)</f>
        <v>2442.5</v>
      </c>
      <c r="DR16" s="5">
        <f t="shared" si="7"/>
        <v>0</v>
      </c>
      <c r="DS16" s="5">
        <f ca="1">IF('Demand adjustments for Covid'!$F$9="Yes",IF(DR16=0,DQ16,((SUM(DR$4:DR16)-1)*$EE$8)+'Demand adjustments for Covid'!F$13),'Demand background (hide)'!DO16)</f>
        <v>2442.5</v>
      </c>
      <c r="DT16" s="5">
        <f ca="1">IF('Demand adjustments for Covid'!$F$9="Yes",IF(OR(AND(DN16&gt;='Demand adjustments for Covid'!$F$12,DN16&lt;'Demand adjustments for Covid'!$F$17),DR16=1),DS16+3,DP16),'Demand background (hide)'!DP16)</f>
        <v>4500.4999999999982</v>
      </c>
      <c r="DU16" s="5">
        <f ca="1">IF(DS16&lt;='Demand adjustments for Covid'!$F$17,DO16-DS16,0)</f>
        <v>0</v>
      </c>
      <c r="DV16" s="5">
        <f ca="1">IF(AND(ROW(A13)&gt;$EE$5,ROW(A13)&lt;=$EA$5),OFFSET('Demand adjustments for Covid'!$F$35,0,ROW(A13)-'Demand background (hide)'!$EE$5,1,1),0)</f>
        <v>50</v>
      </c>
      <c r="DW16" s="5">
        <f ca="1">IF(AND(ROW(A13)&gt;$EE$5,ROW(A13)&lt;=$EA$5),OFFSET('Demand adjustments for Covid'!$F$36,0,ROW(A13)-'Demand background (hide)'!$EE$5,1,1),0)</f>
        <v>50</v>
      </c>
      <c r="DX16" s="5">
        <f t="shared" ca="1" si="11"/>
        <v>4600.4999999999982</v>
      </c>
    </row>
    <row r="17" spans="1:128"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3126</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3126</v>
      </c>
      <c r="Y17" s="5">
        <f t="shared" ca="1" si="5"/>
        <v>3126</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3126</v>
      </c>
      <c r="AM17" s="5">
        <f t="shared" ca="1" si="9"/>
        <v>0</v>
      </c>
      <c r="AN17" s="5" t="str">
        <f>IF(Demand!BE26="Yes","Yes","")</f>
        <v/>
      </c>
      <c r="AP17" s="36" t="str">
        <f ca="1">Demand!B26</f>
        <v xml:space="preserve"> </v>
      </c>
      <c r="AQ17" s="5" t="str">
        <f ca="1">IF(TEXT(Demand!D26,"MMM")&lt;&gt;TEXT(Demand!D25,"MMM"),TEXT(Demand!D26,"MMM"),"")</f>
        <v>Jun</v>
      </c>
      <c r="AT17" s="5">
        <f t="shared" ca="1" si="12"/>
        <v>540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1563</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32</v>
      </c>
      <c r="DN17" s="318">
        <f t="shared" si="17"/>
        <v>44046</v>
      </c>
      <c r="DO17" s="5">
        <f ca="1">VLOOKUP(IF($DM17&lt;53,$DM17,52),'Summary Calculations (hide)'!$D$15:$F$67,2,0)</f>
        <v>2442.5</v>
      </c>
      <c r="DP17" s="5">
        <f ca="1">VLOOKUP(IF($DM17&lt;53,$DM17,52),'Summary Calculations (hide)'!$D$15:$F$67,3,0)</f>
        <v>4500.4999999999982</v>
      </c>
      <c r="DQ17" s="5">
        <f ca="1">IF(AND(DN17&gt;='Demand adjustments for Covid'!$F$12,DN17&lt;'Demand adjustments for Covid'!$F$17),'Demand adjustments for Covid'!$F$13,DO17)</f>
        <v>2442.5</v>
      </c>
      <c r="DR17" s="5">
        <f t="shared" si="7"/>
        <v>0</v>
      </c>
      <c r="DS17" s="5">
        <f ca="1">IF('Demand adjustments for Covid'!$F$9="Yes",IF(DR17=0,DQ17,((SUM(DR$4:DR17)-1)*$EE$8)+'Demand adjustments for Covid'!F$13),'Demand background (hide)'!DO17)</f>
        <v>2442.5</v>
      </c>
      <c r="DT17" s="5">
        <f ca="1">IF('Demand adjustments for Covid'!$F$9="Yes",IF(OR(AND(DN17&gt;='Demand adjustments for Covid'!$F$12,DN17&lt;'Demand adjustments for Covid'!$F$17),DR17=1),DS17+3,DP17),'Demand background (hide)'!DP17)</f>
        <v>4500.4999999999982</v>
      </c>
      <c r="DU17" s="5">
        <f ca="1">IF(DS17&lt;='Demand adjustments for Covid'!$F$17,DO17-DS17,0)</f>
        <v>0</v>
      </c>
      <c r="DV17" s="5">
        <f ca="1">IF(AND(ROW(A14)&gt;$EE$5,ROW(A14)&lt;=$EA$5),OFFSET('Demand adjustments for Covid'!$F$35,0,ROW(A14)-'Demand background (hide)'!$EE$5,1,1),0)</f>
        <v>50</v>
      </c>
      <c r="DW17" s="5">
        <f ca="1">IF(AND(ROW(A14)&gt;$EE$5,ROW(A14)&lt;=$EA$5),OFFSET('Demand adjustments for Covid'!$F$36,0,ROW(A14)-'Demand background (hide)'!$EE$5,1,1),0)</f>
        <v>50</v>
      </c>
      <c r="DX17" s="5">
        <f t="shared" ca="1" si="11"/>
        <v>4600.4999999999982</v>
      </c>
    </row>
    <row r="18" spans="1:128"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3466</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3466</v>
      </c>
      <c r="Y18" s="5">
        <f t="shared" ca="1" si="5"/>
        <v>3466</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3466</v>
      </c>
      <c r="AM18" s="5">
        <f t="shared" ca="1" si="9"/>
        <v>0</v>
      </c>
      <c r="AN18" s="5" t="str">
        <f>IF(Demand!BE27="Yes","Yes","")</f>
        <v/>
      </c>
      <c r="AP18" s="36" t="str">
        <f ca="1">Demand!B27</f>
        <v xml:space="preserve"> </v>
      </c>
      <c r="AQ18" s="5" t="str">
        <f ca="1">IF(TEXT(Demand!D27,"MMM")&lt;&gt;TEXT(Demand!D26,"MMM"),TEXT(Demand!D27,"MMM"),"")</f>
        <v/>
      </c>
      <c r="AT18" s="5">
        <f t="shared" ca="1" si="12"/>
        <v>340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1362.4</v>
      </c>
      <c r="BG18" s="5">
        <f ca="1">BG16/MAX('SPC background (hide)'!$I$5:$I$11)</f>
        <v>0</v>
      </c>
      <c r="BH18" s="5">
        <f ca="1">BH16/MAX('SPC background (hide)'!$I$5:$I$11)</f>
        <v>0</v>
      </c>
      <c r="BI18" s="5">
        <f ca="1">BI16/MAX('SPC background (hide)'!$I$5:$I$11)</f>
        <v>1362.4</v>
      </c>
      <c r="BJ18" s="5">
        <f ca="1">BJ16/MAX('SPC background (hide)'!$I$5:$I$11)</f>
        <v>2724.8</v>
      </c>
      <c r="BK18" s="5">
        <f ca="1">BK16/MAX('SPC background (hide)'!$I$5:$I$11)</f>
        <v>0</v>
      </c>
      <c r="BL18" s="5">
        <f ca="1">BL16/MAX('SPC background (hide)'!$I$5:$I$11)</f>
        <v>0</v>
      </c>
      <c r="BM18" s="5">
        <f ca="1">BM16/MAX('SPC background (hide)'!$I$5:$I$11)</f>
        <v>2724.8</v>
      </c>
      <c r="BQ18">
        <f ca="1">IF($AN18="",OFFSET(Demand!$A$13,ROW(A15)-1,4+((QUOTIENT(COLUMN(BQ$2)-69,3))*5)+MOD(COLUMN(BQ$2),3),1,1),"")</f>
        <v>1733</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33</v>
      </c>
      <c r="DN18" s="318">
        <f t="shared" si="17"/>
        <v>44053</v>
      </c>
      <c r="DO18" s="5">
        <f ca="1">VLOOKUP(IF($DM18&lt;53,$DM18,52),'Summary Calculations (hide)'!$D$15:$F$67,2,0)</f>
        <v>2442.5</v>
      </c>
      <c r="DP18" s="5">
        <f ca="1">VLOOKUP(IF($DM18&lt;53,$DM18,52),'Summary Calculations (hide)'!$D$15:$F$67,3,0)</f>
        <v>4500.4999999999982</v>
      </c>
      <c r="DQ18" s="5">
        <f ca="1">IF(AND(DN18&gt;='Demand adjustments for Covid'!$F$12,DN18&lt;'Demand adjustments for Covid'!$F$17),'Demand adjustments for Covid'!$F$13,DO18)</f>
        <v>2442.5</v>
      </c>
      <c r="DR18" s="5">
        <f t="shared" si="7"/>
        <v>0</v>
      </c>
      <c r="DS18" s="5">
        <f ca="1">IF('Demand adjustments for Covid'!$F$9="Yes",IF(DR18=0,DQ18,((SUM(DR$4:DR18)-1)*$EE$8)+'Demand adjustments for Covid'!F$13),'Demand background (hide)'!DO18)</f>
        <v>2442.5</v>
      </c>
      <c r="DT18" s="5">
        <f ca="1">IF('Demand adjustments for Covid'!$F$9="Yes",IF(OR(AND(DN18&gt;='Demand adjustments for Covid'!$F$12,DN18&lt;'Demand adjustments for Covid'!$F$17),DR18=1),DS18+3,DP18),'Demand background (hide)'!DP18)</f>
        <v>4500.4999999999982</v>
      </c>
      <c r="DU18" s="5">
        <f ca="1">IF(DS18&lt;='Demand adjustments for Covid'!$F$17,DO18-DS18,0)</f>
        <v>0</v>
      </c>
      <c r="DV18" s="5">
        <f ca="1">IF(AND(ROW(A15)&gt;$EE$5,ROW(A15)&lt;=$EA$5),OFFSET('Demand adjustments for Covid'!$F$35,0,ROW(A15)-'Demand background (hide)'!$EE$5,1,1),0)</f>
        <v>50</v>
      </c>
      <c r="DW18" s="5">
        <f ca="1">IF(AND(ROW(A15)&gt;$EE$5,ROW(A15)&lt;=$EA$5),OFFSET('Demand adjustments for Covid'!$F$36,0,ROW(A15)-'Demand background (hide)'!$EE$5,1,1),0)</f>
        <v>50</v>
      </c>
      <c r="DX18" s="5">
        <f t="shared" ca="1" si="11"/>
        <v>4600.4999999999982</v>
      </c>
    </row>
    <row r="19" spans="1:128"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3328</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3328</v>
      </c>
      <c r="Y19" s="5">
        <f t="shared" ca="1" si="5"/>
        <v>3328</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3328</v>
      </c>
      <c r="AM19" s="5">
        <f t="shared" ca="1" si="9"/>
        <v>0</v>
      </c>
      <c r="AN19" s="5" t="str">
        <f>IF(Demand!BE28="Yes","Yes","")</f>
        <v/>
      </c>
      <c r="AP19" s="36" t="str">
        <f ca="1">Demand!B28</f>
        <v xml:space="preserve"> </v>
      </c>
      <c r="AQ19" s="5" t="str">
        <f ca="1">IF(TEXT(Demand!D28,"MMM")&lt;&gt;TEXT(Demand!D27,"MMM"),TEXT(Demand!D28,"MMM"),"")</f>
        <v/>
      </c>
      <c r="AT19" s="5">
        <f t="shared" ca="1" si="12"/>
        <v>138</v>
      </c>
      <c r="AV19" s="5" t="s">
        <v>107</v>
      </c>
      <c r="AW19" s="44" t="str">
        <f ca="1">IFERROR(AW18/1.128,"")</f>
        <v/>
      </c>
      <c r="AX19" s="5" t="str">
        <f ca="1">IFERROR(AX18/1.128,"")</f>
        <v/>
      </c>
      <c r="BQ19">
        <f ca="1">IF($AN19="",OFFSET(Demand!$A$13,ROW(A16)-1,4+((QUOTIENT(COLUMN(BQ$2)-69,3))*5)+MOD(COLUMN(BQ$2),3),1,1),"")</f>
        <v>1664</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34</v>
      </c>
      <c r="DN19" s="318">
        <f t="shared" si="17"/>
        <v>44060</v>
      </c>
      <c r="DO19" s="5">
        <f ca="1">VLOOKUP(IF($DM19&lt;53,$DM19,52),'Summary Calculations (hide)'!$D$15:$F$67,2,0)</f>
        <v>2442.5</v>
      </c>
      <c r="DP19" s="5">
        <f ca="1">VLOOKUP(IF($DM19&lt;53,$DM19,52),'Summary Calculations (hide)'!$D$15:$F$67,3,0)</f>
        <v>4500.4999999999982</v>
      </c>
      <c r="DQ19" s="5">
        <f ca="1">IF(AND(DN19&gt;='Demand adjustments for Covid'!$F$12,DN19&lt;'Demand adjustments for Covid'!$F$17),'Demand adjustments for Covid'!$F$13,DO19)</f>
        <v>2442.5</v>
      </c>
      <c r="DR19" s="5">
        <f t="shared" si="7"/>
        <v>0</v>
      </c>
      <c r="DS19" s="5">
        <f ca="1">IF('Demand adjustments for Covid'!$F$9="Yes",IF(DR19=0,DQ19,((SUM(DR$4:DR19)-1)*$EE$8)+'Demand adjustments for Covid'!F$13),'Demand background (hide)'!DO19)</f>
        <v>2442.5</v>
      </c>
      <c r="DT19" s="5">
        <f ca="1">IF('Demand adjustments for Covid'!$F$9="Yes",IF(OR(AND(DN19&gt;='Demand adjustments for Covid'!$F$12,DN19&lt;'Demand adjustments for Covid'!$F$17),DR19=1),DS19+3,DP19),'Demand background (hide)'!DP19)</f>
        <v>4500.4999999999982</v>
      </c>
      <c r="DU19" s="5">
        <f ca="1">IF(DS19&lt;='Demand adjustments for Covid'!$F$17,DO19-DS19,0)</f>
        <v>0</v>
      </c>
      <c r="DV19" s="5">
        <f ca="1">IF(AND(ROW(A16)&gt;$EE$5,ROW(A16)&lt;=$EA$5),OFFSET('Demand adjustments for Covid'!$F$35,0,ROW(A16)-'Demand background (hide)'!$EE$5,1,1),0)</f>
        <v>50</v>
      </c>
      <c r="DW19" s="5">
        <f ca="1">IF(AND(ROW(A16)&gt;$EE$5,ROW(A16)&lt;=$EA$5),OFFSET('Demand adjustments for Covid'!$F$36,0,ROW(A16)-'Demand background (hide)'!$EE$5,1,1),0)</f>
        <v>50</v>
      </c>
      <c r="DX19" s="5">
        <f t="shared" ca="1" si="11"/>
        <v>4600.4999999999982</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3328</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1</v>
      </c>
      <c r="BK20" s="46">
        <f ca="1">BK18/BM18</f>
        <v>0</v>
      </c>
      <c r="BL20" s="46">
        <f ca="1">BL18/BM18</f>
        <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35</v>
      </c>
      <c r="DN20" s="318">
        <f t="shared" si="17"/>
        <v>44067</v>
      </c>
      <c r="DO20" s="5">
        <f ca="1">VLOOKUP(IF($DM20&lt;53,$DM20,52),'Summary Calculations (hide)'!$D$15:$F$67,2,0)</f>
        <v>2442.5</v>
      </c>
      <c r="DP20" s="5">
        <f ca="1">VLOOKUP(IF($DM20&lt;53,$DM20,52),'Summary Calculations (hide)'!$D$15:$F$67,3,0)</f>
        <v>4500.4999999999982</v>
      </c>
      <c r="DQ20" s="5">
        <f ca="1">IF(AND(DN20&gt;='Demand adjustments for Covid'!$F$12,DN20&lt;'Demand adjustments for Covid'!$F$17),'Demand adjustments for Covid'!$F$13,DO20)</f>
        <v>2442.5</v>
      </c>
      <c r="DR20" s="5">
        <f t="shared" si="7"/>
        <v>0</v>
      </c>
      <c r="DS20" s="5">
        <f ca="1">IF('Demand adjustments for Covid'!$F$9="Yes",IF(DR20=0,DQ20,((SUM(DR$4:DR20)-1)*$EE$8)+'Demand adjustments for Covid'!F$13),'Demand background (hide)'!DO20)</f>
        <v>2442.5</v>
      </c>
      <c r="DT20" s="5">
        <f ca="1">IF('Demand adjustments for Covid'!$F$9="Yes",IF(OR(AND(DN20&gt;='Demand adjustments for Covid'!$F$12,DN20&lt;'Demand adjustments for Covid'!$F$17),DR20=1),DS20+3,DP20),'Demand background (hide)'!DP20)</f>
        <v>4500.4999999999982</v>
      </c>
      <c r="DU20" s="5">
        <f ca="1">IF(DS20&lt;='Demand adjustments for Covid'!$F$17,DO20-DS20,0)</f>
        <v>0</v>
      </c>
      <c r="DV20" s="5">
        <f ca="1">IF(AND(ROW(A17)&gt;$EE$5,ROW(A17)&lt;=$EA$5),OFFSET('Demand adjustments for Covid'!$F$35,0,ROW(A17)-'Demand background (hide)'!$EE$5,1,1),0)</f>
        <v>50</v>
      </c>
      <c r="DW20" s="5">
        <f ca="1">IF(AND(ROW(A17)&gt;$EE$5,ROW(A17)&lt;=$EA$5),OFFSET('Demand adjustments for Covid'!$F$36,0,ROW(A17)-'Demand background (hide)'!$EE$5,1,1),0)</f>
        <v>50</v>
      </c>
      <c r="DX20" s="5">
        <f t="shared" ca="1" si="11"/>
        <v>4600.4999999999982</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36</v>
      </c>
      <c r="DN21" s="318">
        <f t="shared" si="17"/>
        <v>44074</v>
      </c>
      <c r="DO21" s="5">
        <f ca="1">VLOOKUP(IF($DM21&lt;53,$DM21,52),'Summary Calculations (hide)'!$D$15:$F$67,2,0)</f>
        <v>2442.5</v>
      </c>
      <c r="DP21" s="5">
        <f ca="1">VLOOKUP(IF($DM21&lt;53,$DM21,52),'Summary Calculations (hide)'!$D$15:$F$67,3,0)</f>
        <v>4500.4999999999982</v>
      </c>
      <c r="DQ21" s="5">
        <f ca="1">IF(AND(DN21&gt;='Demand adjustments for Covid'!$F$12,DN21&lt;'Demand adjustments for Covid'!$F$17),'Demand adjustments for Covid'!$F$13,DO21)</f>
        <v>2442.5</v>
      </c>
      <c r="DR21" s="5">
        <f t="shared" si="7"/>
        <v>0</v>
      </c>
      <c r="DS21" s="5">
        <f ca="1">IF('Demand adjustments for Covid'!$F$9="Yes",IF(DR21=0,DQ21,((SUM(DR$4:DR21)-1)*$EE$8)+'Demand adjustments for Covid'!F$13),'Demand background (hide)'!DO21)</f>
        <v>2442.5</v>
      </c>
      <c r="DT21" s="5">
        <f ca="1">IF('Demand adjustments for Covid'!$F$9="Yes",IF(OR(AND(DN21&gt;='Demand adjustments for Covid'!$F$12,DN21&lt;'Demand adjustments for Covid'!$F$17),DR21=1),DS21+3,DP21),'Demand background (hide)'!DP21)</f>
        <v>4500.4999999999982</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4500.4999999999982</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37</v>
      </c>
      <c r="DN22" s="318">
        <f t="shared" si="17"/>
        <v>44081</v>
      </c>
      <c r="DO22" s="5">
        <f ca="1">VLOOKUP(IF($DM22&lt;53,$DM22,52),'Summary Calculations (hide)'!$D$15:$F$67,2,0)</f>
        <v>2442.5</v>
      </c>
      <c r="DP22" s="5">
        <f ca="1">VLOOKUP(IF($DM22&lt;53,$DM22,52),'Summary Calculations (hide)'!$D$15:$F$67,3,0)</f>
        <v>4500.4999999999982</v>
      </c>
      <c r="DQ22" s="5">
        <f ca="1">IF(AND(DN22&gt;='Demand adjustments for Covid'!$F$12,DN22&lt;'Demand adjustments for Covid'!$F$17),'Demand adjustments for Covid'!$F$13,DO22)</f>
        <v>2442.5</v>
      </c>
      <c r="DR22" s="5">
        <f t="shared" si="7"/>
        <v>0</v>
      </c>
      <c r="DS22" s="5">
        <f ca="1">IF('Demand adjustments for Covid'!$F$9="Yes",IF(DR22=0,DQ22,((SUM(DR$4:DR22)-1)*$EE$8)+'Demand adjustments for Covid'!F$13),'Demand background (hide)'!DO22)</f>
        <v>2442.5</v>
      </c>
      <c r="DT22" s="5">
        <f ca="1">IF('Demand adjustments for Covid'!$F$9="Yes",IF(OR(AND(DN22&gt;='Demand adjustments for Covid'!$F$12,DN22&lt;'Demand adjustments for Covid'!$F$17),DR22=1),DS22+3,DP22),'Demand background (hide)'!DP22)</f>
        <v>4500.4999999999982</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4500.4999999999982</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38</v>
      </c>
      <c r="DN23" s="318">
        <f t="shared" si="17"/>
        <v>44088</v>
      </c>
      <c r="DO23" s="5">
        <f ca="1">VLOOKUP(IF($DM23&lt;53,$DM23,52),'Summary Calculations (hide)'!$D$15:$F$67,2,0)</f>
        <v>2442.5</v>
      </c>
      <c r="DP23" s="5">
        <f ca="1">VLOOKUP(IF($DM23&lt;53,$DM23,52),'Summary Calculations (hide)'!$D$15:$F$67,3,0)</f>
        <v>4500.4999999999982</v>
      </c>
      <c r="DQ23" s="5">
        <f ca="1">IF(AND(DN23&gt;='Demand adjustments for Covid'!$F$12,DN23&lt;'Demand adjustments for Covid'!$F$17),'Demand adjustments for Covid'!$F$13,DO23)</f>
        <v>2442.5</v>
      </c>
      <c r="DR23" s="5">
        <f t="shared" si="7"/>
        <v>0</v>
      </c>
      <c r="DS23" s="5">
        <f ca="1">IF('Demand adjustments for Covid'!$F$9="Yes",IF(DR23=0,DQ23,((SUM(DR$4:DR23)-1)*$EE$8)+'Demand adjustments for Covid'!F$13),'Demand background (hide)'!DO23)</f>
        <v>2442.5</v>
      </c>
      <c r="DT23" s="5">
        <f ca="1">IF('Demand adjustments for Covid'!$F$9="Yes",IF(OR(AND(DN23&gt;='Demand adjustments for Covid'!$F$12,DN23&lt;'Demand adjustments for Covid'!$F$17),DR23=1),DS23+3,DP23),'Demand background (hide)'!DP23)</f>
        <v>4500.4999999999982</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4500.4999999999982</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39</v>
      </c>
      <c r="DN24" s="318">
        <f t="shared" si="17"/>
        <v>44095</v>
      </c>
      <c r="DO24" s="5">
        <f ca="1">VLOOKUP(IF($DM24&lt;53,$DM24,52),'Summary Calculations (hide)'!$D$15:$F$67,2,0)</f>
        <v>2442.5</v>
      </c>
      <c r="DP24" s="5">
        <f ca="1">VLOOKUP(IF($DM24&lt;53,$DM24,52),'Summary Calculations (hide)'!$D$15:$F$67,3,0)</f>
        <v>4500.4999999999982</v>
      </c>
      <c r="DQ24" s="5">
        <f ca="1">IF(AND(DN24&gt;='Demand adjustments for Covid'!$F$12,DN24&lt;'Demand adjustments for Covid'!$F$17),'Demand adjustments for Covid'!$F$13,DO24)</f>
        <v>2442.5</v>
      </c>
      <c r="DR24" s="5">
        <f t="shared" si="7"/>
        <v>0</v>
      </c>
      <c r="DS24" s="5">
        <f ca="1">IF('Demand adjustments for Covid'!$F$9="Yes",IF(DR24=0,DQ24,((SUM(DR$4:DR24)-1)*$EE$8)+'Demand adjustments for Covid'!F$13),'Demand background (hide)'!DO24)</f>
        <v>2442.5</v>
      </c>
      <c r="DT24" s="5">
        <f ca="1">IF('Demand adjustments for Covid'!$F$9="Yes",IF(OR(AND(DN24&gt;='Demand adjustments for Covid'!$F$12,DN24&lt;'Demand adjustments for Covid'!$F$17),DR24=1),DS24+3,DP24),'Demand background (hide)'!DP24)</f>
        <v>4500.4999999999982</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4500.4999999999982</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40</v>
      </c>
      <c r="DN25" s="318">
        <f t="shared" si="17"/>
        <v>44102</v>
      </c>
      <c r="DO25" s="5">
        <f ca="1">VLOOKUP(IF($DM25&lt;53,$DM25,52),'Summary Calculations (hide)'!$D$15:$F$67,2,0)</f>
        <v>2442.5</v>
      </c>
      <c r="DP25" s="5">
        <f ca="1">VLOOKUP(IF($DM25&lt;53,$DM25,52),'Summary Calculations (hide)'!$D$15:$F$67,3,0)</f>
        <v>4500.4999999999982</v>
      </c>
      <c r="DQ25" s="5">
        <f ca="1">IF(AND(DN25&gt;='Demand adjustments for Covid'!$F$12,DN25&lt;'Demand adjustments for Covid'!$F$17),'Demand adjustments for Covid'!$F$13,DO25)</f>
        <v>2442.5</v>
      </c>
      <c r="DR25" s="5">
        <f t="shared" si="7"/>
        <v>0</v>
      </c>
      <c r="DS25" s="5">
        <f ca="1">IF('Demand adjustments for Covid'!$F$9="Yes",IF(DR25=0,DQ25,((SUM(DR$4:DR25)-1)*$EE$8)+'Demand adjustments for Covid'!F$13),'Demand background (hide)'!DO25)</f>
        <v>2442.5</v>
      </c>
      <c r="DT25" s="5">
        <f ca="1">IF('Demand adjustments for Covid'!$F$9="Yes",IF(OR(AND(DN25&gt;='Demand adjustments for Covid'!$F$12,DN25&lt;'Demand adjustments for Covid'!$F$17),DR25=1),DS25+3,DP25),'Demand background (hide)'!DP25)</f>
        <v>4500.4999999999982</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4500.4999999999982</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41</v>
      </c>
      <c r="DN26" s="318">
        <f t="shared" si="17"/>
        <v>44109</v>
      </c>
      <c r="DO26" s="5">
        <f ca="1">VLOOKUP(IF($DM26&lt;53,$DM26,52),'Summary Calculations (hide)'!$D$15:$F$67,2,0)</f>
        <v>2442.5</v>
      </c>
      <c r="DP26" s="5">
        <f ca="1">VLOOKUP(IF($DM26&lt;53,$DM26,52),'Summary Calculations (hide)'!$D$15:$F$67,3,0)</f>
        <v>4500.4999999999982</v>
      </c>
      <c r="DQ26" s="5">
        <f ca="1">IF(AND(DN26&gt;='Demand adjustments for Covid'!$F$12,DN26&lt;'Demand adjustments for Covid'!$F$17),'Demand adjustments for Covid'!$F$13,DO26)</f>
        <v>2442.5</v>
      </c>
      <c r="DR26" s="5">
        <f t="shared" si="7"/>
        <v>0</v>
      </c>
      <c r="DS26" s="5">
        <f ca="1">IF('Demand adjustments for Covid'!$F$9="Yes",IF(DR26=0,DQ26,((SUM(DR$4:DR26)-1)*$EE$8)+'Demand adjustments for Covid'!F$13),'Demand background (hide)'!DO26)</f>
        <v>2442.5</v>
      </c>
      <c r="DT26" s="5">
        <f ca="1">IF('Demand adjustments for Covid'!$F$9="Yes",IF(OR(AND(DN26&gt;='Demand adjustments for Covid'!$F$12,DN26&lt;'Demand adjustments for Covid'!$F$17),DR26=1),DS26+3,DP26),'Demand background (hide)'!DP26)</f>
        <v>4500.4999999999982</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4500.4999999999982</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42</v>
      </c>
      <c r="DN27" s="318">
        <f t="shared" si="17"/>
        <v>44116</v>
      </c>
      <c r="DO27" s="5">
        <f ca="1">VLOOKUP(IF($DM27&lt;53,$DM27,52),'Summary Calculations (hide)'!$D$15:$F$67,2,0)</f>
        <v>2442.5</v>
      </c>
      <c r="DP27" s="5">
        <f ca="1">VLOOKUP(IF($DM27&lt;53,$DM27,52),'Summary Calculations (hide)'!$D$15:$F$67,3,0)</f>
        <v>4500.4999999999982</v>
      </c>
      <c r="DQ27" s="5">
        <f ca="1">IF(AND(DN27&gt;='Demand adjustments for Covid'!$F$12,DN27&lt;'Demand adjustments for Covid'!$F$17),'Demand adjustments for Covid'!$F$13,DO27)</f>
        <v>2442.5</v>
      </c>
      <c r="DR27" s="5">
        <f t="shared" si="7"/>
        <v>0</v>
      </c>
      <c r="DS27" s="5">
        <f ca="1">IF('Demand adjustments for Covid'!$F$9="Yes",IF(DR27=0,DQ27,((SUM(DR$4:DR27)-1)*$EE$8)+'Demand adjustments for Covid'!F$13),'Demand background (hide)'!DO27)</f>
        <v>2442.5</v>
      </c>
      <c r="DT27" s="5">
        <f ca="1">IF('Demand adjustments for Covid'!$F$9="Yes",IF(OR(AND(DN27&gt;='Demand adjustments for Covid'!$F$12,DN27&lt;'Demand adjustments for Covid'!$F$17),DR27=1),DS27+3,DP27),'Demand background (hide)'!DP27)</f>
        <v>4500.4999999999982</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4500.4999999999982</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43</v>
      </c>
      <c r="DN28" s="318">
        <f t="shared" si="17"/>
        <v>44123</v>
      </c>
      <c r="DO28" s="5">
        <f ca="1">VLOOKUP(IF($DM28&lt;53,$DM28,52),'Summary Calculations (hide)'!$D$15:$F$67,2,0)</f>
        <v>2442.5</v>
      </c>
      <c r="DP28" s="5">
        <f ca="1">VLOOKUP(IF($DM28&lt;53,$DM28,52),'Summary Calculations (hide)'!$D$15:$F$67,3,0)</f>
        <v>4500.4999999999982</v>
      </c>
      <c r="DQ28" s="5">
        <f ca="1">IF(AND(DN28&gt;='Demand adjustments for Covid'!$F$12,DN28&lt;'Demand adjustments for Covid'!$F$17),'Demand adjustments for Covid'!$F$13,DO28)</f>
        <v>2442.5</v>
      </c>
      <c r="DR28" s="5">
        <f t="shared" si="7"/>
        <v>0</v>
      </c>
      <c r="DS28" s="5">
        <f ca="1">IF('Demand adjustments for Covid'!$F$9="Yes",IF(DR28=0,DQ28,((SUM(DR$4:DR28)-1)*$EE$8)+'Demand adjustments for Covid'!F$13),'Demand background (hide)'!DO28)</f>
        <v>2442.5</v>
      </c>
      <c r="DT28" s="5">
        <f ca="1">IF('Demand adjustments for Covid'!$F$9="Yes",IF(OR(AND(DN28&gt;='Demand adjustments for Covid'!$F$12,DN28&lt;'Demand adjustments for Covid'!$F$17),DR28=1),DS28+3,DP28),'Demand background (hide)'!DP28)</f>
        <v>4500.4999999999982</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4500.4999999999982</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44</v>
      </c>
      <c r="DN29" s="318">
        <f t="shared" si="17"/>
        <v>44130</v>
      </c>
      <c r="DO29" s="5">
        <f ca="1">VLOOKUP(IF($DM29&lt;53,$DM29,52),'Summary Calculations (hide)'!$D$15:$F$67,2,0)</f>
        <v>2442.5</v>
      </c>
      <c r="DP29" s="5">
        <f ca="1">VLOOKUP(IF($DM29&lt;53,$DM29,52),'Summary Calculations (hide)'!$D$15:$F$67,3,0)</f>
        <v>4500.4999999999982</v>
      </c>
      <c r="DQ29" s="5">
        <f ca="1">IF(AND(DN29&gt;='Demand adjustments for Covid'!$F$12,DN29&lt;'Demand adjustments for Covid'!$F$17),'Demand adjustments for Covid'!$F$13,DO29)</f>
        <v>2442.5</v>
      </c>
      <c r="DR29" s="5">
        <f t="shared" si="7"/>
        <v>0</v>
      </c>
      <c r="DS29" s="5">
        <f ca="1">IF('Demand adjustments for Covid'!$F$9="Yes",IF(DR29=0,DQ29,((SUM(DR$4:DR29)-1)*$EE$8)+'Demand adjustments for Covid'!F$13),'Demand background (hide)'!DO29)</f>
        <v>2442.5</v>
      </c>
      <c r="DT29" s="5">
        <f ca="1">IF('Demand adjustments for Covid'!$F$9="Yes",IF(OR(AND(DN29&gt;='Demand adjustments for Covid'!$F$12,DN29&lt;'Demand adjustments for Covid'!$F$17),DR29=1),DS29+3,DP29),'Demand background (hide)'!DP29)</f>
        <v>4500.4999999999982</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4500.4999999999982</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45</v>
      </c>
      <c r="DN30" s="318">
        <f t="shared" si="17"/>
        <v>44137</v>
      </c>
      <c r="DO30" s="5">
        <f ca="1">VLOOKUP(IF($DM30&lt;53,$DM30,52),'Summary Calculations (hide)'!$D$15:$F$67,2,0)</f>
        <v>2442.5</v>
      </c>
      <c r="DP30" s="5">
        <f ca="1">VLOOKUP(IF($DM30&lt;53,$DM30,52),'Summary Calculations (hide)'!$D$15:$F$67,3,0)</f>
        <v>4500.4999999999982</v>
      </c>
      <c r="DQ30" s="5">
        <f ca="1">IF(AND(DN30&gt;='Demand adjustments for Covid'!$F$12,DN30&lt;'Demand adjustments for Covid'!$F$17),'Demand adjustments for Covid'!$F$13,DO30)</f>
        <v>2442.5</v>
      </c>
      <c r="DR30" s="5">
        <f t="shared" si="7"/>
        <v>0</v>
      </c>
      <c r="DS30" s="5">
        <f ca="1">IF('Demand adjustments for Covid'!$F$9="Yes",IF(DR30=0,DQ30,((SUM(DR$4:DR30)-1)*$EE$8)+'Demand adjustments for Covid'!F$13),'Demand background (hide)'!DO30)</f>
        <v>2442.5</v>
      </c>
      <c r="DT30" s="5">
        <f ca="1">IF('Demand adjustments for Covid'!$F$9="Yes",IF(OR(AND(DN30&gt;='Demand adjustments for Covid'!$F$12,DN30&lt;'Demand adjustments for Covid'!$F$17),DR30=1),DS30+3,DP30),'Demand background (hide)'!DP30)</f>
        <v>4500.4999999999982</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4500.4999999999982</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46</v>
      </c>
      <c r="DN31" s="318">
        <f t="shared" si="17"/>
        <v>44144</v>
      </c>
      <c r="DO31" s="5">
        <f ca="1">VLOOKUP(IF($DM31&lt;53,$DM31,52),'Summary Calculations (hide)'!$D$15:$F$67,2,0)</f>
        <v>2442.5</v>
      </c>
      <c r="DP31" s="5">
        <f ca="1">VLOOKUP(IF($DM31&lt;53,$DM31,52),'Summary Calculations (hide)'!$D$15:$F$67,3,0)</f>
        <v>4500.4999999999982</v>
      </c>
      <c r="DQ31" s="5">
        <f ca="1">IF(AND(DN31&gt;='Demand adjustments for Covid'!$F$12,DN31&lt;'Demand adjustments for Covid'!$F$17),'Demand adjustments for Covid'!$F$13,DO31)</f>
        <v>2442.5</v>
      </c>
      <c r="DR31" s="5">
        <f t="shared" si="7"/>
        <v>0</v>
      </c>
      <c r="DS31" s="5">
        <f ca="1">IF('Demand adjustments for Covid'!$F$9="Yes",IF(DR31=0,DQ31,((SUM(DR$4:DR31)-1)*$EE$8)+'Demand adjustments for Covid'!F$13),'Demand background (hide)'!DO31)</f>
        <v>2442.5</v>
      </c>
      <c r="DT31" s="5">
        <f ca="1">IF('Demand adjustments for Covid'!$F$9="Yes",IF(OR(AND(DN31&gt;='Demand adjustments for Covid'!$F$12,DN31&lt;'Demand adjustments for Covid'!$F$17),DR31=1),DS31+3,DP31),'Demand background (hide)'!DP31)</f>
        <v>4500.4999999999982</v>
      </c>
      <c r="DU31" s="5">
        <f ca="1">IF(DS31&lt;='Demand adjustments for Covid'!$F$17,DO31-DS31,0)</f>
        <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4500.4999999999982</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47</v>
      </c>
      <c r="DN32" s="318">
        <f t="shared" si="17"/>
        <v>44151</v>
      </c>
      <c r="DO32" s="5">
        <f ca="1">VLOOKUP(IF($DM32&lt;53,$DM32,52),'Summary Calculations (hide)'!$D$15:$F$67,2,0)</f>
        <v>2442.5</v>
      </c>
      <c r="DP32" s="5">
        <f ca="1">VLOOKUP(IF($DM32&lt;53,$DM32,52),'Summary Calculations (hide)'!$D$15:$F$67,3,0)</f>
        <v>4500.4999999999982</v>
      </c>
      <c r="DQ32" s="5">
        <f ca="1">IF(AND(DN32&gt;='Demand adjustments for Covid'!$F$12,DN32&lt;'Demand adjustments for Covid'!$F$17),'Demand adjustments for Covid'!$F$13,DO32)</f>
        <v>2442.5</v>
      </c>
      <c r="DR32" s="5">
        <f t="shared" si="7"/>
        <v>0</v>
      </c>
      <c r="DS32" s="5">
        <f ca="1">IF('Demand adjustments for Covid'!$F$9="Yes",IF(DR32=0,DQ32,((SUM(DR$4:DR32)-1)*$EE$8)+'Demand adjustments for Covid'!F$13),'Demand background (hide)'!DO32)</f>
        <v>2442.5</v>
      </c>
      <c r="DT32" s="5">
        <f ca="1">IF('Demand adjustments for Covid'!$F$9="Yes",IF(OR(AND(DN32&gt;='Demand adjustments for Covid'!$F$12,DN32&lt;'Demand adjustments for Covid'!$F$17),DR32=1),DS32+3,DP32),'Demand background (hide)'!DP32)</f>
        <v>4500.4999999999982</v>
      </c>
      <c r="DU32" s="5">
        <f ca="1">IF(DS32&lt;='Demand adjustments for Covid'!$F$17,DO32-DS32,0)</f>
        <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4500.4999999999982</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48</v>
      </c>
      <c r="DN33" s="318">
        <f t="shared" si="17"/>
        <v>44158</v>
      </c>
      <c r="DO33" s="5">
        <f ca="1">VLOOKUP(IF($DM33&lt;53,$DM33,52),'Summary Calculations (hide)'!$D$15:$F$67,2,0)</f>
        <v>2442.5</v>
      </c>
      <c r="DP33" s="5">
        <f ca="1">VLOOKUP(IF($DM33&lt;53,$DM33,52),'Summary Calculations (hide)'!$D$15:$F$67,3,0)</f>
        <v>4500.4999999999982</v>
      </c>
      <c r="DQ33" s="5">
        <f ca="1">IF(AND(DN33&gt;='Demand adjustments for Covid'!$F$12,DN33&lt;'Demand adjustments for Covid'!$F$17),'Demand adjustments for Covid'!$F$13,DO33)</f>
        <v>2442.5</v>
      </c>
      <c r="DR33" s="5">
        <f t="shared" si="7"/>
        <v>0</v>
      </c>
      <c r="DS33" s="5">
        <f ca="1">IF('Demand adjustments for Covid'!$F$9="Yes",IF(DR33=0,DQ33,((SUM(DR$4:DR33)-1)*$EE$8)+'Demand adjustments for Covid'!F$13),'Demand background (hide)'!DO33)</f>
        <v>2442.5</v>
      </c>
      <c r="DT33" s="5">
        <f ca="1">IF('Demand adjustments for Covid'!$F$9="Yes",IF(OR(AND(DN33&gt;='Demand adjustments for Covid'!$F$12,DN33&lt;'Demand adjustments for Covid'!$F$17),DR33=1),DS33+3,DP33),'Demand background (hide)'!DP33)</f>
        <v>4500.4999999999982</v>
      </c>
      <c r="DU33" s="5">
        <f ca="1">IF(DS33&lt;='Demand adjustments for Covid'!$F$17,DO33-DS33,0)</f>
        <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4500.4999999999982</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49</v>
      </c>
      <c r="DN34" s="318">
        <f t="shared" si="17"/>
        <v>44165</v>
      </c>
      <c r="DO34" s="5">
        <f ca="1">VLOOKUP(IF($DM34&lt;53,$DM34,52),'Summary Calculations (hide)'!$D$15:$F$67,2,0)</f>
        <v>2442.5</v>
      </c>
      <c r="DP34" s="5">
        <f ca="1">VLOOKUP(IF($DM34&lt;53,$DM34,52),'Summary Calculations (hide)'!$D$15:$F$67,3,0)</f>
        <v>4500.4999999999982</v>
      </c>
      <c r="DQ34" s="5">
        <f ca="1">IF(AND(DN34&gt;='Demand adjustments for Covid'!$F$12,DN34&lt;'Demand adjustments for Covid'!$F$17),'Demand adjustments for Covid'!$F$13,DO34)</f>
        <v>2442.5</v>
      </c>
      <c r="DR34" s="5">
        <f t="shared" si="7"/>
        <v>0</v>
      </c>
      <c r="DS34" s="5">
        <f ca="1">IF('Demand adjustments for Covid'!$F$9="Yes",IF(DR34=0,DQ34,((SUM(DR$4:DR34)-1)*$EE$8)+'Demand adjustments for Covid'!F$13),'Demand background (hide)'!DO34)</f>
        <v>2442.5</v>
      </c>
      <c r="DT34" s="5">
        <f ca="1">IF('Demand adjustments for Covid'!$F$9="Yes",IF(OR(AND(DN34&gt;='Demand adjustments for Covid'!$F$12,DN34&lt;'Demand adjustments for Covid'!$F$17),DR34=1),DS34+3,DP34),'Demand background (hide)'!DP34)</f>
        <v>4500.4999999999982</v>
      </c>
      <c r="DU34" s="5">
        <f ca="1">IF(DS34&lt;='Demand adjustments for Covid'!$F$17,DO34-DS34,0)</f>
        <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4500.4999999999982</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50</v>
      </c>
      <c r="DN35" s="318">
        <f t="shared" si="17"/>
        <v>44172</v>
      </c>
      <c r="DO35" s="5">
        <f ca="1">VLOOKUP(IF($DM35&lt;53,$DM35,52),'Summary Calculations (hide)'!$D$15:$F$67,2,0)</f>
        <v>2442.5</v>
      </c>
      <c r="DP35" s="5">
        <f ca="1">VLOOKUP(IF($DM35&lt;53,$DM35,52),'Summary Calculations (hide)'!$D$15:$F$67,3,0)</f>
        <v>4500.4999999999982</v>
      </c>
      <c r="DQ35" s="5">
        <f ca="1">IF(AND(DN35&gt;='Demand adjustments for Covid'!$F$12,DN35&lt;'Demand adjustments for Covid'!$F$17),'Demand adjustments for Covid'!$F$13,DO35)</f>
        <v>2442.5</v>
      </c>
      <c r="DR35" s="5">
        <f t="shared" si="7"/>
        <v>0</v>
      </c>
      <c r="DS35" s="5">
        <f ca="1">IF('Demand adjustments for Covid'!$F$9="Yes",IF(DR35=0,DQ35,((SUM(DR$4:DR35)-1)*$EE$8)+'Demand adjustments for Covid'!F$13),'Demand background (hide)'!DO35)</f>
        <v>2442.5</v>
      </c>
      <c r="DT35" s="5">
        <f ca="1">IF('Demand adjustments for Covid'!$F$9="Yes",IF(OR(AND(DN35&gt;='Demand adjustments for Covid'!$F$12,DN35&lt;'Demand adjustments for Covid'!$F$17),DR35=1),DS35+3,DP35),'Demand background (hide)'!DP35)</f>
        <v>4500.4999999999982</v>
      </c>
      <c r="DU35" s="5">
        <f ca="1">IF(DS35&lt;='Demand adjustments for Covid'!$F$17,DO35-DS35,0)</f>
        <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4500.4999999999982</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51</v>
      </c>
      <c r="DN36" s="318">
        <f t="shared" si="17"/>
        <v>44179</v>
      </c>
      <c r="DO36" s="5">
        <f ca="1">VLOOKUP(IF($DM36&lt;53,$DM36,52),'Summary Calculations (hide)'!$D$15:$F$67,2,0)</f>
        <v>2442.5</v>
      </c>
      <c r="DP36" s="5">
        <f ca="1">VLOOKUP(IF($DM36&lt;53,$DM36,52),'Summary Calculations (hide)'!$D$15:$F$67,3,0)</f>
        <v>4500.4999999999982</v>
      </c>
      <c r="DQ36" s="5">
        <f ca="1">IF(AND(DN36&gt;='Demand adjustments for Covid'!$F$12,DN36&lt;'Demand adjustments for Covid'!$F$17),'Demand adjustments for Covid'!$F$13,DO36)</f>
        <v>2442.5</v>
      </c>
      <c r="DR36" s="5">
        <f t="shared" ref="DR36:DR55" si="33">IF(AND(ROW(A33)&gt;=$EE$4,ROW(A33)&lt;=$EE$5),1,0)</f>
        <v>0</v>
      </c>
      <c r="DS36" s="5">
        <f ca="1">IF('Demand adjustments for Covid'!$F$9="Yes",IF(DR36=0,DQ36,((SUM(DR$4:DR36)-1)*$EE$8)+'Demand adjustments for Covid'!F$13),'Demand background (hide)'!DO36)</f>
        <v>2442.5</v>
      </c>
      <c r="DT36" s="5">
        <f ca="1">IF('Demand adjustments for Covid'!$F$9="Yes",IF(OR(AND(DN36&gt;='Demand adjustments for Covid'!$F$12,DN36&lt;'Demand adjustments for Covid'!$F$17),DR36=1),DS36+3,DP36),'Demand background (hide)'!DP36)</f>
        <v>4500.4999999999982</v>
      </c>
      <c r="DU36" s="5">
        <f ca="1">IF(DS36&lt;='Demand adjustments for Covid'!$F$17,DO36-DS36,0)</f>
        <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4500.4999999999982</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52</v>
      </c>
      <c r="DN37" s="318">
        <f t="shared" si="17"/>
        <v>44186</v>
      </c>
      <c r="DO37" s="5">
        <f ca="1">VLOOKUP(IF($DM37&lt;53,$DM37,52),'Summary Calculations (hide)'!$D$15:$F$67,2,0)</f>
        <v>2442.5</v>
      </c>
      <c r="DP37" s="5">
        <f ca="1">VLOOKUP(IF($DM37&lt;53,$DM37,52),'Summary Calculations (hide)'!$D$15:$F$67,3,0)</f>
        <v>4500.4999999999982</v>
      </c>
      <c r="DQ37" s="5">
        <f ca="1">IF(AND(DN37&gt;='Demand adjustments for Covid'!$F$12,DN37&lt;'Demand adjustments for Covid'!$F$17),'Demand adjustments for Covid'!$F$13,DO37)</f>
        <v>2442.5</v>
      </c>
      <c r="DR37" s="5">
        <f t="shared" si="33"/>
        <v>0</v>
      </c>
      <c r="DS37" s="5">
        <f ca="1">IF('Demand adjustments for Covid'!$F$9="Yes",IF(DR37=0,DQ37,((SUM(DR$4:DR37)-1)*$EE$8)+'Demand adjustments for Covid'!F$13),'Demand background (hide)'!DO37)</f>
        <v>2442.5</v>
      </c>
      <c r="DT37" s="5">
        <f ca="1">IF('Demand adjustments for Covid'!$F$9="Yes",IF(OR(AND(DN37&gt;='Demand adjustments for Covid'!$F$12,DN37&lt;'Demand adjustments for Covid'!$F$17),DR37=1),DS37+3,DP37),'Demand background (hide)'!DP37)</f>
        <v>4500.4999999999982</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4500.4999999999982</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53</v>
      </c>
      <c r="DN38" s="318">
        <f t="shared" si="17"/>
        <v>44193</v>
      </c>
      <c r="DO38" s="5">
        <f ca="1">VLOOKUP(IF($DM38&lt;53,$DM38,52),'Summary Calculations (hide)'!$D$15:$F$67,2,0)</f>
        <v>2442.5</v>
      </c>
      <c r="DP38" s="5">
        <f ca="1">VLOOKUP(IF($DM38&lt;53,$DM38,52),'Summary Calculations (hide)'!$D$15:$F$67,3,0)</f>
        <v>4500.4999999999982</v>
      </c>
      <c r="DQ38" s="5">
        <f ca="1">IF(AND(DN38&gt;='Demand adjustments for Covid'!$F$12,DN38&lt;'Demand adjustments for Covid'!$F$17),'Demand adjustments for Covid'!$F$13,DO38)</f>
        <v>2442.5</v>
      </c>
      <c r="DR38" s="5">
        <f t="shared" si="33"/>
        <v>0</v>
      </c>
      <c r="DS38" s="5">
        <f ca="1">IF('Demand adjustments for Covid'!$F$9="Yes",IF(DR38=0,DQ38,((SUM(DR$4:DR38)-1)*$EE$8)+'Demand adjustments for Covid'!F$13),'Demand background (hide)'!DO38)</f>
        <v>2442.5</v>
      </c>
      <c r="DT38" s="5">
        <f ca="1">IF('Demand adjustments for Covid'!$F$9="Yes",IF(OR(AND(DN38&gt;='Demand adjustments for Covid'!$F$12,DN38&lt;'Demand adjustments for Covid'!$F$17),DR38=1),DS38+3,DP38),'Demand background (hide)'!DP38)</f>
        <v>4500.4999999999982</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4500.4999999999982</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1</v>
      </c>
      <c r="DN39" s="318">
        <f t="shared" si="17"/>
        <v>44200</v>
      </c>
      <c r="DO39" s="5">
        <f ca="1">VLOOKUP(IF($DM39&lt;53,$DM39,52),'Summary Calculations (hide)'!$D$15:$F$67,2,0)</f>
        <v>2442.5</v>
      </c>
      <c r="DP39" s="5">
        <f ca="1">VLOOKUP(IF($DM39&lt;53,$DM39,52),'Summary Calculations (hide)'!$D$15:$F$67,3,0)</f>
        <v>4500.4999999999982</v>
      </c>
      <c r="DQ39" s="5">
        <f ca="1">IF(AND(DN39&gt;='Demand adjustments for Covid'!$F$12,DN39&lt;'Demand adjustments for Covid'!$F$17),'Demand adjustments for Covid'!$F$13,DO39)</f>
        <v>2442.5</v>
      </c>
      <c r="DR39" s="5">
        <f t="shared" si="33"/>
        <v>0</v>
      </c>
      <c r="DS39" s="5">
        <f ca="1">IF('Demand adjustments for Covid'!$F$9="Yes",IF(DR39=0,DQ39,((SUM(DR$4:DR39)-1)*$EE$8)+'Demand adjustments for Covid'!F$13),'Demand background (hide)'!DO39)</f>
        <v>2442.5</v>
      </c>
      <c r="DT39" s="5">
        <f ca="1">IF('Demand adjustments for Covid'!$F$9="Yes",IF(OR(AND(DN39&gt;='Demand adjustments for Covid'!$F$12,DN39&lt;'Demand adjustments for Covid'!$F$17),DR39=1),DS39+3,DP39),'Demand background (hide)'!DP39)</f>
        <v>4500.4999999999982</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4500.4999999999982</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2</v>
      </c>
      <c r="DN40" s="318">
        <f t="shared" si="17"/>
        <v>44207</v>
      </c>
      <c r="DO40" s="5">
        <f ca="1">VLOOKUP(IF($DM40&lt;53,$DM40,52),'Summary Calculations (hide)'!$D$15:$F$67,2,0)</f>
        <v>2442.5</v>
      </c>
      <c r="DP40" s="5">
        <f ca="1">VLOOKUP(IF($DM40&lt;53,$DM40,52),'Summary Calculations (hide)'!$D$15:$F$67,3,0)</f>
        <v>4500.4999999999982</v>
      </c>
      <c r="DQ40" s="5">
        <f ca="1">IF(AND(DN40&gt;='Demand adjustments for Covid'!$F$12,DN40&lt;'Demand adjustments for Covid'!$F$17),'Demand adjustments for Covid'!$F$13,DO40)</f>
        <v>2442.5</v>
      </c>
      <c r="DR40" s="5">
        <f t="shared" si="33"/>
        <v>0</v>
      </c>
      <c r="DS40" s="5">
        <f ca="1">IF('Demand adjustments for Covid'!$F$9="Yes",IF(DR40=0,DQ40,((SUM(DR$4:DR40)-1)*$EE$8)+'Demand adjustments for Covid'!F$13),'Demand background (hide)'!DO40)</f>
        <v>2442.5</v>
      </c>
      <c r="DT40" s="5">
        <f ca="1">IF('Demand adjustments for Covid'!$F$9="Yes",IF(OR(AND(DN40&gt;='Demand adjustments for Covid'!$F$12,DN40&lt;'Demand adjustments for Covid'!$F$17),DR40=1),DS40+3,DP40),'Demand background (hide)'!DP40)</f>
        <v>4500.4999999999982</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4500.4999999999982</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3</v>
      </c>
      <c r="DN41" s="318">
        <f t="shared" si="17"/>
        <v>44214</v>
      </c>
      <c r="DO41" s="5">
        <f ca="1">VLOOKUP(IF($DM41&lt;53,$DM41,52),'Summary Calculations (hide)'!$D$15:$F$67,2,0)</f>
        <v>2442.5</v>
      </c>
      <c r="DP41" s="5">
        <f ca="1">VLOOKUP(IF($DM41&lt;53,$DM41,52),'Summary Calculations (hide)'!$D$15:$F$67,3,0)</f>
        <v>4500.4999999999982</v>
      </c>
      <c r="DQ41" s="5">
        <f ca="1">IF(AND(DN41&gt;='Demand adjustments for Covid'!$F$12,DN41&lt;'Demand adjustments for Covid'!$F$17),'Demand adjustments for Covid'!$F$13,DO41)</f>
        <v>2442.5</v>
      </c>
      <c r="DR41" s="5">
        <f t="shared" si="33"/>
        <v>0</v>
      </c>
      <c r="DS41" s="5">
        <f ca="1">IF('Demand adjustments for Covid'!$F$9="Yes",IF(DR41=0,DQ41,((SUM(DR$4:DR41)-1)*$EE$8)+'Demand adjustments for Covid'!F$13),'Demand background (hide)'!DO41)</f>
        <v>2442.5</v>
      </c>
      <c r="DT41" s="5">
        <f ca="1">IF('Demand adjustments for Covid'!$F$9="Yes",IF(OR(AND(DN41&gt;='Demand adjustments for Covid'!$F$12,DN41&lt;'Demand adjustments for Covid'!$F$17),DR41=1),DS41+3,DP41),'Demand background (hide)'!DP41)</f>
        <v>4500.4999999999982</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4500.4999999999982</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v>
      </c>
      <c r="DN42" s="318">
        <f t="shared" si="17"/>
        <v>44221</v>
      </c>
      <c r="DO42" s="5">
        <f ca="1">VLOOKUP(IF($DM42&lt;53,$DM42,52),'Summary Calculations (hide)'!$D$15:$F$67,2,0)</f>
        <v>2442.5</v>
      </c>
      <c r="DP42" s="5">
        <f ca="1">VLOOKUP(IF($DM42&lt;53,$DM42,52),'Summary Calculations (hide)'!$D$15:$F$67,3,0)</f>
        <v>4500.4999999999982</v>
      </c>
      <c r="DQ42" s="5">
        <f ca="1">IF(AND(DN42&gt;='Demand adjustments for Covid'!$F$12,DN42&lt;'Demand adjustments for Covid'!$F$17),'Demand adjustments for Covid'!$F$13,DO42)</f>
        <v>2442.5</v>
      </c>
      <c r="DR42" s="5">
        <f t="shared" si="33"/>
        <v>0</v>
      </c>
      <c r="DS42" s="5">
        <f ca="1">IF('Demand adjustments for Covid'!$F$9="Yes",IF(DR42=0,DQ42,((SUM(DR$4:DR42)-1)*$EE$8)+'Demand adjustments for Covid'!F$13),'Demand background (hide)'!DO42)</f>
        <v>2442.5</v>
      </c>
      <c r="DT42" s="5">
        <f ca="1">IF('Demand adjustments for Covid'!$F$9="Yes",IF(OR(AND(DN42&gt;='Demand adjustments for Covid'!$F$12,DN42&lt;'Demand adjustments for Covid'!$F$17),DR42=1),DS42+3,DP42),'Demand background (hide)'!DP42)</f>
        <v>4500.4999999999982</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4500.4999999999982</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5</v>
      </c>
      <c r="DN43" s="318">
        <f t="shared" si="17"/>
        <v>44228</v>
      </c>
      <c r="DO43" s="5">
        <f ca="1">VLOOKUP(IF($DM43&lt;53,$DM43,52),'Summary Calculations (hide)'!$D$15:$F$67,2,0)</f>
        <v>2442.5</v>
      </c>
      <c r="DP43" s="5">
        <f ca="1">VLOOKUP(IF($DM43&lt;53,$DM43,52),'Summary Calculations (hide)'!$D$15:$F$67,3,0)</f>
        <v>4500.4999999999982</v>
      </c>
      <c r="DQ43" s="5">
        <f ca="1">IF(AND(DN43&gt;='Demand adjustments for Covid'!$F$12,DN43&lt;'Demand adjustments for Covid'!$F$17),'Demand adjustments for Covid'!$F$13,DO43)</f>
        <v>2442.5</v>
      </c>
      <c r="DR43" s="5">
        <f t="shared" si="33"/>
        <v>0</v>
      </c>
      <c r="DS43" s="5">
        <f ca="1">IF('Demand adjustments for Covid'!$F$9="Yes",IF(DR43=0,DQ43,((SUM(DR$4:DR43)-1)*$EE$8)+'Demand adjustments for Covid'!F$13),'Demand background (hide)'!DO43)</f>
        <v>2442.5</v>
      </c>
      <c r="DT43" s="5">
        <f ca="1">IF('Demand adjustments for Covid'!$F$9="Yes",IF(OR(AND(DN43&gt;='Demand adjustments for Covid'!$F$12,DN43&lt;'Demand adjustments for Covid'!$F$17),DR43=1),DS43+3,DP43),'Demand background (hide)'!DP43)</f>
        <v>4500.4999999999982</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4500.4999999999982</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6</v>
      </c>
      <c r="DN44" s="318">
        <f t="shared" si="17"/>
        <v>44235</v>
      </c>
      <c r="DO44" s="5">
        <f ca="1">VLOOKUP(IF($DM44&lt;53,$DM44,52),'Summary Calculations (hide)'!$D$15:$F$67,2,0)</f>
        <v>2442.5</v>
      </c>
      <c r="DP44" s="5">
        <f ca="1">VLOOKUP(IF($DM44&lt;53,$DM44,52),'Summary Calculations (hide)'!$D$15:$F$67,3,0)</f>
        <v>4500.4999999999982</v>
      </c>
      <c r="DQ44" s="5">
        <f ca="1">IF(AND(DN44&gt;='Demand adjustments for Covid'!$F$12,DN44&lt;'Demand adjustments for Covid'!$F$17),'Demand adjustments for Covid'!$F$13,DO44)</f>
        <v>2442.5</v>
      </c>
      <c r="DR44" s="5">
        <f t="shared" si="33"/>
        <v>0</v>
      </c>
      <c r="DS44" s="5">
        <f ca="1">IF('Demand adjustments for Covid'!$F$9="Yes",IF(DR44=0,DQ44,((SUM(DR$4:DR44)-1)*$EE$8)+'Demand adjustments for Covid'!F$13),'Demand background (hide)'!DO44)</f>
        <v>2442.5</v>
      </c>
      <c r="DT44" s="5">
        <f ca="1">IF('Demand adjustments for Covid'!$F$9="Yes",IF(OR(AND(DN44&gt;='Demand adjustments for Covid'!$F$12,DN44&lt;'Demand adjustments for Covid'!$F$17),DR44=1),DS44+3,DP44),'Demand background (hide)'!DP44)</f>
        <v>4500.4999999999982</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4500.4999999999982</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7</v>
      </c>
      <c r="DN45" s="318">
        <f t="shared" si="17"/>
        <v>44242</v>
      </c>
      <c r="DO45" s="5">
        <f ca="1">VLOOKUP(IF($DM45&lt;53,$DM45,52),'Summary Calculations (hide)'!$D$15:$F$67,2,0)</f>
        <v>2442.5</v>
      </c>
      <c r="DP45" s="5">
        <f ca="1">VLOOKUP(IF($DM45&lt;53,$DM45,52),'Summary Calculations (hide)'!$D$15:$F$67,3,0)</f>
        <v>4500.4999999999982</v>
      </c>
      <c r="DQ45" s="5">
        <f ca="1">IF(AND(DN45&gt;='Demand adjustments for Covid'!$F$12,DN45&lt;'Demand adjustments for Covid'!$F$17),'Demand adjustments for Covid'!$F$13,DO45)</f>
        <v>2442.5</v>
      </c>
      <c r="DR45" s="5">
        <f t="shared" si="33"/>
        <v>0</v>
      </c>
      <c r="DS45" s="5">
        <f ca="1">IF('Demand adjustments for Covid'!$F$9="Yes",IF(DR45=0,DQ45,((SUM(DR$4:DR45)-1)*$EE$8)+'Demand adjustments for Covid'!F$13),'Demand background (hide)'!DO45)</f>
        <v>2442.5</v>
      </c>
      <c r="DT45" s="5">
        <f ca="1">IF('Demand adjustments for Covid'!$F$9="Yes",IF(OR(AND(DN45&gt;='Demand adjustments for Covid'!$F$12,DN45&lt;'Demand adjustments for Covid'!$F$17),DR45=1),DS45+3,DP45),'Demand background (hide)'!DP45)</f>
        <v>4500.4999999999982</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4500.4999999999982</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8</v>
      </c>
      <c r="DN46" s="318">
        <f t="shared" si="17"/>
        <v>44249</v>
      </c>
      <c r="DO46" s="5">
        <f ca="1">VLOOKUP(IF($DM46&lt;53,$DM46,52),'Summary Calculations (hide)'!$D$15:$F$67,2,0)</f>
        <v>2442.5</v>
      </c>
      <c r="DP46" s="5">
        <f ca="1">VLOOKUP(IF($DM46&lt;53,$DM46,52),'Summary Calculations (hide)'!$D$15:$F$67,3,0)</f>
        <v>4500.4999999999982</v>
      </c>
      <c r="DQ46" s="5">
        <f ca="1">IF(AND(DN46&gt;='Demand adjustments for Covid'!$F$12,DN46&lt;'Demand adjustments for Covid'!$F$17),'Demand adjustments for Covid'!$F$13,DO46)</f>
        <v>2442.5</v>
      </c>
      <c r="DR46" s="5">
        <f t="shared" si="33"/>
        <v>0</v>
      </c>
      <c r="DS46" s="5">
        <f ca="1">IF('Demand adjustments for Covid'!$F$9="Yes",IF(DR46=0,DQ46,((SUM(DR$4:DR46)-1)*$EE$8)+'Demand adjustments for Covid'!F$13),'Demand background (hide)'!DO46)</f>
        <v>2442.5</v>
      </c>
      <c r="DT46" s="5">
        <f ca="1">IF('Demand adjustments for Covid'!$F$9="Yes",IF(OR(AND(DN46&gt;='Demand adjustments for Covid'!$F$12,DN46&lt;'Demand adjustments for Covid'!$F$17),DR46=1),DS46+3,DP46),'Demand background (hide)'!DP46)</f>
        <v>4500.4999999999982</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4500.4999999999982</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9</v>
      </c>
      <c r="DN47" s="318">
        <f t="shared" si="17"/>
        <v>44256</v>
      </c>
      <c r="DO47" s="5">
        <f ca="1">VLOOKUP(IF($DM47&lt;53,$DM47,52),'Summary Calculations (hide)'!$D$15:$F$67,2,0)</f>
        <v>2442.5</v>
      </c>
      <c r="DP47" s="5">
        <f ca="1">VLOOKUP(IF($DM47&lt;53,$DM47,52),'Summary Calculations (hide)'!$D$15:$F$67,3,0)</f>
        <v>4500.4999999999982</v>
      </c>
      <c r="DQ47" s="5">
        <f ca="1">IF(AND(DN47&gt;='Demand adjustments for Covid'!$F$12,DN47&lt;'Demand adjustments for Covid'!$F$17),'Demand adjustments for Covid'!$F$13,DO47)</f>
        <v>2442.5</v>
      </c>
      <c r="DR47" s="5">
        <f t="shared" si="33"/>
        <v>0</v>
      </c>
      <c r="DS47" s="5">
        <f ca="1">IF('Demand adjustments for Covid'!$F$9="Yes",IF(DR47=0,DQ47,((SUM(DR$4:DR47)-1)*$EE$8)+'Demand adjustments for Covid'!F$13),'Demand background (hide)'!DO47)</f>
        <v>2442.5</v>
      </c>
      <c r="DT47" s="5">
        <f ca="1">IF('Demand adjustments for Covid'!$F$9="Yes",IF(OR(AND(DN47&gt;='Demand adjustments for Covid'!$F$12,DN47&lt;'Demand adjustments for Covid'!$F$17),DR47=1),DS47+3,DP47),'Demand background (hide)'!DP47)</f>
        <v>4500.4999999999982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4500.4999999999982</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10</v>
      </c>
      <c r="DN48" s="318">
        <f t="shared" si="17"/>
        <v>44263</v>
      </c>
      <c r="DO48" s="5">
        <f ca="1">VLOOKUP(IF($DM48&lt;53,$DM48,52),'Summary Calculations (hide)'!$D$15:$F$67,2,0)</f>
        <v>2442.5</v>
      </c>
      <c r="DP48" s="5">
        <f ca="1">VLOOKUP(IF($DM48&lt;53,$DM48,52),'Summary Calculations (hide)'!$D$15:$F$67,3,0)</f>
        <v>4500.4999999999982</v>
      </c>
      <c r="DQ48" s="5">
        <f ca="1">IF(AND(DN48&gt;='Demand adjustments for Covid'!$F$12,DN48&lt;'Demand adjustments for Covid'!$F$17),'Demand adjustments for Covid'!$F$13,DO48)</f>
        <v>2442.5</v>
      </c>
      <c r="DR48" s="5">
        <f t="shared" si="33"/>
        <v>0</v>
      </c>
      <c r="DS48" s="5">
        <f ca="1">IF('Demand adjustments for Covid'!$F$9="Yes",IF(DR48=0,DQ48,((SUM(DR$4:DR48)-1)*$EE$8)+'Demand adjustments for Covid'!F$13),'Demand background (hide)'!DO48)</f>
        <v>2442.5</v>
      </c>
      <c r="DT48" s="5">
        <f ca="1">IF('Demand adjustments for Covid'!$F$9="Yes",IF(OR(AND(DN48&gt;='Demand adjustments for Covid'!$F$12,DN48&lt;'Demand adjustments for Covid'!$F$17),DR48=1),DS48+3,DP48),'Demand background (hide)'!DP48)</f>
        <v>4500.4999999999982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4500.4999999999982</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11</v>
      </c>
      <c r="DN49" s="318">
        <f t="shared" si="17"/>
        <v>44270</v>
      </c>
      <c r="DO49" s="5">
        <f ca="1">VLOOKUP(IF($DM49&lt;53,$DM49,52),'Summary Calculations (hide)'!$D$15:$F$67,2,0)</f>
        <v>2442.5</v>
      </c>
      <c r="DP49" s="5">
        <f ca="1">VLOOKUP(IF($DM49&lt;53,$DM49,52),'Summary Calculations (hide)'!$D$15:$F$67,3,0)</f>
        <v>4500.4999999999982</v>
      </c>
      <c r="DQ49" s="5">
        <f ca="1">IF(AND(DN49&gt;='Demand adjustments for Covid'!$F$12,DN49&lt;'Demand adjustments for Covid'!$F$17),'Demand adjustments for Covid'!$F$13,DO49)</f>
        <v>2442.5</v>
      </c>
      <c r="DR49" s="5">
        <f t="shared" si="33"/>
        <v>0</v>
      </c>
      <c r="DS49" s="5">
        <f ca="1">IF('Demand adjustments for Covid'!$F$9="Yes",IF(DR49=0,DQ49,((SUM(DR$4:DR49)-1)*$EE$8)+'Demand adjustments for Covid'!F$13),'Demand background (hide)'!DO49)</f>
        <v>2442.5</v>
      </c>
      <c r="DT49" s="5">
        <f ca="1">IF('Demand adjustments for Covid'!$F$9="Yes",IF(OR(AND(DN49&gt;='Demand adjustments for Covid'!$F$12,DN49&lt;'Demand adjustments for Covid'!$F$17),DR49=1),DS49+3,DP49),'Demand background (hide)'!DP49)</f>
        <v>4500.4999999999982</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4500.4999999999982</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12</v>
      </c>
      <c r="DN50" s="318">
        <f t="shared" si="17"/>
        <v>44277</v>
      </c>
      <c r="DO50" s="5">
        <f ca="1">VLOOKUP(IF($DM50&lt;53,$DM50,52),'Summary Calculations (hide)'!$D$15:$F$67,2,0)</f>
        <v>2442.5</v>
      </c>
      <c r="DP50" s="5">
        <f ca="1">VLOOKUP(IF($DM50&lt;53,$DM50,52),'Summary Calculations (hide)'!$D$15:$F$67,3,0)</f>
        <v>4500.4999999999982</v>
      </c>
      <c r="DQ50" s="5">
        <f ca="1">IF(AND(DN50&gt;='Demand adjustments for Covid'!$F$12,DN50&lt;'Demand adjustments for Covid'!$F$17),'Demand adjustments for Covid'!$F$13,DO50)</f>
        <v>2442.5</v>
      </c>
      <c r="DR50" s="5">
        <f t="shared" si="33"/>
        <v>0</v>
      </c>
      <c r="DS50" s="5">
        <f ca="1">IF('Demand adjustments for Covid'!$F$9="Yes",IF(DR50=0,DQ50,((SUM(DR$4:DR50)-1)*$EE$8)+'Demand adjustments for Covid'!F$13),'Demand background (hide)'!DO50)</f>
        <v>2442.5</v>
      </c>
      <c r="DT50" s="5">
        <f ca="1">IF('Demand adjustments for Covid'!$F$9="Yes",IF(OR(AND(DN50&gt;='Demand adjustments for Covid'!$F$12,DN50&lt;'Demand adjustments for Covid'!$F$17),DR50=1),DS50+3,DP50),'Demand background (hide)'!DP50)</f>
        <v>4500.4999999999982</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4500.4999999999982</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13</v>
      </c>
      <c r="DN51" s="318">
        <f t="shared" si="17"/>
        <v>44284</v>
      </c>
      <c r="DO51" s="5">
        <f ca="1">VLOOKUP(IF($DM51&lt;53,$DM51,52),'Summary Calculations (hide)'!$D$15:$F$67,2,0)</f>
        <v>2442.5</v>
      </c>
      <c r="DP51" s="5">
        <f ca="1">VLOOKUP(IF($DM51&lt;53,$DM51,52),'Summary Calculations (hide)'!$D$15:$F$67,3,0)</f>
        <v>4500.4999999999982</v>
      </c>
      <c r="DQ51" s="5">
        <f ca="1">IF(AND(DN51&gt;='Demand adjustments for Covid'!$F$12,DN51&lt;'Demand adjustments for Covid'!$F$17),'Demand adjustments for Covid'!$F$13,DO51)</f>
        <v>2442.5</v>
      </c>
      <c r="DR51" s="5">
        <f t="shared" si="33"/>
        <v>0</v>
      </c>
      <c r="DS51" s="5">
        <f ca="1">IF('Demand adjustments for Covid'!$F$9="Yes",IF(DR51=0,DQ51,((SUM(DR$4:DR51)-1)*$EE$8)+'Demand adjustments for Covid'!F$13),'Demand background (hide)'!DO51)</f>
        <v>2442.5</v>
      </c>
      <c r="DT51" s="5">
        <f ca="1">IF('Demand adjustments for Covid'!$F$9="Yes",IF(OR(AND(DN51&gt;='Demand adjustments for Covid'!$F$12,DN51&lt;'Demand adjustments for Covid'!$F$17),DR51=1),DS51+3,DP51),'Demand background (hide)'!DP51)</f>
        <v>4500.4999999999982</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4500.4999999999982</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14</v>
      </c>
      <c r="DN52" s="318">
        <f t="shared" si="17"/>
        <v>44291</v>
      </c>
      <c r="DO52" s="5">
        <f ca="1">VLOOKUP(IF($DM52&lt;53,$DM52,52),'Summary Calculations (hide)'!$D$15:$F$67,2,0)</f>
        <v>2442.5</v>
      </c>
      <c r="DP52" s="5">
        <f ca="1">VLOOKUP(IF($DM52&lt;53,$DM52,52),'Summary Calculations (hide)'!$D$15:$F$67,3,0)</f>
        <v>4500.4999999999982</v>
      </c>
      <c r="DQ52" s="5">
        <f ca="1">IF(AND(DN52&gt;='Demand adjustments for Covid'!$F$12,DN52&lt;'Demand adjustments for Covid'!$F$17),'Demand adjustments for Covid'!$F$13,DO52)</f>
        <v>2442.5</v>
      </c>
      <c r="DR52" s="5">
        <f t="shared" si="33"/>
        <v>0</v>
      </c>
      <c r="DS52" s="5">
        <f ca="1">IF('Demand adjustments for Covid'!$F$9="Yes",IF(DR52=0,DQ52,((SUM(DR$4:DR52)-1)*$EE$8)+'Demand adjustments for Covid'!F$13),'Demand background (hide)'!DO52)</f>
        <v>2442.5</v>
      </c>
      <c r="DT52" s="5">
        <f ca="1">IF('Demand adjustments for Covid'!$F$9="Yes",IF(OR(AND(DN52&gt;='Demand adjustments for Covid'!$F$12,DN52&lt;'Demand adjustments for Covid'!$F$17),DR52=1),DS52+3,DP52),'Demand background (hide)'!DP52)</f>
        <v>4500.4999999999982</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4500.4999999999982</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15</v>
      </c>
      <c r="DN53" s="318">
        <f t="shared" si="17"/>
        <v>44298</v>
      </c>
      <c r="DO53" s="5">
        <f ca="1">VLOOKUP(IF($DM53&lt;53,$DM53,52),'Summary Calculations (hide)'!$D$15:$F$67,2,0)</f>
        <v>2442.5</v>
      </c>
      <c r="DP53" s="5">
        <f ca="1">VLOOKUP(IF($DM53&lt;53,$DM53,52),'Summary Calculations (hide)'!$D$15:$F$67,3,0)</f>
        <v>4500.4999999999982</v>
      </c>
      <c r="DQ53" s="5">
        <f ca="1">IF(AND(DN53&gt;='Demand adjustments for Covid'!$F$12,DN53&lt;'Demand adjustments for Covid'!$F$17),'Demand adjustments for Covid'!$F$13,DO53)</f>
        <v>2442.5</v>
      </c>
      <c r="DR53" s="5">
        <f t="shared" si="33"/>
        <v>0</v>
      </c>
      <c r="DS53" s="5">
        <f ca="1">IF('Demand adjustments for Covid'!$F$9="Yes",IF(DR53=0,DQ53,((SUM(DR$4:DR53)-1)*$EE$8)+'Demand adjustments for Covid'!F$13),'Demand background (hide)'!DO53)</f>
        <v>2442.5</v>
      </c>
      <c r="DT53" s="5">
        <f ca="1">IF('Demand adjustments for Covid'!$F$9="Yes",IF(OR(AND(DN53&gt;='Demand adjustments for Covid'!$F$12,DN53&lt;'Demand adjustments for Covid'!$F$17),DR53=1),DS53+3,DP53),'Demand background (hide)'!DP53)</f>
        <v>4500.4999999999982</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4500.4999999999982</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16</v>
      </c>
      <c r="DN54" s="318">
        <f t="shared" si="17"/>
        <v>44305</v>
      </c>
      <c r="DO54" s="5">
        <f ca="1">VLOOKUP(IF($DM54&lt;53,$DM54,52),'Summary Calculations (hide)'!$D$15:$F$67,2,0)</f>
        <v>2442.5</v>
      </c>
      <c r="DP54" s="5">
        <f ca="1">VLOOKUP(IF($DM54&lt;53,$DM54,52),'Summary Calculations (hide)'!$D$15:$F$67,3,0)</f>
        <v>4500.4999999999982</v>
      </c>
      <c r="DQ54" s="5">
        <f ca="1">IF(AND(DN54&gt;='Demand adjustments for Covid'!$F$12,DN54&lt;'Demand adjustments for Covid'!$F$17),'Demand adjustments for Covid'!$F$13,DO54)</f>
        <v>2442.5</v>
      </c>
      <c r="DR54" s="5">
        <f t="shared" si="33"/>
        <v>0</v>
      </c>
      <c r="DS54" s="5">
        <f ca="1">IF('Demand adjustments for Covid'!$F$9="Yes",IF(DR54=0,DQ54,((SUM(DR$4:DR54)-1)*$EE$8)+'Demand adjustments for Covid'!F$13),'Demand background (hide)'!DO54)</f>
        <v>2442.5</v>
      </c>
      <c r="DT54" s="5">
        <f ca="1">IF('Demand adjustments for Covid'!$F$9="Yes",IF(OR(AND(DN54&gt;='Demand adjustments for Covid'!$F$12,DN54&lt;'Demand adjustments for Covid'!$F$17),DR54=1),DS54+3,DP54),'Demand background (hide)'!DP54)</f>
        <v>4500.4999999999982</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4500.4999999999982</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17</v>
      </c>
      <c r="DN55" s="318">
        <f t="shared" si="17"/>
        <v>44312</v>
      </c>
      <c r="DO55" s="5">
        <f ca="1">VLOOKUP(IF($DM55&lt;53,$DM55,52),'Summary Calculations (hide)'!$D$15:$F$67,2,0)</f>
        <v>2442.5</v>
      </c>
      <c r="DP55" s="5">
        <f ca="1">VLOOKUP(IF($DM55&lt;53,$DM55,52),'Summary Calculations (hide)'!$D$15:$F$67,3,0)</f>
        <v>4500.4999999999982</v>
      </c>
      <c r="DQ55" s="5">
        <f ca="1">IF(AND(DN55&gt;='Demand adjustments for Covid'!$F$12,DN55&lt;'Demand adjustments for Covid'!$F$17),'Demand adjustments for Covid'!$F$13,DO55)</f>
        <v>2442.5</v>
      </c>
      <c r="DR55" s="5">
        <f t="shared" si="33"/>
        <v>0</v>
      </c>
      <c r="DS55" s="5">
        <f ca="1">IF('Demand adjustments for Covid'!$F$9="Yes",IF(DR55=0,DQ55,((SUM(DR$4:DR55)-1)*$EE$8)+'Demand adjustments for Covid'!F$13),'Demand background (hide)'!DO55)</f>
        <v>2442.5</v>
      </c>
      <c r="DT55" s="5">
        <f ca="1">IF('Demand adjustments for Covid'!$F$9="Yes",IF(OR(AND(DN55&gt;='Demand adjustments for Covid'!$F$12,DN55&lt;'Demand adjustments for Covid'!$F$17),DR55=1),DS55+3,DP55),'Demand background (hide)'!DP55)</f>
        <v>4500.4999999999982</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4500.4999999999982</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18</v>
      </c>
      <c r="DN56" s="318">
        <f t="shared" si="17"/>
        <v>44319</v>
      </c>
      <c r="DO56" s="5">
        <f ca="1">VLOOKUP(IF($DM56&lt;53,$DM56,52),'Summary Calculations (hide)'!$D$15:$F$67,2,0)</f>
        <v>2442.5</v>
      </c>
      <c r="DP56" s="5">
        <f ca="1">VLOOKUP(IF($DM56&lt;53,$DM56,52),'Summary Calculations (hide)'!$D$15:$F$67,3,0)</f>
        <v>4500.4999999999982</v>
      </c>
      <c r="DQ56" s="5">
        <f ca="1">IF(AND(DN56&gt;='Demand adjustments for Covid'!$F$12,DN56&lt;'Demand adjustments for Covid'!$F$17),'Demand adjustments for Covid'!$F$13,DO56)</f>
        <v>2442.5</v>
      </c>
      <c r="DR56" s="5">
        <f t="shared" ref="DR56" si="35">IF(AND(ROW(A53)&gt;=$EE$4,ROW(A53)&lt;=$EE$5),1,0)</f>
        <v>0</v>
      </c>
      <c r="DS56" s="5">
        <f ca="1">IF('Demand adjustments for Covid'!$F$9="Yes",IF(DR56=0,DQ56,((SUM(DR$4:DR56)-1)*$EE$8)+'Demand adjustments for Covid'!F$13),'Demand background (hide)'!DO56)</f>
        <v>2442.5</v>
      </c>
      <c r="DT56" s="5">
        <f ca="1">IF('Demand adjustments for Covid'!$F$9="Yes",IF(OR(AND(DN56&gt;='Demand adjustments for Covid'!$F$12,DN56&lt;'Demand adjustments for Covid'!$F$17),DR56=1),DS56+3,DP56),'Demand background (hide)'!DP56)</f>
        <v>4500.4999999999982</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4500.4999999999982</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27248</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27248</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12" sqref="F12"/>
    </sheetView>
  </sheetViews>
  <sheetFormatPr defaultRowHeight="13.8" x14ac:dyDescent="0.25"/>
  <cols>
    <col min="1" max="3" width="10.3984375" style="361" customWidth="1"/>
    <col min="4" max="4" width="17.8984375" style="361" customWidth="1"/>
    <col min="5" max="5" width="13.8984375" style="361" customWidth="1"/>
    <col min="6" max="6" width="9.8984375" style="361" bestFit="1" customWidth="1"/>
    <col min="7" max="16384" width="8.796875" style="361"/>
  </cols>
  <sheetData>
    <row r="2" spans="1:18" x14ac:dyDescent="0.25">
      <c r="A2" s="360" t="s">
        <v>1181</v>
      </c>
      <c r="B2" s="360"/>
      <c r="C2" s="360"/>
      <c r="D2" s="360"/>
      <c r="E2" s="360"/>
      <c r="F2" s="360"/>
      <c r="G2" s="360"/>
      <c r="H2" s="360"/>
      <c r="I2" s="360"/>
      <c r="J2" s="360"/>
      <c r="K2" s="360"/>
      <c r="L2" s="360"/>
      <c r="M2" s="360"/>
      <c r="N2" s="360"/>
      <c r="O2" s="360"/>
      <c r="P2" s="360"/>
      <c r="Q2" s="360"/>
      <c r="R2" s="360"/>
    </row>
    <row r="3" spans="1:18" x14ac:dyDescent="0.25">
      <c r="A3" s="362" t="s">
        <v>1182</v>
      </c>
      <c r="B3" s="362"/>
      <c r="C3" s="362"/>
      <c r="D3" s="362"/>
      <c r="E3" s="362"/>
      <c r="F3" s="362"/>
      <c r="G3" s="362"/>
      <c r="H3" s="362"/>
      <c r="I3" s="362"/>
      <c r="J3" s="362"/>
      <c r="K3" s="362"/>
      <c r="L3" s="362"/>
      <c r="M3" s="362"/>
      <c r="N3" s="362"/>
      <c r="O3" s="362"/>
      <c r="P3" s="362"/>
      <c r="Q3" s="362"/>
      <c r="R3" s="362"/>
    </row>
    <row r="5" spans="1:18" x14ac:dyDescent="0.25">
      <c r="A5" s="361" t="s">
        <v>1214</v>
      </c>
    </row>
    <row r="6" spans="1:18" x14ac:dyDescent="0.25">
      <c r="A6" s="361" t="s">
        <v>1190</v>
      </c>
    </row>
    <row r="7" spans="1:18" x14ac:dyDescent="0.25">
      <c r="A7" s="361" t="s">
        <v>1191</v>
      </c>
    </row>
    <row r="9" spans="1:18" x14ac:dyDescent="0.25">
      <c r="A9" s="284" t="s">
        <v>1183</v>
      </c>
      <c r="F9" s="343" t="s">
        <v>20</v>
      </c>
    </row>
    <row r="10" spans="1:18" x14ac:dyDescent="0.25">
      <c r="A10" s="363" t="str">
        <f>IF(AND(F9="Yes",Demand!C6="",LEFT(Demand!C8,1)="M"),"You must enter a start date on the 'Demand' sheet, otherwise the model will show errors!","")</f>
        <v/>
      </c>
    </row>
    <row r="11" spans="1:18" x14ac:dyDescent="0.25">
      <c r="A11" s="284" t="s">
        <v>1188</v>
      </c>
    </row>
    <row r="12" spans="1:18" x14ac:dyDescent="0.25">
      <c r="A12" s="361" t="s">
        <v>1185</v>
      </c>
      <c r="F12" s="167">
        <v>43955</v>
      </c>
    </row>
    <row r="13" spans="1:18" x14ac:dyDescent="0.25">
      <c r="A13" s="361" t="str">
        <f>"Current (restricted) level of demand ("&amp;Setup!$I$17&amp;"):"</f>
        <v>Current (restricted) level of demand (Points):</v>
      </c>
      <c r="D13" s="219"/>
      <c r="F13" s="343">
        <v>3640</v>
      </c>
    </row>
    <row r="14" spans="1:18" x14ac:dyDescent="0.25">
      <c r="D14" s="219"/>
      <c r="F14" s="219"/>
    </row>
    <row r="16" spans="1:18" x14ac:dyDescent="0.25">
      <c r="A16" s="284" t="s">
        <v>1189</v>
      </c>
    </row>
    <row r="17" spans="1:6" x14ac:dyDescent="0.25">
      <c r="A17" s="361" t="s">
        <v>1187</v>
      </c>
      <c r="F17" s="167">
        <v>43955</v>
      </c>
    </row>
    <row r="18" spans="1:6" x14ac:dyDescent="0.25">
      <c r="A18" s="361" t="s">
        <v>1243</v>
      </c>
      <c r="F18" s="343">
        <v>8</v>
      </c>
    </row>
    <row r="20" spans="1:6" x14ac:dyDescent="0.25">
      <c r="A20" s="361" t="s">
        <v>1184</v>
      </c>
      <c r="F20" s="343" t="s">
        <v>22</v>
      </c>
    </row>
    <row r="23" spans="1:6" x14ac:dyDescent="0.25">
      <c r="A23" s="284" t="s">
        <v>1216</v>
      </c>
    </row>
    <row r="24" spans="1:6" x14ac:dyDescent="0.25">
      <c r="A24" s="361" t="s">
        <v>1217</v>
      </c>
    </row>
    <row r="26" spans="1:6" x14ac:dyDescent="0.25">
      <c r="A26" s="361" t="s">
        <v>1218</v>
      </c>
    </row>
    <row r="27" spans="1:6" x14ac:dyDescent="0.25">
      <c r="A27" s="361" t="s">
        <v>1219</v>
      </c>
    </row>
    <row r="28" spans="1:6" x14ac:dyDescent="0.25">
      <c r="A28" s="364" t="s">
        <v>1224</v>
      </c>
    </row>
    <row r="31" spans="1:6" x14ac:dyDescent="0.25">
      <c r="A31" s="284" t="s">
        <v>1220</v>
      </c>
    </row>
    <row r="33" spans="1:18" x14ac:dyDescent="0.25">
      <c r="D33" s="387" t="str">
        <f>"Number of patients ("&amp;Setup!$I$17&amp;")"</f>
        <v>Number of patients (Points)</v>
      </c>
      <c r="E33" s="386" t="s">
        <v>1223</v>
      </c>
      <c r="F33" s="387" t="str">
        <f>Setup!$I$17&amp;" remaining"</f>
        <v>Points remaining</v>
      </c>
      <c r="G33" s="365" t="str">
        <f>"Backlog / unseen patients ("&amp;Setup!$I$17&amp;") brought in post-transition, by week"</f>
        <v>Backlog / unseen patients (Points) brought in post-transition, by week</v>
      </c>
      <c r="H33" s="366"/>
      <c r="I33" s="366"/>
      <c r="J33" s="366"/>
      <c r="K33" s="366"/>
      <c r="L33" s="366"/>
      <c r="M33" s="366"/>
      <c r="N33" s="366"/>
      <c r="O33" s="366"/>
      <c r="P33" s="366"/>
      <c r="Q33" s="366"/>
      <c r="R33" s="367"/>
    </row>
    <row r="34" spans="1:18" x14ac:dyDescent="0.25">
      <c r="D34" s="387"/>
      <c r="E34" s="386"/>
      <c r="F34" s="387"/>
      <c r="G34" s="368">
        <v>1</v>
      </c>
      <c r="H34" s="368">
        <v>2</v>
      </c>
      <c r="I34" s="368">
        <v>3</v>
      </c>
      <c r="J34" s="368">
        <v>4</v>
      </c>
      <c r="K34" s="368">
        <v>5</v>
      </c>
      <c r="L34" s="368">
        <v>6</v>
      </c>
      <c r="M34" s="368">
        <v>7</v>
      </c>
      <c r="N34" s="368">
        <v>8</v>
      </c>
      <c r="O34" s="368">
        <v>9</v>
      </c>
      <c r="P34" s="368">
        <v>10</v>
      </c>
      <c r="Q34" s="368">
        <v>11</v>
      </c>
      <c r="R34" s="368">
        <v>12</v>
      </c>
    </row>
    <row r="35" spans="1:18" x14ac:dyDescent="0.25">
      <c r="A35" s="361" t="s">
        <v>1221</v>
      </c>
      <c r="D35" s="371">
        <f ca="1">SUM(OFFSET('Parameters calculator (hide)'!$C$68,0,0,Num_Modalities,1))</f>
        <v>152</v>
      </c>
      <c r="E35" s="344">
        <v>0.15</v>
      </c>
      <c r="F35" s="369">
        <f ca="1">ROUNDUP(D35*(1-E35),0)-SUM(G35:N35)</f>
        <v>-270</v>
      </c>
      <c r="G35" s="343">
        <v>50</v>
      </c>
      <c r="H35" s="343">
        <v>50</v>
      </c>
      <c r="I35" s="343">
        <v>50</v>
      </c>
      <c r="J35" s="343">
        <v>50</v>
      </c>
      <c r="K35" s="343">
        <v>50</v>
      </c>
      <c r="L35" s="343">
        <v>50</v>
      </c>
      <c r="M35" s="343">
        <v>50</v>
      </c>
      <c r="N35" s="343">
        <v>50</v>
      </c>
      <c r="O35" s="343"/>
      <c r="P35" s="343"/>
      <c r="Q35" s="343"/>
      <c r="R35" s="343"/>
    </row>
    <row r="36" spans="1:18" x14ac:dyDescent="0.25">
      <c r="A36" s="361" t="s">
        <v>1222</v>
      </c>
      <c r="D36" s="372">
        <f ca="1">'Demand background (hide)'!EA3</f>
        <v>-5388.75</v>
      </c>
      <c r="E36" s="344">
        <v>0.3</v>
      </c>
      <c r="F36" s="370">
        <f ca="1">ROUNDUP(D36*(1-E36),0)-SUM(G36:N36)</f>
        <v>-4173</v>
      </c>
      <c r="G36" s="343">
        <v>50</v>
      </c>
      <c r="H36" s="343">
        <v>50</v>
      </c>
      <c r="I36" s="343">
        <v>50</v>
      </c>
      <c r="J36" s="343">
        <v>50</v>
      </c>
      <c r="K36" s="343">
        <v>50</v>
      </c>
      <c r="L36" s="343">
        <v>50</v>
      </c>
      <c r="M36" s="343">
        <v>50</v>
      </c>
      <c r="N36" s="343">
        <v>50</v>
      </c>
      <c r="O36" s="343"/>
      <c r="P36" s="343"/>
      <c r="Q36" s="343"/>
      <c r="R36" s="343"/>
    </row>
    <row r="39" spans="1:18" x14ac:dyDescent="0.25">
      <c r="A39" s="361" t="s">
        <v>1231</v>
      </c>
    </row>
  </sheetData>
  <sheetProtection algorithmName="SHA-512" hashValue="tCEJmJlaTbSIvXBQ+93Do1LinMB8q94BBF4ExxSMUhi+AXKQ+UaCN+2fXLp1zXonUvTRFyV1OBUeUlmsvu5UxA==" saltValue="DrX2iE0gD8H+OMGAKmOIrw==" spinCount="100000" sheet="1" objects="1" scenarios="1"/>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10 weeks</v>
      </c>
    </row>
    <row r="6" spans="1:3" ht="14.25" customHeight="1" x14ac:dyDescent="0.25"/>
    <row r="7" spans="1:3" ht="14.25" customHeight="1" x14ac:dyDescent="0.25">
      <c r="A7" s="329" t="s">
        <v>186</v>
      </c>
      <c r="B7" s="373"/>
      <c r="C7" s="373"/>
    </row>
    <row r="8" spans="1:3" ht="14.25" customHeight="1" x14ac:dyDescent="0.25">
      <c r="A8" s="329" t="s">
        <v>187</v>
      </c>
      <c r="B8" s="373"/>
      <c r="C8" s="373" t="str">
        <f ca="1">IF('SPC background (hide)'!H7&lt;&gt;"",'SPC background (hide)'!H7&amp;" weeks","")</f>
        <v/>
      </c>
    </row>
    <row r="9" spans="1:3" ht="14.25" customHeight="1" x14ac:dyDescent="0.25">
      <c r="A9" s="329"/>
      <c r="B9" s="373"/>
      <c r="C9" s="373"/>
    </row>
    <row r="10" spans="1:3" ht="14.25" customHeight="1" x14ac:dyDescent="0.25">
      <c r="A10" s="329" t="s">
        <v>188</v>
      </c>
      <c r="B10" s="373"/>
      <c r="C10" s="373"/>
    </row>
    <row r="11" spans="1:3" ht="14.25" customHeight="1" x14ac:dyDescent="0.25">
      <c r="A11" s="329" t="s">
        <v>189</v>
      </c>
      <c r="B11" s="373"/>
      <c r="C11" s="373" t="str">
        <f ca="1">IF('SPC background (hide)'!H9&lt;&gt;"",'SPC background (hide)'!H9&amp;" weeks","")</f>
        <v/>
      </c>
    </row>
    <row r="12" spans="1:3" ht="14.25" customHeight="1" x14ac:dyDescent="0.25">
      <c r="A12" s="329"/>
      <c r="B12" s="373"/>
      <c r="C12" s="373"/>
    </row>
    <row r="13" spans="1:3" ht="14.25" customHeight="1" x14ac:dyDescent="0.25">
      <c r="A13" s="329" t="s">
        <v>190</v>
      </c>
      <c r="B13" s="373"/>
      <c r="C13" s="373"/>
    </row>
    <row r="14" spans="1:3" ht="14.25" customHeight="1" x14ac:dyDescent="0.25">
      <c r="A14" s="329" t="s">
        <v>191</v>
      </c>
      <c r="B14" s="373"/>
      <c r="C14" s="373"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10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PARUSvLuG9GRvxmNYohVZtrMpyBWbZUxDMPU5nA0z9cA2mZlmGVMWRvha2g80Wedl1KK9laX2ycZfyx5i9AQg==" saltValue="cJjZLdDpjsPhu55cA3DJdQ=="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(Points)</v>
      </c>
      <c r="AG2" s="67">
        <f ca="1">OFFSET(Demand!$C$13,'SPC background (hide)'!$C$4-2+ROW(A1),0,1,1)</f>
        <v>10</v>
      </c>
      <c r="AH2" s="67">
        <v>1</v>
      </c>
      <c r="AI2" s="67">
        <f ca="1">IF(AH2&lt;=($M$4-$L$4+1),1,IF(AND($M$10&gt;=2,AH2&lt;=$M$5-$L$4+1),2,IF(AND($M$10&gt;=3,AH2&lt;=$M$6-$L$4+1),3,IF(AND($M$10=4,AH2&lt;=$M$7-$L$4+1),4,5))))</f>
        <v>1</v>
      </c>
      <c r="AJ2" s="39">
        <f ca="1">VLOOKUP(AI2,$K$4:$Q$9,4,0)</f>
        <v>532.70291568163918</v>
      </c>
      <c r="AK2" s="39">
        <f ca="1">IF($AN2-(3*$AJ2)&lt;=0,0,$AN2-(3*$AJ2))</f>
        <v>1126.6912529550827</v>
      </c>
      <c r="AL2" s="39">
        <f ca="1">IF($AN2-(2*$AJ2)&lt;=0,0,$AN2-(2*$AJ2))</f>
        <v>1659.3941686367218</v>
      </c>
      <c r="AM2" s="39">
        <f ca="1">IF($AN2-(1*$AJ2)&lt;=0,0,$AN2-(1*$AJ2))</f>
        <v>2192.0970843183609</v>
      </c>
      <c r="AN2" s="39">
        <f ca="1">VLOOKUP(AI2,$K$4:$Q$9,5,0)</f>
        <v>2724.8</v>
      </c>
      <c r="AO2" s="39">
        <f t="shared" ref="AO2:AO54" ca="1" si="0">$AN2+(1*$AJ2)</f>
        <v>3257.5029156816395</v>
      </c>
      <c r="AP2" s="39">
        <f t="shared" ref="AP2:AP54" ca="1" si="1">$AN2+(2*$AJ2)</f>
        <v>3790.2058313632788</v>
      </c>
      <c r="AQ2" s="39">
        <f t="shared" ref="AQ2:AQ54" ca="1" si="2">$AN2+(3*$AJ2)</f>
        <v>4322.9087470449176</v>
      </c>
      <c r="AR2" s="5">
        <f ca="1">VLOOKUP($AI2,$K$4:$Q$8,6,0)</f>
        <v>2442.5</v>
      </c>
      <c r="AS2" s="5">
        <f t="shared" ref="AS2:AS54" ca="1" si="3">VLOOKUP($AI2,$K$4:$Q$8,7,0)</f>
        <v>4500.4999999999982</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11</v>
      </c>
      <c r="AH3" s="67">
        <v>2</v>
      </c>
      <c r="AI3" s="67">
        <f t="shared" ref="AI3:AI54" ca="1" si="4">IF(AH3&lt;=($M$4-$L$4+1),1,IF(AND($M$10&gt;=2,AH3&lt;=$M$5-$L$4+1),2,IF(AND($M$10&gt;=3,AH3&lt;=$M$6-$L$4+1),3,IF(AND($M$10=4,AH3&lt;=$M$7-$L$4+1),4,5))))</f>
        <v>1</v>
      </c>
      <c r="AJ3" s="39">
        <f t="shared" ref="AJ3:AJ54" ca="1" si="5">VLOOKUP(AI3,$K$4:$Q$9,4,0)</f>
        <v>532.70291568163918</v>
      </c>
      <c r="AK3" s="39">
        <f t="shared" ref="AK3:AK54" ca="1" si="6">IF($AN3-(3*$AJ3)&lt;=0,0,$AN3-(3*$AJ3))</f>
        <v>1126.6912529550827</v>
      </c>
      <c r="AL3" s="39">
        <f t="shared" ref="AL3:AL54" ca="1" si="7">IF($AN3-(2*$AJ3)&lt;=0,0,$AN3-(2*$AJ3))</f>
        <v>1659.3941686367218</v>
      </c>
      <c r="AM3" s="39">
        <f t="shared" ref="AM3:AM54" ca="1" si="8">IF($AN3-(1*$AJ3)&lt;=0,0,$AN3-(1*$AJ3))</f>
        <v>2192.0970843183609</v>
      </c>
      <c r="AN3" s="39">
        <f t="shared" ref="AN3:AN54" ca="1" si="9">VLOOKUP(AI3,$K$4:$Q$9,5,0)</f>
        <v>2724.8</v>
      </c>
      <c r="AO3" s="39">
        <f t="shared" ca="1" si="0"/>
        <v>3257.5029156816395</v>
      </c>
      <c r="AP3" s="39">
        <f t="shared" ca="1" si="1"/>
        <v>3790.2058313632788</v>
      </c>
      <c r="AQ3" s="39">
        <f t="shared" ca="1" si="2"/>
        <v>4322.9087470449176</v>
      </c>
      <c r="AR3" s="5">
        <f t="shared" ref="AR3:AR54" ca="1" si="10">VLOOKUP($AI3,$K$4:$Q$8,6,0)</f>
        <v>2442.5</v>
      </c>
      <c r="AS3" s="5">
        <f t="shared" ca="1" si="3"/>
        <v>4500.4999999999982</v>
      </c>
      <c r="AT3" s="5">
        <f t="shared" ref="AT3:AT54" ca="1" si="11">VLOOKUP(AI3,$K$4:$R$8,8,0)</f>
        <v>0</v>
      </c>
    </row>
    <row r="4" spans="1:46" x14ac:dyDescent="0.25">
      <c r="B4" s="67" t="s">
        <v>118</v>
      </c>
      <c r="C4" s="67">
        <v>1</v>
      </c>
      <c r="D4" s="67">
        <v>1</v>
      </c>
      <c r="E4" s="67">
        <f ca="1">MAX(0,MaxRows-9)</f>
        <v>7</v>
      </c>
      <c r="F4" s="67">
        <f ca="1">E4-D4+1</f>
        <v>7</v>
      </c>
      <c r="K4" s="67">
        <v>1</v>
      </c>
      <c r="L4" s="67">
        <f>C4</f>
        <v>1</v>
      </c>
      <c r="M4" s="67">
        <f ca="1">H5+L4-1</f>
        <v>10</v>
      </c>
      <c r="N4" s="5">
        <f ca="1">Sigma1</f>
        <v>532.70291568163918</v>
      </c>
      <c r="O4" s="5">
        <f ca="1">Mean1</f>
        <v>2724.8</v>
      </c>
      <c r="P4" s="5">
        <f ca="1">PercLower1</f>
        <v>2442.5</v>
      </c>
      <c r="Q4" s="5">
        <f ca="1">PercUpper1</f>
        <v>4500.4999999999982</v>
      </c>
      <c r="R4" s="5">
        <f ca="1">Emergency1</f>
        <v>0</v>
      </c>
      <c r="S4" s="5">
        <f ca="1">O4*H5</f>
        <v>27248</v>
      </c>
      <c r="T4" s="5"/>
      <c r="AG4" s="67">
        <f t="shared" ref="AG4:AG54" ca="1" si="12">IF(MOD(AG3+1,53)=0,53,MOD(AG3+1,53))</f>
        <v>12</v>
      </c>
      <c r="AH4" s="67">
        <v>3</v>
      </c>
      <c r="AI4" s="67">
        <f t="shared" ca="1" si="4"/>
        <v>1</v>
      </c>
      <c r="AJ4" s="39">
        <f t="shared" ca="1" si="5"/>
        <v>532.70291568163918</v>
      </c>
      <c r="AK4" s="39">
        <f t="shared" ca="1" si="6"/>
        <v>1126.6912529550827</v>
      </c>
      <c r="AL4" s="39">
        <f t="shared" ca="1" si="7"/>
        <v>1659.3941686367218</v>
      </c>
      <c r="AM4" s="39">
        <f t="shared" ca="1" si="8"/>
        <v>2192.0970843183609</v>
      </c>
      <c r="AN4" s="39">
        <f t="shared" ca="1" si="9"/>
        <v>2724.8</v>
      </c>
      <c r="AO4" s="39">
        <f t="shared" ca="1" si="0"/>
        <v>3257.5029156816395</v>
      </c>
      <c r="AP4" s="39">
        <f t="shared" ca="1" si="1"/>
        <v>3790.2058313632788</v>
      </c>
      <c r="AQ4" s="39">
        <f t="shared" ca="1" si="2"/>
        <v>4322.9087470449176</v>
      </c>
      <c r="AR4" s="5">
        <f t="shared" ca="1" si="10"/>
        <v>2442.5</v>
      </c>
      <c r="AS4" s="5">
        <f t="shared" ca="1" si="3"/>
        <v>4500.4999999999982</v>
      </c>
      <c r="AT4" s="5">
        <f t="shared" ca="1" si="11"/>
        <v>0</v>
      </c>
    </row>
    <row r="5" spans="1:46" x14ac:dyDescent="0.25">
      <c r="B5" s="67" t="s">
        <v>119</v>
      </c>
      <c r="C5" s="67">
        <v>1</v>
      </c>
      <c r="D5" s="67">
        <f>C4+9</f>
        <v>10</v>
      </c>
      <c r="E5" s="67">
        <f ca="1">MIN(C4+52,MaxRows+1)</f>
        <v>17</v>
      </c>
      <c r="F5" s="67">
        <f ca="1">E5-D5+1</f>
        <v>8</v>
      </c>
      <c r="G5" s="67">
        <f ca="1">H5</f>
        <v>10</v>
      </c>
      <c r="H5" s="67">
        <f ca="1">MIN(C5+D5-C4,E5-C4)</f>
        <v>10</v>
      </c>
      <c r="I5" s="67">
        <f ca="1">G5</f>
        <v>10</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13</v>
      </c>
      <c r="AH5" s="67">
        <v>4</v>
      </c>
      <c r="AI5" s="67">
        <f t="shared" ca="1" si="4"/>
        <v>1</v>
      </c>
      <c r="AJ5" s="39">
        <f t="shared" ca="1" si="5"/>
        <v>532.70291568163918</v>
      </c>
      <c r="AK5" s="39">
        <f t="shared" ca="1" si="6"/>
        <v>1126.6912529550827</v>
      </c>
      <c r="AL5" s="39">
        <f t="shared" ca="1" si="7"/>
        <v>1659.3941686367218</v>
      </c>
      <c r="AM5" s="39">
        <f t="shared" ca="1" si="8"/>
        <v>2192.0970843183609</v>
      </c>
      <c r="AN5" s="39">
        <f t="shared" ca="1" si="9"/>
        <v>2724.8</v>
      </c>
      <c r="AO5" s="39">
        <f t="shared" ca="1" si="0"/>
        <v>3257.5029156816395</v>
      </c>
      <c r="AP5" s="39">
        <f t="shared" ca="1" si="1"/>
        <v>3790.2058313632788</v>
      </c>
      <c r="AQ5" s="39">
        <f t="shared" ca="1" si="2"/>
        <v>4322.9087470449176</v>
      </c>
      <c r="AR5" s="5">
        <f t="shared" ca="1" si="10"/>
        <v>2442.5</v>
      </c>
      <c r="AS5" s="5">
        <f t="shared" ca="1" si="3"/>
        <v>4500.4999999999982</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14</v>
      </c>
      <c r="AH6" s="67">
        <v>5</v>
      </c>
      <c r="AI6" s="67">
        <f t="shared" ca="1" si="4"/>
        <v>1</v>
      </c>
      <c r="AJ6" s="39">
        <f t="shared" ca="1" si="5"/>
        <v>532.70291568163918</v>
      </c>
      <c r="AK6" s="39">
        <f t="shared" ca="1" si="6"/>
        <v>1126.6912529550827</v>
      </c>
      <c r="AL6" s="39">
        <f t="shared" ca="1" si="7"/>
        <v>1659.3941686367218</v>
      </c>
      <c r="AM6" s="39">
        <f t="shared" ca="1" si="8"/>
        <v>2192.0970843183609</v>
      </c>
      <c r="AN6" s="39">
        <f t="shared" ca="1" si="9"/>
        <v>2724.8</v>
      </c>
      <c r="AO6" s="39">
        <f t="shared" ca="1" si="0"/>
        <v>3257.5029156816395</v>
      </c>
      <c r="AP6" s="39">
        <f t="shared" ca="1" si="1"/>
        <v>3790.2058313632788</v>
      </c>
      <c r="AQ6" s="39">
        <f t="shared" ca="1" si="2"/>
        <v>4322.9087470449176</v>
      </c>
      <c r="AR6" s="5">
        <f t="shared" ca="1" si="10"/>
        <v>2442.5</v>
      </c>
      <c r="AS6" s="5">
        <f t="shared" ca="1" si="3"/>
        <v>4500.4999999999982</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10</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15</v>
      </c>
      <c r="AH7" s="67">
        <v>6</v>
      </c>
      <c r="AI7" s="67">
        <f t="shared" ca="1" si="4"/>
        <v>1</v>
      </c>
      <c r="AJ7" s="39">
        <f t="shared" ca="1" si="5"/>
        <v>532.70291568163918</v>
      </c>
      <c r="AK7" s="39">
        <f t="shared" ca="1" si="6"/>
        <v>1126.6912529550827</v>
      </c>
      <c r="AL7" s="39">
        <f t="shared" ca="1" si="7"/>
        <v>1659.3941686367218</v>
      </c>
      <c r="AM7" s="39">
        <f t="shared" ca="1" si="8"/>
        <v>2192.0970843183609</v>
      </c>
      <c r="AN7" s="39">
        <f t="shared" ca="1" si="9"/>
        <v>2724.8</v>
      </c>
      <c r="AO7" s="39">
        <f t="shared" ca="1" si="0"/>
        <v>3257.5029156816395</v>
      </c>
      <c r="AP7" s="39">
        <f t="shared" ca="1" si="1"/>
        <v>3790.2058313632788</v>
      </c>
      <c r="AQ7" s="39">
        <f t="shared" ca="1" si="2"/>
        <v>4322.9087470449176</v>
      </c>
      <c r="AR7" s="5">
        <f t="shared" ca="1" si="10"/>
        <v>2442.5</v>
      </c>
      <c r="AS7" s="5">
        <f t="shared" ca="1" si="3"/>
        <v>4500.4999999999982</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11</v>
      </c>
      <c r="M8" s="67">
        <f ca="1">IF(L8&gt;0,52,0)</f>
        <v>52</v>
      </c>
      <c r="N8" s="70">
        <f ca="1">IF(L8&gt;0,INDIRECT("Sigma"&amp;$M$11),"")</f>
        <v>532.70291568163918</v>
      </c>
      <c r="O8" s="70">
        <f ca="1">IF(M8&gt;0,INDIRECT("Mean"&amp;$M$11),"")</f>
        <v>2724.8</v>
      </c>
      <c r="P8" s="67">
        <f ca="1">IF(N8&gt;0,INDIRECT("PercLower"&amp;$M$11),"")</f>
        <v>2442.5</v>
      </c>
      <c r="Q8" s="67">
        <f ca="1">IF(O8&gt;0,INDIRECT("PercUpper"&amp;$M$11),"")</f>
        <v>4500.4999999999982</v>
      </c>
      <c r="R8" s="67">
        <f ca="1">IF(O8&gt;0,INDIRECT("Emergency"&amp;$M$11),"")</f>
        <v>0</v>
      </c>
      <c r="S8" s="5"/>
      <c r="AG8" s="67">
        <f t="shared" ca="1" si="12"/>
        <v>16</v>
      </c>
      <c r="AH8" s="67">
        <v>7</v>
      </c>
      <c r="AI8" s="67">
        <f t="shared" ca="1" si="4"/>
        <v>1</v>
      </c>
      <c r="AJ8" s="39">
        <f t="shared" ca="1" si="5"/>
        <v>532.70291568163918</v>
      </c>
      <c r="AK8" s="39">
        <f t="shared" ca="1" si="6"/>
        <v>1126.6912529550827</v>
      </c>
      <c r="AL8" s="39">
        <f t="shared" ca="1" si="7"/>
        <v>1659.3941686367218</v>
      </c>
      <c r="AM8" s="39">
        <f t="shared" ca="1" si="8"/>
        <v>2192.0970843183609</v>
      </c>
      <c r="AN8" s="39">
        <f t="shared" ca="1" si="9"/>
        <v>2724.8</v>
      </c>
      <c r="AO8" s="39">
        <f t="shared" ca="1" si="0"/>
        <v>3257.5029156816395</v>
      </c>
      <c r="AP8" s="39">
        <f t="shared" ca="1" si="1"/>
        <v>3790.2058313632788</v>
      </c>
      <c r="AQ8" s="39">
        <f t="shared" ca="1" si="2"/>
        <v>4322.9087470449176</v>
      </c>
      <c r="AR8" s="5">
        <f t="shared" ca="1" si="10"/>
        <v>2442.5</v>
      </c>
      <c r="AS8" s="5">
        <f t="shared" ca="1" si="3"/>
        <v>4500.4999999999982</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10</v>
      </c>
      <c r="S9" s="5"/>
      <c r="AG9" s="67">
        <f t="shared" ca="1" si="12"/>
        <v>17</v>
      </c>
      <c r="AH9" s="67">
        <v>8</v>
      </c>
      <c r="AI9" s="67">
        <f t="shared" ca="1" si="4"/>
        <v>1</v>
      </c>
      <c r="AJ9" s="39">
        <f t="shared" ca="1" si="5"/>
        <v>532.70291568163918</v>
      </c>
      <c r="AK9" s="39">
        <f t="shared" ca="1" si="6"/>
        <v>1126.6912529550827</v>
      </c>
      <c r="AL9" s="39">
        <f t="shared" ca="1" si="7"/>
        <v>1659.3941686367218</v>
      </c>
      <c r="AM9" s="39">
        <f t="shared" ca="1" si="8"/>
        <v>2192.0970843183609</v>
      </c>
      <c r="AN9" s="39">
        <f t="shared" ca="1" si="9"/>
        <v>2724.8</v>
      </c>
      <c r="AO9" s="39">
        <f t="shared" ca="1" si="0"/>
        <v>3257.5029156816395</v>
      </c>
      <c r="AP9" s="39">
        <f t="shared" ca="1" si="1"/>
        <v>3790.2058313632788</v>
      </c>
      <c r="AQ9" s="39">
        <f t="shared" ca="1" si="2"/>
        <v>4322.9087470449176</v>
      </c>
      <c r="AR9" s="5">
        <f t="shared" ca="1" si="10"/>
        <v>2442.5</v>
      </c>
      <c r="AS9" s="5">
        <f t="shared" ca="1" si="3"/>
        <v>4500.4999999999982</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27248</v>
      </c>
      <c r="AG10" s="67">
        <f t="shared" ca="1" si="12"/>
        <v>18</v>
      </c>
      <c r="AH10" s="67">
        <v>9</v>
      </c>
      <c r="AI10" s="67">
        <f t="shared" ca="1" si="4"/>
        <v>1</v>
      </c>
      <c r="AJ10" s="39">
        <f t="shared" ca="1" si="5"/>
        <v>532.70291568163918</v>
      </c>
      <c r="AK10" s="39">
        <f t="shared" ca="1" si="6"/>
        <v>1126.6912529550827</v>
      </c>
      <c r="AL10" s="39">
        <f t="shared" ca="1" si="7"/>
        <v>1659.3941686367218</v>
      </c>
      <c r="AM10" s="39">
        <f t="shared" ca="1" si="8"/>
        <v>2192.0970843183609</v>
      </c>
      <c r="AN10" s="39">
        <f t="shared" ca="1" si="9"/>
        <v>2724.8</v>
      </c>
      <c r="AO10" s="39">
        <f t="shared" ca="1" si="0"/>
        <v>3257.5029156816395</v>
      </c>
      <c r="AP10" s="39">
        <f t="shared" ca="1" si="1"/>
        <v>3790.2058313632788</v>
      </c>
      <c r="AQ10" s="39">
        <f t="shared" ca="1" si="2"/>
        <v>4322.9087470449176</v>
      </c>
      <c r="AR10" s="5">
        <f t="shared" ca="1" si="10"/>
        <v>2442.5</v>
      </c>
      <c r="AS10" s="5">
        <f t="shared" ca="1" si="3"/>
        <v>4500.4999999999982</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10</v>
      </c>
      <c r="M11" s="67">
        <f>IF(SPC_Type="1 Season",1,IF(AND(M10=1,I11&lt;52),1,IF('SPC Chart'!C19="",1,'SPC Chart'!C19)))</f>
        <v>1</v>
      </c>
      <c r="S11" s="5">
        <f ca="1">S10/I11</f>
        <v>2724.8</v>
      </c>
      <c r="AG11" s="67">
        <f t="shared" ca="1" si="12"/>
        <v>19</v>
      </c>
      <c r="AH11" s="67">
        <v>10</v>
      </c>
      <c r="AI11" s="67">
        <f t="shared" ca="1" si="4"/>
        <v>1</v>
      </c>
      <c r="AJ11" s="39">
        <f t="shared" ca="1" si="5"/>
        <v>532.70291568163918</v>
      </c>
      <c r="AK11" s="39">
        <f t="shared" ca="1" si="6"/>
        <v>1126.6912529550827</v>
      </c>
      <c r="AL11" s="39">
        <f t="shared" ca="1" si="7"/>
        <v>1659.3941686367218</v>
      </c>
      <c r="AM11" s="39">
        <f t="shared" ca="1" si="8"/>
        <v>2192.0970843183609</v>
      </c>
      <c r="AN11" s="39">
        <f t="shared" ca="1" si="9"/>
        <v>2724.8</v>
      </c>
      <c r="AO11" s="39">
        <f t="shared" ca="1" si="0"/>
        <v>3257.5029156816395</v>
      </c>
      <c r="AP11" s="39">
        <f t="shared" ca="1" si="1"/>
        <v>3790.2058313632788</v>
      </c>
      <c r="AQ11" s="39">
        <f t="shared" ca="1" si="2"/>
        <v>4322.9087470449176</v>
      </c>
      <c r="AR11" s="5">
        <f t="shared" ca="1" si="10"/>
        <v>2442.5</v>
      </c>
      <c r="AS11" s="5">
        <f t="shared" ca="1" si="3"/>
        <v>4500.4999999999982</v>
      </c>
      <c r="AT11" s="5">
        <f t="shared" ca="1" si="11"/>
        <v>0</v>
      </c>
    </row>
    <row r="12" spans="1:46" x14ac:dyDescent="0.25">
      <c r="S12" s="5"/>
      <c r="AG12" s="67">
        <f t="shared" ca="1" si="12"/>
        <v>20</v>
      </c>
      <c r="AH12" s="67">
        <v>11</v>
      </c>
      <c r="AI12" s="67">
        <f t="shared" ca="1" si="4"/>
        <v>5</v>
      </c>
      <c r="AJ12" s="39">
        <f t="shared" ca="1" si="5"/>
        <v>532.70291568163918</v>
      </c>
      <c r="AK12" s="39">
        <f t="shared" ca="1" si="6"/>
        <v>1126.6912529550827</v>
      </c>
      <c r="AL12" s="39">
        <f t="shared" ca="1" si="7"/>
        <v>1659.3941686367218</v>
      </c>
      <c r="AM12" s="39">
        <f t="shared" ca="1" si="8"/>
        <v>2192.0970843183609</v>
      </c>
      <c r="AN12" s="39">
        <f t="shared" ca="1" si="9"/>
        <v>2724.8</v>
      </c>
      <c r="AO12" s="39">
        <f t="shared" ca="1" si="0"/>
        <v>3257.5029156816395</v>
      </c>
      <c r="AP12" s="39">
        <f t="shared" ca="1" si="1"/>
        <v>3790.2058313632788</v>
      </c>
      <c r="AQ12" s="39">
        <f t="shared" ca="1" si="2"/>
        <v>4322.9087470449176</v>
      </c>
      <c r="AR12" s="5">
        <f t="shared" ca="1" si="10"/>
        <v>2442.5</v>
      </c>
      <c r="AS12" s="5">
        <f t="shared" ca="1" si="3"/>
        <v>4500.4999999999982</v>
      </c>
      <c r="AT12" s="5">
        <f t="shared" ca="1" si="11"/>
        <v>0</v>
      </c>
    </row>
    <row r="13" spans="1:46" x14ac:dyDescent="0.25">
      <c r="Q13" s="67" t="s">
        <v>161</v>
      </c>
      <c r="AG13" s="67">
        <f t="shared" ca="1" si="12"/>
        <v>21</v>
      </c>
      <c r="AH13" s="67">
        <v>12</v>
      </c>
      <c r="AI13" s="67">
        <f t="shared" ca="1" si="4"/>
        <v>5</v>
      </c>
      <c r="AJ13" s="39">
        <f t="shared" ca="1" si="5"/>
        <v>532.70291568163918</v>
      </c>
      <c r="AK13" s="39">
        <f t="shared" ca="1" si="6"/>
        <v>1126.6912529550827</v>
      </c>
      <c r="AL13" s="39">
        <f t="shared" ca="1" si="7"/>
        <v>1659.3941686367218</v>
      </c>
      <c r="AM13" s="39">
        <f t="shared" ca="1" si="8"/>
        <v>2192.0970843183609</v>
      </c>
      <c r="AN13" s="39">
        <f t="shared" ca="1" si="9"/>
        <v>2724.8</v>
      </c>
      <c r="AO13" s="39">
        <f t="shared" ca="1" si="0"/>
        <v>3257.5029156816395</v>
      </c>
      <c r="AP13" s="39">
        <f t="shared" ca="1" si="1"/>
        <v>3790.2058313632788</v>
      </c>
      <c r="AQ13" s="39">
        <f t="shared" ca="1" si="2"/>
        <v>4322.9087470449176</v>
      </c>
      <c r="AR13" s="5">
        <f t="shared" ca="1" si="10"/>
        <v>2442.5</v>
      </c>
      <c r="AS13" s="5">
        <f t="shared" ca="1" si="3"/>
        <v>4500.4999999999982</v>
      </c>
      <c r="AT13" s="5">
        <f t="shared" ca="1" si="11"/>
        <v>0</v>
      </c>
    </row>
    <row r="14" spans="1:46" x14ac:dyDescent="0.25">
      <c r="Q14" s="67" t="s">
        <v>171</v>
      </c>
      <c r="R14" s="67" t="s">
        <v>172</v>
      </c>
      <c r="T14" s="67" t="s">
        <v>173</v>
      </c>
      <c r="V14" s="67" t="s">
        <v>180</v>
      </c>
      <c r="X14" s="67" t="s">
        <v>179</v>
      </c>
      <c r="Z14" s="67" t="s">
        <v>174</v>
      </c>
      <c r="AC14" s="67" t="s">
        <v>162</v>
      </c>
      <c r="AG14" s="67">
        <f t="shared" ca="1" si="12"/>
        <v>22</v>
      </c>
      <c r="AH14" s="67">
        <v>13</v>
      </c>
      <c r="AI14" s="67">
        <f t="shared" ca="1" si="4"/>
        <v>5</v>
      </c>
      <c r="AJ14" s="39">
        <f t="shared" ca="1" si="5"/>
        <v>532.70291568163918</v>
      </c>
      <c r="AK14" s="39">
        <f t="shared" ca="1" si="6"/>
        <v>1126.6912529550827</v>
      </c>
      <c r="AL14" s="39">
        <f t="shared" ca="1" si="7"/>
        <v>1659.3941686367218</v>
      </c>
      <c r="AM14" s="39">
        <f t="shared" ca="1" si="8"/>
        <v>2192.0970843183609</v>
      </c>
      <c r="AN14" s="39">
        <f t="shared" ca="1" si="9"/>
        <v>2724.8</v>
      </c>
      <c r="AO14" s="39">
        <f t="shared" ca="1" si="0"/>
        <v>3257.5029156816395</v>
      </c>
      <c r="AP14" s="39">
        <f t="shared" ca="1" si="1"/>
        <v>3790.2058313632788</v>
      </c>
      <c r="AQ14" s="39">
        <f t="shared" ca="1" si="2"/>
        <v>4322.9087470449176</v>
      </c>
      <c r="AR14" s="5">
        <f t="shared" ca="1" si="10"/>
        <v>2442.5</v>
      </c>
      <c r="AS14" s="5">
        <f t="shared" ca="1" si="3"/>
        <v>4500.4999999999982</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23</v>
      </c>
      <c r="AH15" s="67">
        <v>14</v>
      </c>
      <c r="AI15" s="67">
        <f t="shared" ca="1" si="4"/>
        <v>5</v>
      </c>
      <c r="AJ15" s="39">
        <f t="shared" ca="1" si="5"/>
        <v>532.70291568163918</v>
      </c>
      <c r="AK15" s="39">
        <f t="shared" ca="1" si="6"/>
        <v>1126.6912529550827</v>
      </c>
      <c r="AL15" s="39">
        <f t="shared" ca="1" si="7"/>
        <v>1659.3941686367218</v>
      </c>
      <c r="AM15" s="39">
        <f t="shared" ca="1" si="8"/>
        <v>2192.0970843183609</v>
      </c>
      <c r="AN15" s="39">
        <f t="shared" ca="1" si="9"/>
        <v>2724.8</v>
      </c>
      <c r="AO15" s="39">
        <f t="shared" ca="1" si="0"/>
        <v>3257.5029156816395</v>
      </c>
      <c r="AP15" s="39">
        <f t="shared" ca="1" si="1"/>
        <v>3790.2058313632788</v>
      </c>
      <c r="AQ15" s="39">
        <f t="shared" ca="1" si="2"/>
        <v>4322.9087470449176</v>
      </c>
      <c r="AR15" s="5">
        <f t="shared" ca="1" si="10"/>
        <v>2442.5</v>
      </c>
      <c r="AS15" s="5">
        <f t="shared" ca="1" si="3"/>
        <v>4500.4999999999982</v>
      </c>
      <c r="AT15" s="5">
        <f t="shared" ca="1" si="11"/>
        <v>0</v>
      </c>
    </row>
    <row r="16" spans="1:46" x14ac:dyDescent="0.25">
      <c r="A16" s="67">
        <f>Demand!C13</f>
        <v>10</v>
      </c>
      <c r="B16" s="67">
        <v>1</v>
      </c>
      <c r="C16" s="5">
        <f ca="1">'Demand background (hide)'!Y4</f>
        <v>5282</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1126.6912529550827</v>
      </c>
      <c r="K16" s="5">
        <f t="shared" ca="1" si="13"/>
        <v>1659.3941686367218</v>
      </c>
      <c r="L16" s="5">
        <f t="shared" ca="1" si="13"/>
        <v>2192.0970843183609</v>
      </c>
      <c r="M16" s="5">
        <f t="shared" ca="1" si="13"/>
        <v>2724.8</v>
      </c>
      <c r="N16" s="5">
        <f t="shared" ca="1" si="13"/>
        <v>3257.5029156816395</v>
      </c>
      <c r="O16" s="5">
        <f t="shared" ca="1" si="13"/>
        <v>3790.2058313632788</v>
      </c>
      <c r="P16" s="5">
        <f t="shared" ca="1" si="13"/>
        <v>4322.9087470449176</v>
      </c>
      <c r="Q16" s="5">
        <f ca="1">IF(ISNA(H16)=TRUE,IF(OR(C16&gt;P16,C16&lt;J16),C16,NA()),NA())</f>
        <v>5282</v>
      </c>
      <c r="V16" s="5">
        <f t="shared" ref="V16:V79" ca="1" si="14">IF(C16&lt;M16,-1,IF(C16&gt;M16,1,0))</f>
        <v>1</v>
      </c>
      <c r="W16" s="5" t="e">
        <f ca="1">IF(ISNA(H16)=TRUE,IF(ABS(SUM(V16:V24))=9,C16,NA()),NA())</f>
        <v>#N/A</v>
      </c>
      <c r="AA16" s="5" t="str">
        <f>IF(Setup!$I$15="Yes",'Demand background (hide)'!AJ4+'SPC background (hide)'!C16,"")</f>
        <v/>
      </c>
      <c r="AC16" s="5">
        <f ca="1">VLOOKUP($A16,$AG$2:$AS$54,12,0)</f>
        <v>2442.5</v>
      </c>
      <c r="AD16" s="5">
        <f ca="1">VLOOKUP($A16,$AG$2:$AS$54,13,0)</f>
        <v>4500.4999999999982</v>
      </c>
      <c r="AG16" s="67">
        <f t="shared" ca="1" si="12"/>
        <v>24</v>
      </c>
      <c r="AH16" s="67">
        <v>15</v>
      </c>
      <c r="AI16" s="67">
        <f t="shared" ca="1" si="4"/>
        <v>5</v>
      </c>
      <c r="AJ16" s="39">
        <f t="shared" ca="1" si="5"/>
        <v>532.70291568163918</v>
      </c>
      <c r="AK16" s="39">
        <f t="shared" ca="1" si="6"/>
        <v>1126.6912529550827</v>
      </c>
      <c r="AL16" s="39">
        <f t="shared" ca="1" si="7"/>
        <v>1659.3941686367218</v>
      </c>
      <c r="AM16" s="39">
        <f t="shared" ca="1" si="8"/>
        <v>2192.0970843183609</v>
      </c>
      <c r="AN16" s="39">
        <f t="shared" ca="1" si="9"/>
        <v>2724.8</v>
      </c>
      <c r="AO16" s="39">
        <f t="shared" ca="1" si="0"/>
        <v>3257.5029156816395</v>
      </c>
      <c r="AP16" s="39">
        <f t="shared" ca="1" si="1"/>
        <v>3790.2058313632788</v>
      </c>
      <c r="AQ16" s="39">
        <f t="shared" ca="1" si="2"/>
        <v>4322.9087470449176</v>
      </c>
      <c r="AR16" s="5">
        <f t="shared" ca="1" si="10"/>
        <v>2442.5</v>
      </c>
      <c r="AS16" s="5">
        <f t="shared" ca="1" si="3"/>
        <v>4500.4999999999982</v>
      </c>
      <c r="AT16" s="5">
        <f t="shared" ca="1" si="11"/>
        <v>0</v>
      </c>
    </row>
    <row r="17" spans="1:46" x14ac:dyDescent="0.25">
      <c r="A17" s="67">
        <f ca="1">Demand!C14</f>
        <v>11</v>
      </c>
      <c r="B17" s="67">
        <v>2</v>
      </c>
      <c r="C17" s="5">
        <f ca="1">'Demand background (hide)'!Y5</f>
        <v>5022</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1126.6912529550827</v>
      </c>
      <c r="K17" s="5">
        <f t="shared" ref="K17:K80" ca="1" si="21">VLOOKUP($A17,$AG$2:$AQ$54,COLUMN(F$1),0)</f>
        <v>1659.3941686367218</v>
      </c>
      <c r="L17" s="5">
        <f t="shared" ref="L17:L80" ca="1" si="22">VLOOKUP($A17,$AG$2:$AQ$54,COLUMN(G$1),0)</f>
        <v>2192.0970843183609</v>
      </c>
      <c r="M17" s="5">
        <f t="shared" ref="M17:M80" ca="1" si="23">VLOOKUP($A17,$AG$2:$AQ$54,COLUMN(H$1),0)</f>
        <v>2724.8</v>
      </c>
      <c r="N17" s="5">
        <f t="shared" ref="N17:N80" ca="1" si="24">VLOOKUP($A17,$AG$2:$AQ$54,COLUMN(I$1),0)</f>
        <v>3257.5029156816395</v>
      </c>
      <c r="O17" s="5">
        <f t="shared" ref="O17:O80" ca="1" si="25">VLOOKUP($A17,$AG$2:$AQ$54,COLUMN(J$1),0)</f>
        <v>3790.2058313632788</v>
      </c>
      <c r="P17" s="5">
        <f t="shared" ref="P17:P80" ca="1" si="26">VLOOKUP($A17,$AG$2:$AQ$54,COLUMN(K$1),0)</f>
        <v>4322.9087470449176</v>
      </c>
      <c r="Q17" s="5">
        <f t="shared" ref="Q17:Q80" ca="1" si="27">IF(ISNA(H17)=TRUE,IF(OR(C17&gt;P17,C17&lt;J17),C17,NA()),NA())</f>
        <v>5022</v>
      </c>
      <c r="R17" s="5">
        <f ca="1">IF(C17&gt;O17,2,IF(C17&lt;K17,-2,IF(C17&gt;M17,1,IF(C17&lt;M17,-1,0))))</f>
        <v>2</v>
      </c>
      <c r="S17" s="67" t="e">
        <f ca="1">IF(ISNA(H17),IF(ABS(SUM(R17:R19))&gt;=5,C17,NA()),NA())</f>
        <v>#N/A</v>
      </c>
      <c r="T17" s="67">
        <f ca="1">IF(C17&gt;N17,2,IF(C17&lt;L17,-2,IF(C17&gt;M17,1,IF(C17&lt;M17,-1,0))))</f>
        <v>2</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2442.5</v>
      </c>
      <c r="AD17" s="5">
        <f t="shared" ref="AD17:AD80" ca="1" si="31">VLOOKUP($A17,$AG$2:$AS$54,13,0)</f>
        <v>4500.4999999999982</v>
      </c>
      <c r="AG17" s="67">
        <f t="shared" ca="1" si="12"/>
        <v>25</v>
      </c>
      <c r="AH17" s="67">
        <v>16</v>
      </c>
      <c r="AI17" s="67">
        <f t="shared" ca="1" si="4"/>
        <v>5</v>
      </c>
      <c r="AJ17" s="39">
        <f t="shared" ca="1" si="5"/>
        <v>532.70291568163918</v>
      </c>
      <c r="AK17" s="39">
        <f t="shared" ca="1" si="6"/>
        <v>1126.6912529550827</v>
      </c>
      <c r="AL17" s="39">
        <f t="shared" ca="1" si="7"/>
        <v>1659.3941686367218</v>
      </c>
      <c r="AM17" s="39">
        <f t="shared" ca="1" si="8"/>
        <v>2192.0970843183609</v>
      </c>
      <c r="AN17" s="39">
        <f t="shared" ca="1" si="9"/>
        <v>2724.8</v>
      </c>
      <c r="AO17" s="39">
        <f t="shared" ca="1" si="0"/>
        <v>3257.5029156816395</v>
      </c>
      <c r="AP17" s="39">
        <f t="shared" ca="1" si="1"/>
        <v>3790.2058313632788</v>
      </c>
      <c r="AQ17" s="39">
        <f t="shared" ca="1" si="2"/>
        <v>4322.9087470449176</v>
      </c>
      <c r="AR17" s="5">
        <f t="shared" ca="1" si="10"/>
        <v>2442.5</v>
      </c>
      <c r="AS17" s="5">
        <f t="shared" ca="1" si="3"/>
        <v>4500.4999999999982</v>
      </c>
      <c r="AT17" s="5">
        <f t="shared" ca="1" si="11"/>
        <v>0</v>
      </c>
    </row>
    <row r="18" spans="1:46" x14ac:dyDescent="0.25">
      <c r="A18" s="67">
        <f ca="1">Demand!C15</f>
        <v>12</v>
      </c>
      <c r="B18" s="67">
        <v>3</v>
      </c>
      <c r="C18" s="5">
        <f ca="1">'Demand background (hide)'!Y6</f>
        <v>3532</v>
      </c>
      <c r="D18" s="67">
        <f t="shared" si="15"/>
        <v>1</v>
      </c>
      <c r="E18" s="67" t="e">
        <f t="shared" ca="1" si="16"/>
        <v>#N/A</v>
      </c>
      <c r="F18" s="67" t="e">
        <f t="shared" ca="1" si="17"/>
        <v>#N/A</v>
      </c>
      <c r="G18" s="67" t="e">
        <f t="shared" ca="1" si="18"/>
        <v>#N/A</v>
      </c>
      <c r="H18" s="67" t="e">
        <f>IF('Demand background (hide)'!AN6&lt;&gt;"",'SPC background (hide)'!C18,NA())</f>
        <v>#N/A</v>
      </c>
      <c r="I18" s="67">
        <f t="shared" ca="1" si="19"/>
        <v>1</v>
      </c>
      <c r="J18" s="5">
        <f t="shared" ca="1" si="20"/>
        <v>1126.6912529550827</v>
      </c>
      <c r="K18" s="5">
        <f t="shared" ca="1" si="21"/>
        <v>1659.3941686367218</v>
      </c>
      <c r="L18" s="5">
        <f t="shared" ca="1" si="22"/>
        <v>2192.0970843183609</v>
      </c>
      <c r="M18" s="5">
        <f t="shared" ca="1" si="23"/>
        <v>2724.8</v>
      </c>
      <c r="N18" s="5">
        <f t="shared" ca="1" si="24"/>
        <v>3257.5029156816395</v>
      </c>
      <c r="O18" s="5">
        <f t="shared" ca="1" si="25"/>
        <v>3790.2058313632788</v>
      </c>
      <c r="P18" s="5">
        <f t="shared" ca="1" si="26"/>
        <v>4322.9087470449176</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2</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2442.5</v>
      </c>
      <c r="AD18" s="5">
        <f t="shared" ca="1" si="31"/>
        <v>4500.4999999999982</v>
      </c>
      <c r="AG18" s="67">
        <f t="shared" ca="1" si="12"/>
        <v>26</v>
      </c>
      <c r="AH18" s="67">
        <v>17</v>
      </c>
      <c r="AI18" s="67">
        <f t="shared" ca="1" si="4"/>
        <v>5</v>
      </c>
      <c r="AJ18" s="39">
        <f t="shared" ca="1" si="5"/>
        <v>532.70291568163918</v>
      </c>
      <c r="AK18" s="39">
        <f t="shared" ca="1" si="6"/>
        <v>1126.6912529550827</v>
      </c>
      <c r="AL18" s="39">
        <f t="shared" ca="1" si="7"/>
        <v>1659.3941686367218</v>
      </c>
      <c r="AM18" s="39">
        <f t="shared" ca="1" si="8"/>
        <v>2192.0970843183609</v>
      </c>
      <c r="AN18" s="39">
        <f t="shared" ca="1" si="9"/>
        <v>2724.8</v>
      </c>
      <c r="AO18" s="39">
        <f t="shared" ca="1" si="0"/>
        <v>3257.5029156816395</v>
      </c>
      <c r="AP18" s="39">
        <f t="shared" ca="1" si="1"/>
        <v>3790.2058313632788</v>
      </c>
      <c r="AQ18" s="39">
        <f t="shared" ca="1" si="2"/>
        <v>4322.9087470449176</v>
      </c>
      <c r="AR18" s="5">
        <f t="shared" ca="1" si="10"/>
        <v>2442.5</v>
      </c>
      <c r="AS18" s="5">
        <f t="shared" ca="1" si="3"/>
        <v>4500.4999999999982</v>
      </c>
      <c r="AT18" s="5">
        <f t="shared" ca="1" si="11"/>
        <v>0</v>
      </c>
    </row>
    <row r="19" spans="1:46" x14ac:dyDescent="0.25">
      <c r="A19" s="67">
        <f ca="1">Demand!C16</f>
        <v>13</v>
      </c>
      <c r="B19" s="67">
        <v>4</v>
      </c>
      <c r="C19" s="5">
        <f ca="1">'Demand background (hide)'!Y7</f>
        <v>2252</v>
      </c>
      <c r="D19" s="67">
        <f t="shared" si="15"/>
        <v>1</v>
      </c>
      <c r="E19" s="67" t="e">
        <f t="shared" ca="1" si="16"/>
        <v>#N/A</v>
      </c>
      <c r="F19" s="67" t="e">
        <f t="shared" ca="1" si="17"/>
        <v>#N/A</v>
      </c>
      <c r="G19" s="67" t="e">
        <f t="shared" ca="1" si="18"/>
        <v>#N/A</v>
      </c>
      <c r="H19" s="67" t="e">
        <f>IF('Demand background (hide)'!AN7&lt;&gt;"",'SPC background (hide)'!C19,NA())</f>
        <v>#N/A</v>
      </c>
      <c r="I19" s="67">
        <f t="shared" ca="1" si="19"/>
        <v>1</v>
      </c>
      <c r="J19" s="5">
        <f t="shared" ca="1" si="20"/>
        <v>1126.6912529550827</v>
      </c>
      <c r="K19" s="5">
        <f t="shared" ca="1" si="21"/>
        <v>1659.3941686367218</v>
      </c>
      <c r="L19" s="5">
        <f t="shared" ca="1" si="22"/>
        <v>2192.0970843183609</v>
      </c>
      <c r="M19" s="5">
        <f t="shared" ca="1" si="23"/>
        <v>2724.8</v>
      </c>
      <c r="N19" s="5">
        <f t="shared" ca="1" si="24"/>
        <v>3257.5029156816395</v>
      </c>
      <c r="O19" s="5">
        <f t="shared" ca="1" si="25"/>
        <v>3790.2058313632788</v>
      </c>
      <c r="P19" s="5">
        <f t="shared" ca="1" si="26"/>
        <v>4322.9087470449176</v>
      </c>
      <c r="Q19" s="5" t="e">
        <f t="shared" ca="1" si="27"/>
        <v>#N/A</v>
      </c>
      <c r="R19" s="5">
        <f t="shared" ca="1" si="32"/>
        <v>-1</v>
      </c>
      <c r="S19" s="67">
        <f t="shared" ca="1" si="33"/>
        <v>2252</v>
      </c>
      <c r="T19" s="67">
        <f t="shared" ca="1" si="34"/>
        <v>-1</v>
      </c>
      <c r="U19" s="67">
        <f t="shared" ca="1" si="35"/>
        <v>2252</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2442.5</v>
      </c>
      <c r="AD19" s="5">
        <f t="shared" ca="1" si="31"/>
        <v>4500.4999999999982</v>
      </c>
      <c r="AG19" s="67">
        <f t="shared" ca="1" si="12"/>
        <v>27</v>
      </c>
      <c r="AH19" s="67">
        <v>18</v>
      </c>
      <c r="AI19" s="67">
        <f t="shared" ca="1" si="4"/>
        <v>5</v>
      </c>
      <c r="AJ19" s="39">
        <f t="shared" ca="1" si="5"/>
        <v>532.70291568163918</v>
      </c>
      <c r="AK19" s="39">
        <f t="shared" ca="1" si="6"/>
        <v>1126.6912529550827</v>
      </c>
      <c r="AL19" s="39">
        <f t="shared" ca="1" si="7"/>
        <v>1659.3941686367218</v>
      </c>
      <c r="AM19" s="39">
        <f t="shared" ca="1" si="8"/>
        <v>2192.0970843183609</v>
      </c>
      <c r="AN19" s="39">
        <f t="shared" ca="1" si="9"/>
        <v>2724.8</v>
      </c>
      <c r="AO19" s="39">
        <f t="shared" ca="1" si="0"/>
        <v>3257.5029156816395</v>
      </c>
      <c r="AP19" s="39">
        <f t="shared" ca="1" si="1"/>
        <v>3790.2058313632788</v>
      </c>
      <c r="AQ19" s="39">
        <f t="shared" ca="1" si="2"/>
        <v>4322.9087470449176</v>
      </c>
      <c r="AR19" s="5">
        <f t="shared" ca="1" si="10"/>
        <v>2442.5</v>
      </c>
      <c r="AS19" s="5">
        <f t="shared" ca="1" si="3"/>
        <v>4500.4999999999982</v>
      </c>
      <c r="AT19" s="5">
        <f t="shared" ca="1" si="11"/>
        <v>0</v>
      </c>
    </row>
    <row r="20" spans="1:46" x14ac:dyDescent="0.25">
      <c r="A20" s="67">
        <f ca="1">Demand!C17</f>
        <v>14</v>
      </c>
      <c r="B20" s="67">
        <v>5</v>
      </c>
      <c r="C20" s="5">
        <f ca="1">'Demand background (hide)'!Y8</f>
        <v>1554</v>
      </c>
      <c r="D20" s="67">
        <f t="shared" si="15"/>
        <v>1</v>
      </c>
      <c r="E20" s="67" t="e">
        <f t="shared" ca="1" si="16"/>
        <v>#N/A</v>
      </c>
      <c r="F20" s="67" t="e">
        <f t="shared" ca="1" si="17"/>
        <v>#N/A</v>
      </c>
      <c r="G20" s="67" t="e">
        <f t="shared" ca="1" si="18"/>
        <v>#N/A</v>
      </c>
      <c r="H20" s="67" t="e">
        <f>IF('Demand background (hide)'!AN8&lt;&gt;"",'SPC background (hide)'!C20,NA())</f>
        <v>#N/A</v>
      </c>
      <c r="I20" s="67">
        <f t="shared" ca="1" si="19"/>
        <v>1</v>
      </c>
      <c r="J20" s="5">
        <f t="shared" ca="1" si="20"/>
        <v>1126.6912529550827</v>
      </c>
      <c r="K20" s="5">
        <f t="shared" ca="1" si="21"/>
        <v>1659.3941686367218</v>
      </c>
      <c r="L20" s="5">
        <f t="shared" ca="1" si="22"/>
        <v>2192.0970843183609</v>
      </c>
      <c r="M20" s="5">
        <f t="shared" ca="1" si="23"/>
        <v>2724.8</v>
      </c>
      <c r="N20" s="5">
        <f t="shared" ca="1" si="24"/>
        <v>3257.5029156816395</v>
      </c>
      <c r="O20" s="5">
        <f t="shared" ca="1" si="25"/>
        <v>3790.2058313632788</v>
      </c>
      <c r="P20" s="5">
        <f t="shared" ca="1" si="26"/>
        <v>4322.9087470449176</v>
      </c>
      <c r="Q20" s="5" t="e">
        <f t="shared" ca="1" si="27"/>
        <v>#N/A</v>
      </c>
      <c r="R20" s="5">
        <f t="shared" ca="1" si="32"/>
        <v>-2</v>
      </c>
      <c r="S20" s="67">
        <f t="shared" ca="1" si="33"/>
        <v>1554</v>
      </c>
      <c r="T20" s="67">
        <f t="shared" ca="1" si="34"/>
        <v>-2</v>
      </c>
      <c r="U20" s="67">
        <f t="shared" ca="1" si="35"/>
        <v>1554</v>
      </c>
      <c r="V20" s="5">
        <f t="shared" ca="1" si="14"/>
        <v>-1</v>
      </c>
      <c r="W20" s="5" t="e">
        <f t="shared" ca="1" si="28"/>
        <v>#N/A</v>
      </c>
      <c r="X20" s="67">
        <f t="shared" ca="1" si="29"/>
        <v>-1</v>
      </c>
      <c r="Y20" s="67" t="e">
        <f t="shared" ca="1" si="36"/>
        <v>#N/A</v>
      </c>
      <c r="Z20" s="67">
        <f t="shared" ca="1" si="37"/>
        <v>1554</v>
      </c>
      <c r="AA20" s="5" t="str">
        <f>IF(Setup!$I$15="Yes",'Demand background (hide)'!AJ8+'SPC background (hide)'!C20,"")</f>
        <v/>
      </c>
      <c r="AC20" s="5">
        <f t="shared" ca="1" si="30"/>
        <v>2442.5</v>
      </c>
      <c r="AD20" s="5">
        <f t="shared" ca="1" si="31"/>
        <v>4500.4999999999982</v>
      </c>
      <c r="AG20" s="67">
        <f t="shared" ca="1" si="12"/>
        <v>28</v>
      </c>
      <c r="AH20" s="67">
        <v>19</v>
      </c>
      <c r="AI20" s="67">
        <f t="shared" ca="1" si="4"/>
        <v>5</v>
      </c>
      <c r="AJ20" s="39">
        <f t="shared" ca="1" si="5"/>
        <v>532.70291568163918</v>
      </c>
      <c r="AK20" s="39">
        <f t="shared" ca="1" si="6"/>
        <v>1126.6912529550827</v>
      </c>
      <c r="AL20" s="39">
        <f t="shared" ca="1" si="7"/>
        <v>1659.3941686367218</v>
      </c>
      <c r="AM20" s="39">
        <f t="shared" ca="1" si="8"/>
        <v>2192.0970843183609</v>
      </c>
      <c r="AN20" s="39">
        <f t="shared" ca="1" si="9"/>
        <v>2724.8</v>
      </c>
      <c r="AO20" s="39">
        <f t="shared" ca="1" si="0"/>
        <v>3257.5029156816395</v>
      </c>
      <c r="AP20" s="39">
        <f t="shared" ca="1" si="1"/>
        <v>3790.2058313632788</v>
      </c>
      <c r="AQ20" s="39">
        <f t="shared" ca="1" si="2"/>
        <v>4322.9087470449176</v>
      </c>
      <c r="AR20" s="5">
        <f t="shared" ca="1" si="10"/>
        <v>2442.5</v>
      </c>
      <c r="AS20" s="5">
        <f t="shared" ca="1" si="3"/>
        <v>4500.4999999999982</v>
      </c>
      <c r="AT20" s="5">
        <f t="shared" ca="1" si="11"/>
        <v>0</v>
      </c>
    </row>
    <row r="21" spans="1:46" x14ac:dyDescent="0.25">
      <c r="A21" s="67">
        <f ca="1">Demand!C18</f>
        <v>15</v>
      </c>
      <c r="B21" s="67">
        <v>6</v>
      </c>
      <c r="C21" s="5">
        <f ca="1">'Demand background (hide)'!Y9</f>
        <v>1256</v>
      </c>
      <c r="D21" s="67">
        <f t="shared" si="15"/>
        <v>1</v>
      </c>
      <c r="E21" s="67" t="e">
        <f t="shared" ca="1" si="16"/>
        <v>#N/A</v>
      </c>
      <c r="F21" s="67" t="e">
        <f t="shared" ca="1" si="17"/>
        <v>#N/A</v>
      </c>
      <c r="G21" s="67" t="e">
        <f t="shared" ca="1" si="18"/>
        <v>#N/A</v>
      </c>
      <c r="H21" s="67" t="e">
        <f>IF('Demand background (hide)'!AN9&lt;&gt;"",'SPC background (hide)'!C21,NA())</f>
        <v>#N/A</v>
      </c>
      <c r="I21" s="67">
        <f t="shared" ca="1" si="19"/>
        <v>1</v>
      </c>
      <c r="J21" s="5">
        <f t="shared" ca="1" si="20"/>
        <v>1126.6912529550827</v>
      </c>
      <c r="K21" s="5">
        <f t="shared" ca="1" si="21"/>
        <v>1659.3941686367218</v>
      </c>
      <c r="L21" s="5">
        <f t="shared" ca="1" si="22"/>
        <v>2192.0970843183609</v>
      </c>
      <c r="M21" s="5">
        <f t="shared" ca="1" si="23"/>
        <v>2724.8</v>
      </c>
      <c r="N21" s="5">
        <f t="shared" ca="1" si="24"/>
        <v>3257.5029156816395</v>
      </c>
      <c r="O21" s="5">
        <f t="shared" ca="1" si="25"/>
        <v>3790.2058313632788</v>
      </c>
      <c r="P21" s="5">
        <f t="shared" ca="1" si="26"/>
        <v>4322.9087470449176</v>
      </c>
      <c r="Q21" s="5" t="e">
        <f t="shared" ca="1" si="27"/>
        <v>#N/A</v>
      </c>
      <c r="R21" s="5">
        <f t="shared" ca="1" si="32"/>
        <v>-2</v>
      </c>
      <c r="S21" s="67">
        <f t="shared" ca="1" si="33"/>
        <v>1256</v>
      </c>
      <c r="T21" s="67">
        <f t="shared" ca="1" si="34"/>
        <v>-2</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2442.5</v>
      </c>
      <c r="AD21" s="5">
        <f t="shared" ca="1" si="31"/>
        <v>4500.4999999999982</v>
      </c>
      <c r="AG21" s="67">
        <f t="shared" ca="1" si="12"/>
        <v>29</v>
      </c>
      <c r="AH21" s="67">
        <v>20</v>
      </c>
      <c r="AI21" s="67">
        <f t="shared" ca="1" si="4"/>
        <v>5</v>
      </c>
      <c r="AJ21" s="39">
        <f t="shared" ca="1" si="5"/>
        <v>532.70291568163918</v>
      </c>
      <c r="AK21" s="39">
        <f t="shared" ca="1" si="6"/>
        <v>1126.6912529550827</v>
      </c>
      <c r="AL21" s="39">
        <f t="shared" ca="1" si="7"/>
        <v>1659.3941686367218</v>
      </c>
      <c r="AM21" s="39">
        <f t="shared" ca="1" si="8"/>
        <v>2192.0970843183609</v>
      </c>
      <c r="AN21" s="39">
        <f t="shared" ca="1" si="9"/>
        <v>2724.8</v>
      </c>
      <c r="AO21" s="39">
        <f t="shared" ca="1" si="0"/>
        <v>3257.5029156816395</v>
      </c>
      <c r="AP21" s="39">
        <f t="shared" ca="1" si="1"/>
        <v>3790.2058313632788</v>
      </c>
      <c r="AQ21" s="39">
        <f t="shared" ca="1" si="2"/>
        <v>4322.9087470449176</v>
      </c>
      <c r="AR21" s="5">
        <f t="shared" ca="1" si="10"/>
        <v>2442.5</v>
      </c>
      <c r="AS21" s="5">
        <f t="shared" ca="1" si="3"/>
        <v>4500.4999999999982</v>
      </c>
      <c r="AT21" s="5">
        <f t="shared" ca="1" si="11"/>
        <v>0</v>
      </c>
    </row>
    <row r="22" spans="1:46" x14ac:dyDescent="0.25">
      <c r="A22" s="67">
        <f ca="1">Demand!C19</f>
        <v>16</v>
      </c>
      <c r="B22" s="67">
        <v>7</v>
      </c>
      <c r="C22" s="5">
        <f ca="1">'Demand background (hide)'!Y10</f>
        <v>1638</v>
      </c>
      <c r="D22" s="67">
        <f t="shared" si="15"/>
        <v>1</v>
      </c>
      <c r="E22" s="67" t="e">
        <f t="shared" ca="1" si="16"/>
        <v>#N/A</v>
      </c>
      <c r="F22" s="67" t="e">
        <f t="shared" ca="1" si="17"/>
        <v>#N/A</v>
      </c>
      <c r="G22" s="67" t="e">
        <f t="shared" ca="1" si="18"/>
        <v>#N/A</v>
      </c>
      <c r="H22" s="67" t="e">
        <f>IF('Demand background (hide)'!AN10&lt;&gt;"",'SPC background (hide)'!C22,NA())</f>
        <v>#N/A</v>
      </c>
      <c r="I22" s="67">
        <f t="shared" ca="1" si="19"/>
        <v>1</v>
      </c>
      <c r="J22" s="5">
        <f t="shared" ca="1" si="20"/>
        <v>1126.6912529550827</v>
      </c>
      <c r="K22" s="5">
        <f t="shared" ca="1" si="21"/>
        <v>1659.3941686367218</v>
      </c>
      <c r="L22" s="5">
        <f t="shared" ca="1" si="22"/>
        <v>2192.0970843183609</v>
      </c>
      <c r="M22" s="5">
        <f t="shared" ca="1" si="23"/>
        <v>2724.8</v>
      </c>
      <c r="N22" s="5">
        <f t="shared" ca="1" si="24"/>
        <v>3257.5029156816395</v>
      </c>
      <c r="O22" s="5">
        <f t="shared" ca="1" si="25"/>
        <v>3790.2058313632788</v>
      </c>
      <c r="P22" s="5">
        <f t="shared" ca="1" si="26"/>
        <v>4322.9087470449176</v>
      </c>
      <c r="Q22" s="5" t="e">
        <f t="shared" ca="1" si="27"/>
        <v>#N/A</v>
      </c>
      <c r="R22" s="5">
        <f t="shared" ca="1" si="32"/>
        <v>-2</v>
      </c>
      <c r="S22" s="67" t="e">
        <f t="shared" ca="1" si="33"/>
        <v>#N/A</v>
      </c>
      <c r="T22" s="67">
        <f t="shared" ca="1" si="34"/>
        <v>-2</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2442.5</v>
      </c>
      <c r="AD22" s="5">
        <f t="shared" ca="1" si="31"/>
        <v>4500.4999999999982</v>
      </c>
      <c r="AG22" s="67">
        <f t="shared" ca="1" si="12"/>
        <v>30</v>
      </c>
      <c r="AH22" s="67">
        <v>21</v>
      </c>
      <c r="AI22" s="67">
        <f t="shared" ca="1" si="4"/>
        <v>5</v>
      </c>
      <c r="AJ22" s="39">
        <f t="shared" ca="1" si="5"/>
        <v>532.70291568163918</v>
      </c>
      <c r="AK22" s="39">
        <f t="shared" ca="1" si="6"/>
        <v>1126.6912529550827</v>
      </c>
      <c r="AL22" s="39">
        <f t="shared" ca="1" si="7"/>
        <v>1659.3941686367218</v>
      </c>
      <c r="AM22" s="39">
        <f t="shared" ca="1" si="8"/>
        <v>2192.0970843183609</v>
      </c>
      <c r="AN22" s="39">
        <f t="shared" ca="1" si="9"/>
        <v>2724.8</v>
      </c>
      <c r="AO22" s="39">
        <f t="shared" ca="1" si="0"/>
        <v>3257.5029156816395</v>
      </c>
      <c r="AP22" s="39">
        <f t="shared" ca="1" si="1"/>
        <v>3790.2058313632788</v>
      </c>
      <c r="AQ22" s="39">
        <f t="shared" ca="1" si="2"/>
        <v>4322.9087470449176</v>
      </c>
      <c r="AR22" s="5">
        <f t="shared" ca="1" si="10"/>
        <v>2442.5</v>
      </c>
      <c r="AS22" s="5">
        <f t="shared" ca="1" si="3"/>
        <v>4500.4999999999982</v>
      </c>
      <c r="AT22" s="5">
        <f t="shared" ca="1" si="11"/>
        <v>0</v>
      </c>
    </row>
    <row r="23" spans="1:46" x14ac:dyDescent="0.25">
      <c r="A23" s="67">
        <f ca="1">Demand!C20</f>
        <v>17</v>
      </c>
      <c r="B23" s="67">
        <v>8</v>
      </c>
      <c r="C23" s="5">
        <f ca="1">'Demand background (hide)'!Y11</f>
        <v>1946</v>
      </c>
      <c r="D23" s="67">
        <f t="shared" si="15"/>
        <v>1</v>
      </c>
      <c r="E23" s="67" t="e">
        <f t="shared" ca="1" si="16"/>
        <v>#N/A</v>
      </c>
      <c r="F23" s="67" t="e">
        <f t="shared" ca="1" si="17"/>
        <v>#N/A</v>
      </c>
      <c r="G23" s="67" t="e">
        <f t="shared" ca="1" si="18"/>
        <v>#N/A</v>
      </c>
      <c r="H23" s="67" t="e">
        <f>IF('Demand background (hide)'!AN11&lt;&gt;"",'SPC background (hide)'!C23,NA())</f>
        <v>#N/A</v>
      </c>
      <c r="I23" s="67">
        <f t="shared" ca="1" si="19"/>
        <v>1</v>
      </c>
      <c r="J23" s="5">
        <f t="shared" ca="1" si="20"/>
        <v>1126.6912529550827</v>
      </c>
      <c r="K23" s="5">
        <f t="shared" ca="1" si="21"/>
        <v>1659.3941686367218</v>
      </c>
      <c r="L23" s="5">
        <f t="shared" ca="1" si="22"/>
        <v>2192.0970843183609</v>
      </c>
      <c r="M23" s="5">
        <f t="shared" ca="1" si="23"/>
        <v>2724.8</v>
      </c>
      <c r="N23" s="5">
        <f t="shared" ca="1" si="24"/>
        <v>3257.5029156816395</v>
      </c>
      <c r="O23" s="5">
        <f t="shared" ca="1" si="25"/>
        <v>3790.2058313632788</v>
      </c>
      <c r="P23" s="5">
        <f t="shared" ca="1" si="26"/>
        <v>4322.9087470449176</v>
      </c>
      <c r="Q23" s="5" t="e">
        <f t="shared" ca="1" si="27"/>
        <v>#N/A</v>
      </c>
      <c r="R23" s="5">
        <f t="shared" ca="1" si="32"/>
        <v>-1</v>
      </c>
      <c r="S23" s="67" t="e">
        <f t="shared" ca="1" si="33"/>
        <v>#N/A</v>
      </c>
      <c r="T23" s="67">
        <f t="shared" ca="1" si="34"/>
        <v>-2</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2442.5</v>
      </c>
      <c r="AD23" s="5">
        <f t="shared" ca="1" si="31"/>
        <v>4500.4999999999982</v>
      </c>
      <c r="AG23" s="67">
        <f t="shared" ca="1" si="12"/>
        <v>31</v>
      </c>
      <c r="AH23" s="67">
        <v>22</v>
      </c>
      <c r="AI23" s="67">
        <f t="shared" ca="1" si="4"/>
        <v>5</v>
      </c>
      <c r="AJ23" s="39">
        <f t="shared" ca="1" si="5"/>
        <v>532.70291568163918</v>
      </c>
      <c r="AK23" s="39">
        <f t="shared" ca="1" si="6"/>
        <v>1126.6912529550827</v>
      </c>
      <c r="AL23" s="39">
        <f t="shared" ca="1" si="7"/>
        <v>1659.3941686367218</v>
      </c>
      <c r="AM23" s="39">
        <f t="shared" ca="1" si="8"/>
        <v>2192.0970843183609</v>
      </c>
      <c r="AN23" s="39">
        <f t="shared" ca="1" si="9"/>
        <v>2724.8</v>
      </c>
      <c r="AO23" s="39">
        <f t="shared" ca="1" si="0"/>
        <v>3257.5029156816395</v>
      </c>
      <c r="AP23" s="39">
        <f t="shared" ca="1" si="1"/>
        <v>3790.2058313632788</v>
      </c>
      <c r="AQ23" s="39">
        <f t="shared" ca="1" si="2"/>
        <v>4322.9087470449176</v>
      </c>
      <c r="AR23" s="5">
        <f t="shared" ca="1" si="10"/>
        <v>2442.5</v>
      </c>
      <c r="AS23" s="5">
        <f t="shared" ca="1" si="3"/>
        <v>4500.4999999999982</v>
      </c>
      <c r="AT23" s="5">
        <f t="shared" ca="1" si="11"/>
        <v>0</v>
      </c>
    </row>
    <row r="24" spans="1:46" x14ac:dyDescent="0.25">
      <c r="A24" s="67">
        <f ca="1">Demand!C21</f>
        <v>18</v>
      </c>
      <c r="B24" s="67">
        <v>9</v>
      </c>
      <c r="C24" s="5">
        <f ca="1">'Demand background (hide)'!Y12</f>
        <v>2468</v>
      </c>
      <c r="D24" s="67">
        <f t="shared" si="15"/>
        <v>1</v>
      </c>
      <c r="E24" s="67" t="e">
        <f t="shared" ca="1" si="16"/>
        <v>#N/A</v>
      </c>
      <c r="F24" s="67" t="e">
        <f t="shared" ca="1" si="17"/>
        <v>#N/A</v>
      </c>
      <c r="G24" s="67" t="e">
        <f t="shared" ca="1" si="18"/>
        <v>#N/A</v>
      </c>
      <c r="H24" s="67" t="e">
        <f>IF('Demand background (hide)'!AN12&lt;&gt;"",'SPC background (hide)'!C24,NA())</f>
        <v>#N/A</v>
      </c>
      <c r="I24" s="67">
        <f t="shared" ca="1" si="19"/>
        <v>1</v>
      </c>
      <c r="J24" s="5">
        <f t="shared" ca="1" si="20"/>
        <v>1126.6912529550827</v>
      </c>
      <c r="K24" s="5">
        <f t="shared" ca="1" si="21"/>
        <v>1659.3941686367218</v>
      </c>
      <c r="L24" s="5">
        <f t="shared" ca="1" si="22"/>
        <v>2192.0970843183609</v>
      </c>
      <c r="M24" s="5">
        <f t="shared" ca="1" si="23"/>
        <v>2724.8</v>
      </c>
      <c r="N24" s="5">
        <f t="shared" ca="1" si="24"/>
        <v>3257.5029156816395</v>
      </c>
      <c r="O24" s="5">
        <f t="shared" ca="1" si="25"/>
        <v>3790.2058313632788</v>
      </c>
      <c r="P24" s="5">
        <f t="shared" ca="1" si="26"/>
        <v>4322.9087470449176</v>
      </c>
      <c r="Q24" s="5" t="e">
        <f t="shared" ca="1" si="27"/>
        <v>#N/A</v>
      </c>
      <c r="R24" s="5">
        <f t="shared" ca="1" si="32"/>
        <v>-1</v>
      </c>
      <c r="S24" s="67" t="e">
        <f t="shared" ca="1" si="33"/>
        <v>#N/A</v>
      </c>
      <c r="T24" s="67">
        <f t="shared" ca="1" si="34"/>
        <v>-1</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2442.5</v>
      </c>
      <c r="AD24" s="5">
        <f t="shared" ca="1" si="31"/>
        <v>4500.4999999999982</v>
      </c>
      <c r="AG24" s="67">
        <f t="shared" ca="1" si="12"/>
        <v>32</v>
      </c>
      <c r="AH24" s="67">
        <v>23</v>
      </c>
      <c r="AI24" s="67">
        <f t="shared" ca="1" si="4"/>
        <v>5</v>
      </c>
      <c r="AJ24" s="39">
        <f t="shared" ca="1" si="5"/>
        <v>532.70291568163918</v>
      </c>
      <c r="AK24" s="39">
        <f t="shared" ca="1" si="6"/>
        <v>1126.6912529550827</v>
      </c>
      <c r="AL24" s="39">
        <f t="shared" ca="1" si="7"/>
        <v>1659.3941686367218</v>
      </c>
      <c r="AM24" s="39">
        <f t="shared" ca="1" si="8"/>
        <v>2192.0970843183609</v>
      </c>
      <c r="AN24" s="39">
        <f t="shared" ca="1" si="9"/>
        <v>2724.8</v>
      </c>
      <c r="AO24" s="39">
        <f t="shared" ca="1" si="0"/>
        <v>3257.5029156816395</v>
      </c>
      <c r="AP24" s="39">
        <f t="shared" ca="1" si="1"/>
        <v>3790.2058313632788</v>
      </c>
      <c r="AQ24" s="39">
        <f t="shared" ca="1" si="2"/>
        <v>4322.9087470449176</v>
      </c>
      <c r="AR24" s="5">
        <f t="shared" ca="1" si="10"/>
        <v>2442.5</v>
      </c>
      <c r="AS24" s="5">
        <f t="shared" ca="1" si="3"/>
        <v>4500.4999999999982</v>
      </c>
      <c r="AT24" s="5">
        <f t="shared" ca="1" si="11"/>
        <v>0</v>
      </c>
    </row>
    <row r="25" spans="1:46" x14ac:dyDescent="0.25">
      <c r="A25" s="67">
        <f ca="1">Demand!C22</f>
        <v>19</v>
      </c>
      <c r="B25" s="67">
        <v>10</v>
      </c>
      <c r="C25" s="5">
        <f ca="1">'Demand background (hide)'!Y13</f>
        <v>2298</v>
      </c>
      <c r="D25" s="67">
        <f t="shared" si="15"/>
        <v>1</v>
      </c>
      <c r="E25" s="67" t="e">
        <f t="shared" ca="1" si="16"/>
        <v>#N/A</v>
      </c>
      <c r="F25" s="67" t="e">
        <f t="shared" ca="1" si="17"/>
        <v>#N/A</v>
      </c>
      <c r="G25" s="67" t="e">
        <f t="shared" ca="1" si="18"/>
        <v>#N/A</v>
      </c>
      <c r="H25" s="67" t="e">
        <f>IF('Demand background (hide)'!AN13&lt;&gt;"",'SPC background (hide)'!C25,NA())</f>
        <v>#N/A</v>
      </c>
      <c r="I25" s="67">
        <f t="shared" ca="1" si="19"/>
        <v>1</v>
      </c>
      <c r="J25" s="5">
        <f t="shared" ca="1" si="20"/>
        <v>1126.6912529550827</v>
      </c>
      <c r="K25" s="5">
        <f t="shared" ca="1" si="21"/>
        <v>1659.3941686367218</v>
      </c>
      <c r="L25" s="5">
        <f t="shared" ca="1" si="22"/>
        <v>2192.0970843183609</v>
      </c>
      <c r="M25" s="5">
        <f t="shared" ca="1" si="23"/>
        <v>2724.8</v>
      </c>
      <c r="N25" s="5">
        <f t="shared" ca="1" si="24"/>
        <v>3257.5029156816395</v>
      </c>
      <c r="O25" s="5">
        <f t="shared" ca="1" si="25"/>
        <v>3790.2058313632788</v>
      </c>
      <c r="P25" s="5">
        <f t="shared" ca="1" si="26"/>
        <v>4322.9087470449176</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2442.5</v>
      </c>
      <c r="AD25" s="5">
        <f t="shared" ca="1" si="31"/>
        <v>4500.4999999999982</v>
      </c>
      <c r="AG25" s="67">
        <f t="shared" ca="1" si="12"/>
        <v>33</v>
      </c>
      <c r="AH25" s="67">
        <v>24</v>
      </c>
      <c r="AI25" s="67">
        <f t="shared" ca="1" si="4"/>
        <v>5</v>
      </c>
      <c r="AJ25" s="39">
        <f t="shared" ca="1" si="5"/>
        <v>532.70291568163918</v>
      </c>
      <c r="AK25" s="39">
        <f t="shared" ca="1" si="6"/>
        <v>1126.6912529550827</v>
      </c>
      <c r="AL25" s="39">
        <f t="shared" ca="1" si="7"/>
        <v>1659.3941686367218</v>
      </c>
      <c r="AM25" s="39">
        <f t="shared" ca="1" si="8"/>
        <v>2192.0970843183609</v>
      </c>
      <c r="AN25" s="39">
        <f t="shared" ca="1" si="9"/>
        <v>2724.8</v>
      </c>
      <c r="AO25" s="39">
        <f t="shared" ca="1" si="0"/>
        <v>3257.5029156816395</v>
      </c>
      <c r="AP25" s="39">
        <f t="shared" ca="1" si="1"/>
        <v>3790.2058313632788</v>
      </c>
      <c r="AQ25" s="39">
        <f t="shared" ca="1" si="2"/>
        <v>4322.9087470449176</v>
      </c>
      <c r="AR25" s="5">
        <f t="shared" ca="1" si="10"/>
        <v>2442.5</v>
      </c>
      <c r="AS25" s="5">
        <f t="shared" ca="1" si="3"/>
        <v>4500.4999999999982</v>
      </c>
      <c r="AT25" s="5">
        <f t="shared" ca="1" si="11"/>
        <v>0</v>
      </c>
    </row>
    <row r="26" spans="1:46" x14ac:dyDescent="0.25">
      <c r="A26" s="67">
        <f ca="1">Demand!C23</f>
        <v>20</v>
      </c>
      <c r="B26" s="67">
        <v>11</v>
      </c>
      <c r="C26" s="5">
        <f ca="1">'Demand background (hide)'!Y14</f>
        <v>2746</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1126.6912529550827</v>
      </c>
      <c r="K26" s="5">
        <f t="shared" ca="1" si="21"/>
        <v>1659.3941686367218</v>
      </c>
      <c r="L26" s="5">
        <f t="shared" ca="1" si="22"/>
        <v>2192.0970843183609</v>
      </c>
      <c r="M26" s="5">
        <f t="shared" ca="1" si="23"/>
        <v>2724.8</v>
      </c>
      <c r="N26" s="5">
        <f t="shared" ca="1" si="24"/>
        <v>3257.5029156816395</v>
      </c>
      <c r="O26" s="5">
        <f t="shared" ca="1" si="25"/>
        <v>3790.2058313632788</v>
      </c>
      <c r="P26" s="5">
        <f t="shared" ca="1" si="26"/>
        <v>4322.9087470449176</v>
      </c>
      <c r="Q26" s="5" t="e">
        <f t="shared" ca="1" si="27"/>
        <v>#N/A</v>
      </c>
      <c r="R26" s="5">
        <f t="shared" ca="1" si="32"/>
        <v>1</v>
      </c>
      <c r="S26" s="67" t="e">
        <f t="shared" ca="1" si="33"/>
        <v>#N/A</v>
      </c>
      <c r="T26" s="67">
        <f t="shared" ca="1" si="34"/>
        <v>1</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2442.5</v>
      </c>
      <c r="AD26" s="5">
        <f t="shared" ca="1" si="31"/>
        <v>4500.4999999999982</v>
      </c>
      <c r="AG26" s="67">
        <f t="shared" ca="1" si="12"/>
        <v>34</v>
      </c>
      <c r="AH26" s="67">
        <v>25</v>
      </c>
      <c r="AI26" s="67">
        <f t="shared" ca="1" si="4"/>
        <v>5</v>
      </c>
      <c r="AJ26" s="39">
        <f t="shared" ca="1" si="5"/>
        <v>532.70291568163918</v>
      </c>
      <c r="AK26" s="39">
        <f t="shared" ca="1" si="6"/>
        <v>1126.6912529550827</v>
      </c>
      <c r="AL26" s="39">
        <f t="shared" ca="1" si="7"/>
        <v>1659.3941686367218</v>
      </c>
      <c r="AM26" s="39">
        <f t="shared" ca="1" si="8"/>
        <v>2192.0970843183609</v>
      </c>
      <c r="AN26" s="39">
        <f t="shared" ca="1" si="9"/>
        <v>2724.8</v>
      </c>
      <c r="AO26" s="39">
        <f t="shared" ca="1" si="0"/>
        <v>3257.5029156816395</v>
      </c>
      <c r="AP26" s="39">
        <f t="shared" ca="1" si="1"/>
        <v>3790.2058313632788</v>
      </c>
      <c r="AQ26" s="39">
        <f t="shared" ca="1" si="2"/>
        <v>4322.9087470449176</v>
      </c>
      <c r="AR26" s="5">
        <f t="shared" ca="1" si="10"/>
        <v>2442.5</v>
      </c>
      <c r="AS26" s="5">
        <f t="shared" ca="1" si="3"/>
        <v>4500.4999999999982</v>
      </c>
      <c r="AT26" s="5">
        <f t="shared" ca="1" si="11"/>
        <v>0</v>
      </c>
    </row>
    <row r="27" spans="1:46" x14ac:dyDescent="0.25">
      <c r="A27" s="67">
        <f ca="1">Demand!C24</f>
        <v>21</v>
      </c>
      <c r="B27" s="67">
        <v>12</v>
      </c>
      <c r="C27" s="5">
        <f ca="1">'Demand background (hide)'!Y15</f>
        <v>2812</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1126.6912529550827</v>
      </c>
      <c r="K27" s="5">
        <f t="shared" ca="1" si="21"/>
        <v>1659.3941686367218</v>
      </c>
      <c r="L27" s="5">
        <f t="shared" ca="1" si="22"/>
        <v>2192.0970843183609</v>
      </c>
      <c r="M27" s="5">
        <f t="shared" ca="1" si="23"/>
        <v>2724.8</v>
      </c>
      <c r="N27" s="5">
        <f t="shared" ca="1" si="24"/>
        <v>3257.5029156816395</v>
      </c>
      <c r="O27" s="5">
        <f t="shared" ca="1" si="25"/>
        <v>3790.2058313632788</v>
      </c>
      <c r="P27" s="5">
        <f t="shared" ca="1" si="26"/>
        <v>4322.9087470449176</v>
      </c>
      <c r="Q27" s="5" t="e">
        <f t="shared" ca="1" si="27"/>
        <v>#N/A</v>
      </c>
      <c r="R27" s="5">
        <f t="shared" ca="1" si="32"/>
        <v>1</v>
      </c>
      <c r="S27" s="67" t="e">
        <f t="shared" ca="1" si="33"/>
        <v>#N/A</v>
      </c>
      <c r="T27" s="67">
        <f t="shared" ca="1" si="34"/>
        <v>1</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2442.5</v>
      </c>
      <c r="AD27" s="5">
        <f t="shared" ca="1" si="31"/>
        <v>4500.4999999999982</v>
      </c>
      <c r="AG27" s="67">
        <f t="shared" ca="1" si="12"/>
        <v>35</v>
      </c>
      <c r="AH27" s="67">
        <v>26</v>
      </c>
      <c r="AI27" s="67">
        <f t="shared" ca="1" si="4"/>
        <v>5</v>
      </c>
      <c r="AJ27" s="39">
        <f t="shared" ca="1" si="5"/>
        <v>532.70291568163918</v>
      </c>
      <c r="AK27" s="39">
        <f t="shared" ca="1" si="6"/>
        <v>1126.6912529550827</v>
      </c>
      <c r="AL27" s="39">
        <f t="shared" ca="1" si="7"/>
        <v>1659.3941686367218</v>
      </c>
      <c r="AM27" s="39">
        <f t="shared" ca="1" si="8"/>
        <v>2192.0970843183609</v>
      </c>
      <c r="AN27" s="39">
        <f t="shared" ca="1" si="9"/>
        <v>2724.8</v>
      </c>
      <c r="AO27" s="39">
        <f t="shared" ca="1" si="0"/>
        <v>3257.5029156816395</v>
      </c>
      <c r="AP27" s="39">
        <f t="shared" ca="1" si="1"/>
        <v>3790.2058313632788</v>
      </c>
      <c r="AQ27" s="39">
        <f t="shared" ca="1" si="2"/>
        <v>4322.9087470449176</v>
      </c>
      <c r="AR27" s="5">
        <f t="shared" ca="1" si="10"/>
        <v>2442.5</v>
      </c>
      <c r="AS27" s="5">
        <f t="shared" ca="1" si="3"/>
        <v>4500.4999999999982</v>
      </c>
      <c r="AT27" s="5">
        <f t="shared" ca="1" si="11"/>
        <v>0</v>
      </c>
    </row>
    <row r="28" spans="1:46" x14ac:dyDescent="0.25">
      <c r="A28" s="67">
        <f ca="1">Demand!C25</f>
        <v>22</v>
      </c>
      <c r="B28" s="67">
        <v>13</v>
      </c>
      <c r="C28" s="5">
        <f ca="1">'Demand background (hide)'!Y16</f>
        <v>2586</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1126.6912529550827</v>
      </c>
      <c r="K28" s="5">
        <f t="shared" ca="1" si="21"/>
        <v>1659.3941686367218</v>
      </c>
      <c r="L28" s="5">
        <f t="shared" ca="1" si="22"/>
        <v>2192.0970843183609</v>
      </c>
      <c r="M28" s="5">
        <f t="shared" ca="1" si="23"/>
        <v>2724.8</v>
      </c>
      <c r="N28" s="5">
        <f t="shared" ca="1" si="24"/>
        <v>3257.5029156816395</v>
      </c>
      <c r="O28" s="5">
        <f t="shared" ca="1" si="25"/>
        <v>3790.2058313632788</v>
      </c>
      <c r="P28" s="5">
        <f t="shared" ca="1" si="26"/>
        <v>4322.9087470449176</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2442.5</v>
      </c>
      <c r="AD28" s="5">
        <f t="shared" ca="1" si="31"/>
        <v>4500.4999999999982</v>
      </c>
      <c r="AG28" s="67">
        <f t="shared" ca="1" si="12"/>
        <v>36</v>
      </c>
      <c r="AH28" s="67">
        <v>27</v>
      </c>
      <c r="AI28" s="67">
        <f t="shared" ca="1" si="4"/>
        <v>5</v>
      </c>
      <c r="AJ28" s="39">
        <f t="shared" ca="1" si="5"/>
        <v>532.70291568163918</v>
      </c>
      <c r="AK28" s="39">
        <f t="shared" ca="1" si="6"/>
        <v>1126.6912529550827</v>
      </c>
      <c r="AL28" s="39">
        <f t="shared" ca="1" si="7"/>
        <v>1659.3941686367218</v>
      </c>
      <c r="AM28" s="39">
        <f t="shared" ca="1" si="8"/>
        <v>2192.0970843183609</v>
      </c>
      <c r="AN28" s="39">
        <f t="shared" ca="1" si="9"/>
        <v>2724.8</v>
      </c>
      <c r="AO28" s="39">
        <f t="shared" ca="1" si="0"/>
        <v>3257.5029156816395</v>
      </c>
      <c r="AP28" s="39">
        <f t="shared" ca="1" si="1"/>
        <v>3790.2058313632788</v>
      </c>
      <c r="AQ28" s="39">
        <f t="shared" ca="1" si="2"/>
        <v>4322.9087470449176</v>
      </c>
      <c r="AR28" s="5">
        <f t="shared" ca="1" si="10"/>
        <v>2442.5</v>
      </c>
      <c r="AS28" s="5">
        <f t="shared" ca="1" si="3"/>
        <v>4500.4999999999982</v>
      </c>
      <c r="AT28" s="5">
        <f t="shared" ca="1" si="11"/>
        <v>0</v>
      </c>
    </row>
    <row r="29" spans="1:46" x14ac:dyDescent="0.25">
      <c r="A29" s="67">
        <f ca="1">Demand!C26</f>
        <v>23</v>
      </c>
      <c r="B29" s="67">
        <v>14</v>
      </c>
      <c r="C29" s="5">
        <f ca="1">'Demand background (hide)'!Y17</f>
        <v>3126</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1126.6912529550827</v>
      </c>
      <c r="K29" s="5">
        <f t="shared" ca="1" si="21"/>
        <v>1659.3941686367218</v>
      </c>
      <c r="L29" s="5">
        <f t="shared" ca="1" si="22"/>
        <v>2192.0970843183609</v>
      </c>
      <c r="M29" s="5">
        <f t="shared" ca="1" si="23"/>
        <v>2724.8</v>
      </c>
      <c r="N29" s="5">
        <f t="shared" ca="1" si="24"/>
        <v>3257.5029156816395</v>
      </c>
      <c r="O29" s="5">
        <f t="shared" ca="1" si="25"/>
        <v>3790.2058313632788</v>
      </c>
      <c r="P29" s="5">
        <f t="shared" ca="1" si="26"/>
        <v>4322.9087470449176</v>
      </c>
      <c r="Q29" s="5" t="e">
        <f t="shared" ca="1" si="27"/>
        <v>#N/A</v>
      </c>
      <c r="R29" s="5">
        <f t="shared" ca="1" si="32"/>
        <v>1</v>
      </c>
      <c r="S29" s="67" t="e">
        <f t="shared" ca="1" si="33"/>
        <v>#N/A</v>
      </c>
      <c r="T29" s="67">
        <f t="shared" ca="1" si="34"/>
        <v>1</v>
      </c>
      <c r="U29" s="67" t="e">
        <f t="shared" ca="1" si="35"/>
        <v>#N/A</v>
      </c>
      <c r="V29" s="5">
        <f t="shared" ca="1" si="14"/>
        <v>1</v>
      </c>
      <c r="W29" s="5" t="e">
        <f t="shared" ca="1" si="28"/>
        <v>#N/A</v>
      </c>
      <c r="X29" s="67">
        <f t="shared" ca="1" si="29"/>
        <v>1</v>
      </c>
      <c r="Y29" s="67" t="e">
        <f t="shared" ca="1" si="36"/>
        <v>#N/A</v>
      </c>
      <c r="Z29" s="67" t="e">
        <f t="shared" ca="1" si="37"/>
        <v>#N/A</v>
      </c>
      <c r="AA29" s="5" t="str">
        <f>IF(Setup!$I$15="Yes",'Demand background (hide)'!AJ17+'SPC background (hide)'!C29,"")</f>
        <v/>
      </c>
      <c r="AC29" s="5">
        <f t="shared" ca="1" si="30"/>
        <v>2442.5</v>
      </c>
      <c r="AD29" s="5">
        <f t="shared" ca="1" si="31"/>
        <v>4500.4999999999982</v>
      </c>
      <c r="AG29" s="67">
        <f t="shared" ca="1" si="12"/>
        <v>37</v>
      </c>
      <c r="AH29" s="67">
        <v>28</v>
      </c>
      <c r="AI29" s="67">
        <f t="shared" ca="1" si="4"/>
        <v>5</v>
      </c>
      <c r="AJ29" s="39">
        <f t="shared" ca="1" si="5"/>
        <v>532.70291568163918</v>
      </c>
      <c r="AK29" s="39">
        <f t="shared" ca="1" si="6"/>
        <v>1126.6912529550827</v>
      </c>
      <c r="AL29" s="39">
        <f t="shared" ca="1" si="7"/>
        <v>1659.3941686367218</v>
      </c>
      <c r="AM29" s="39">
        <f t="shared" ca="1" si="8"/>
        <v>2192.0970843183609</v>
      </c>
      <c r="AN29" s="39">
        <f t="shared" ca="1" si="9"/>
        <v>2724.8</v>
      </c>
      <c r="AO29" s="39">
        <f t="shared" ca="1" si="0"/>
        <v>3257.5029156816395</v>
      </c>
      <c r="AP29" s="39">
        <f t="shared" ca="1" si="1"/>
        <v>3790.2058313632788</v>
      </c>
      <c r="AQ29" s="39">
        <f t="shared" ca="1" si="2"/>
        <v>4322.9087470449176</v>
      </c>
      <c r="AR29" s="5">
        <f t="shared" ca="1" si="10"/>
        <v>2442.5</v>
      </c>
      <c r="AS29" s="5">
        <f t="shared" ca="1" si="3"/>
        <v>4500.4999999999982</v>
      </c>
      <c r="AT29" s="5">
        <f t="shared" ca="1" si="11"/>
        <v>0</v>
      </c>
    </row>
    <row r="30" spans="1:46" x14ac:dyDescent="0.25">
      <c r="A30" s="67">
        <f ca="1">Demand!C27</f>
        <v>24</v>
      </c>
      <c r="B30" s="67">
        <v>15</v>
      </c>
      <c r="C30" s="5">
        <f ca="1">'Demand background (hide)'!Y18</f>
        <v>3466</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1126.6912529550827</v>
      </c>
      <c r="K30" s="5">
        <f t="shared" ca="1" si="21"/>
        <v>1659.3941686367218</v>
      </c>
      <c r="L30" s="5">
        <f t="shared" ca="1" si="22"/>
        <v>2192.0970843183609</v>
      </c>
      <c r="M30" s="5">
        <f t="shared" ca="1" si="23"/>
        <v>2724.8</v>
      </c>
      <c r="N30" s="5">
        <f t="shared" ca="1" si="24"/>
        <v>3257.5029156816395</v>
      </c>
      <c r="O30" s="5">
        <f t="shared" ca="1" si="25"/>
        <v>3790.2058313632788</v>
      </c>
      <c r="P30" s="5">
        <f t="shared" ca="1" si="26"/>
        <v>4322.9087470449176</v>
      </c>
      <c r="Q30" s="5" t="e">
        <f t="shared" ca="1" si="27"/>
        <v>#N/A</v>
      </c>
      <c r="R30" s="5">
        <f t="shared" ca="1" si="32"/>
        <v>1</v>
      </c>
      <c r="S30" s="67" t="e">
        <f t="shared" ca="1" si="33"/>
        <v>#N/A</v>
      </c>
      <c r="T30" s="67">
        <f t="shared" ca="1" si="34"/>
        <v>2</v>
      </c>
      <c r="U30" s="67" t="e">
        <f t="shared" ca="1" si="35"/>
        <v>#N/A</v>
      </c>
      <c r="V30" s="5">
        <f t="shared" ca="1" si="14"/>
        <v>1</v>
      </c>
      <c r="W30" s="5" t="e">
        <f t="shared" ca="1" si="28"/>
        <v>#N/A</v>
      </c>
      <c r="X30" s="67">
        <f t="shared" ca="1" si="29"/>
        <v>1</v>
      </c>
      <c r="Y30" s="67" t="e">
        <f t="shared" ca="1" si="36"/>
        <v>#N/A</v>
      </c>
      <c r="Z30" s="67" t="e">
        <f t="shared" ca="1" si="37"/>
        <v>#N/A</v>
      </c>
      <c r="AA30" s="5" t="str">
        <f>IF(Setup!$I$15="Yes",'Demand background (hide)'!AJ18+'SPC background (hide)'!C30,"")</f>
        <v/>
      </c>
      <c r="AC30" s="5">
        <f t="shared" ca="1" si="30"/>
        <v>2442.5</v>
      </c>
      <c r="AD30" s="5">
        <f t="shared" ca="1" si="31"/>
        <v>4500.4999999999982</v>
      </c>
      <c r="AG30" s="67">
        <f t="shared" ca="1" si="12"/>
        <v>38</v>
      </c>
      <c r="AH30" s="67">
        <v>29</v>
      </c>
      <c r="AI30" s="67">
        <f t="shared" ca="1" si="4"/>
        <v>5</v>
      </c>
      <c r="AJ30" s="39">
        <f t="shared" ca="1" si="5"/>
        <v>532.70291568163918</v>
      </c>
      <c r="AK30" s="39">
        <f t="shared" ca="1" si="6"/>
        <v>1126.6912529550827</v>
      </c>
      <c r="AL30" s="39">
        <f t="shared" ca="1" si="7"/>
        <v>1659.3941686367218</v>
      </c>
      <c r="AM30" s="39">
        <f t="shared" ca="1" si="8"/>
        <v>2192.0970843183609</v>
      </c>
      <c r="AN30" s="39">
        <f t="shared" ca="1" si="9"/>
        <v>2724.8</v>
      </c>
      <c r="AO30" s="39">
        <f t="shared" ca="1" si="0"/>
        <v>3257.5029156816395</v>
      </c>
      <c r="AP30" s="39">
        <f t="shared" ca="1" si="1"/>
        <v>3790.2058313632788</v>
      </c>
      <c r="AQ30" s="39">
        <f t="shared" ca="1" si="2"/>
        <v>4322.9087470449176</v>
      </c>
      <c r="AR30" s="5">
        <f t="shared" ca="1" si="10"/>
        <v>2442.5</v>
      </c>
      <c r="AS30" s="5">
        <f t="shared" ca="1" si="3"/>
        <v>4500.4999999999982</v>
      </c>
      <c r="AT30" s="5">
        <f t="shared" ca="1" si="11"/>
        <v>0</v>
      </c>
    </row>
    <row r="31" spans="1:46" x14ac:dyDescent="0.25">
      <c r="A31" s="67">
        <f ca="1">Demand!C28</f>
        <v>25</v>
      </c>
      <c r="B31" s="67">
        <v>16</v>
      </c>
      <c r="C31" s="5">
        <f ca="1">'Demand background (hide)'!Y19</f>
        <v>3328</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1126.6912529550827</v>
      </c>
      <c r="K31" s="5">
        <f t="shared" ca="1" si="21"/>
        <v>1659.3941686367218</v>
      </c>
      <c r="L31" s="5">
        <f t="shared" ca="1" si="22"/>
        <v>2192.0970843183609</v>
      </c>
      <c r="M31" s="5">
        <f t="shared" ca="1" si="23"/>
        <v>2724.8</v>
      </c>
      <c r="N31" s="5">
        <f t="shared" ca="1" si="24"/>
        <v>3257.5029156816395</v>
      </c>
      <c r="O31" s="5">
        <f t="shared" ca="1" si="25"/>
        <v>3790.2058313632788</v>
      </c>
      <c r="P31" s="5">
        <f t="shared" ca="1" si="26"/>
        <v>4322.9087470449176</v>
      </c>
      <c r="Q31" s="5" t="e">
        <f t="shared" ca="1" si="27"/>
        <v>#N/A</v>
      </c>
      <c r="R31" s="5">
        <f t="shared" ca="1" si="32"/>
        <v>1</v>
      </c>
      <c r="S31" s="67" t="e">
        <f t="shared" ca="1" si="33"/>
        <v>#N/A</v>
      </c>
      <c r="T31" s="67">
        <f t="shared" ca="1" si="34"/>
        <v>2</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2442.5</v>
      </c>
      <c r="AD31" s="5">
        <f t="shared" ca="1" si="31"/>
        <v>4500.4999999999982</v>
      </c>
      <c r="AG31" s="67">
        <f t="shared" ca="1" si="12"/>
        <v>39</v>
      </c>
      <c r="AH31" s="67">
        <v>30</v>
      </c>
      <c r="AI31" s="67">
        <f t="shared" ca="1" si="4"/>
        <v>5</v>
      </c>
      <c r="AJ31" s="39">
        <f t="shared" ca="1" si="5"/>
        <v>532.70291568163918</v>
      </c>
      <c r="AK31" s="39">
        <f t="shared" ca="1" si="6"/>
        <v>1126.6912529550827</v>
      </c>
      <c r="AL31" s="39">
        <f t="shared" ca="1" si="7"/>
        <v>1659.3941686367218</v>
      </c>
      <c r="AM31" s="39">
        <f t="shared" ca="1" si="8"/>
        <v>2192.0970843183609</v>
      </c>
      <c r="AN31" s="39">
        <f t="shared" ca="1" si="9"/>
        <v>2724.8</v>
      </c>
      <c r="AO31" s="39">
        <f t="shared" ca="1" si="0"/>
        <v>3257.5029156816395</v>
      </c>
      <c r="AP31" s="39">
        <f t="shared" ca="1" si="1"/>
        <v>3790.2058313632788</v>
      </c>
      <c r="AQ31" s="39">
        <f t="shared" ca="1" si="2"/>
        <v>4322.9087470449176</v>
      </c>
      <c r="AR31" s="5">
        <f t="shared" ca="1" si="10"/>
        <v>2442.5</v>
      </c>
      <c r="AS31" s="5">
        <f t="shared" ca="1" si="3"/>
        <v>4500.4999999999982</v>
      </c>
      <c r="AT31" s="5">
        <f t="shared" ca="1" si="11"/>
        <v>0</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-1</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40</v>
      </c>
      <c r="AH32" s="67">
        <v>31</v>
      </c>
      <c r="AI32" s="67">
        <f t="shared" ca="1" si="4"/>
        <v>5</v>
      </c>
      <c r="AJ32" s="39">
        <f t="shared" ca="1" si="5"/>
        <v>532.70291568163918</v>
      </c>
      <c r="AK32" s="39">
        <f t="shared" ca="1" si="6"/>
        <v>1126.6912529550827</v>
      </c>
      <c r="AL32" s="39">
        <f t="shared" ca="1" si="7"/>
        <v>1659.3941686367218</v>
      </c>
      <c r="AM32" s="39">
        <f t="shared" ca="1" si="8"/>
        <v>2192.0970843183609</v>
      </c>
      <c r="AN32" s="39">
        <f t="shared" ca="1" si="9"/>
        <v>2724.8</v>
      </c>
      <c r="AO32" s="39">
        <f t="shared" ca="1" si="0"/>
        <v>3257.5029156816395</v>
      </c>
      <c r="AP32" s="39">
        <f t="shared" ca="1" si="1"/>
        <v>3790.2058313632788</v>
      </c>
      <c r="AQ32" s="39">
        <f t="shared" ca="1" si="2"/>
        <v>4322.9087470449176</v>
      </c>
      <c r="AR32" s="5">
        <f t="shared" ca="1" si="10"/>
        <v>2442.5</v>
      </c>
      <c r="AS32" s="5">
        <f t="shared" ca="1" si="3"/>
        <v>4500.4999999999982</v>
      </c>
      <c r="AT32" s="5">
        <f t="shared" ca="1" si="11"/>
        <v>0</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41</v>
      </c>
      <c r="AH33" s="67">
        <v>32</v>
      </c>
      <c r="AI33" s="67">
        <f t="shared" ca="1" si="4"/>
        <v>5</v>
      </c>
      <c r="AJ33" s="39">
        <f t="shared" ca="1" si="5"/>
        <v>532.70291568163918</v>
      </c>
      <c r="AK33" s="39">
        <f t="shared" ca="1" si="6"/>
        <v>1126.6912529550827</v>
      </c>
      <c r="AL33" s="39">
        <f t="shared" ca="1" si="7"/>
        <v>1659.3941686367218</v>
      </c>
      <c r="AM33" s="39">
        <f t="shared" ca="1" si="8"/>
        <v>2192.0970843183609</v>
      </c>
      <c r="AN33" s="39">
        <f t="shared" ca="1" si="9"/>
        <v>2724.8</v>
      </c>
      <c r="AO33" s="39">
        <f t="shared" ca="1" si="0"/>
        <v>3257.5029156816395</v>
      </c>
      <c r="AP33" s="39">
        <f t="shared" ca="1" si="1"/>
        <v>3790.2058313632788</v>
      </c>
      <c r="AQ33" s="39">
        <f t="shared" ca="1" si="2"/>
        <v>4322.9087470449176</v>
      </c>
      <c r="AR33" s="5">
        <f t="shared" ca="1" si="10"/>
        <v>2442.5</v>
      </c>
      <c r="AS33" s="5">
        <f t="shared" ca="1" si="3"/>
        <v>4500.4999999999982</v>
      </c>
      <c r="AT33" s="5">
        <f t="shared" ca="1" si="11"/>
        <v>0</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42</v>
      </c>
      <c r="AH34" s="67">
        <v>33</v>
      </c>
      <c r="AI34" s="67">
        <f t="shared" ca="1" si="4"/>
        <v>5</v>
      </c>
      <c r="AJ34" s="39">
        <f t="shared" ca="1" si="5"/>
        <v>532.70291568163918</v>
      </c>
      <c r="AK34" s="39">
        <f t="shared" ca="1" si="6"/>
        <v>1126.6912529550827</v>
      </c>
      <c r="AL34" s="39">
        <f t="shared" ca="1" si="7"/>
        <v>1659.3941686367218</v>
      </c>
      <c r="AM34" s="39">
        <f t="shared" ca="1" si="8"/>
        <v>2192.0970843183609</v>
      </c>
      <c r="AN34" s="39">
        <f t="shared" ca="1" si="9"/>
        <v>2724.8</v>
      </c>
      <c r="AO34" s="39">
        <f t="shared" ca="1" si="0"/>
        <v>3257.5029156816395</v>
      </c>
      <c r="AP34" s="39">
        <f t="shared" ca="1" si="1"/>
        <v>3790.2058313632788</v>
      </c>
      <c r="AQ34" s="39">
        <f t="shared" ca="1" si="2"/>
        <v>4322.9087470449176</v>
      </c>
      <c r="AR34" s="5">
        <f t="shared" ca="1" si="10"/>
        <v>2442.5</v>
      </c>
      <c r="AS34" s="5">
        <f t="shared" ca="1" si="3"/>
        <v>4500.4999999999982</v>
      </c>
      <c r="AT34" s="5">
        <f t="shared" ca="1" si="11"/>
        <v>0</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43</v>
      </c>
      <c r="AH35" s="67">
        <v>34</v>
      </c>
      <c r="AI35" s="67">
        <f t="shared" ca="1" si="4"/>
        <v>5</v>
      </c>
      <c r="AJ35" s="39">
        <f t="shared" ca="1" si="5"/>
        <v>532.70291568163918</v>
      </c>
      <c r="AK35" s="39">
        <f t="shared" ca="1" si="6"/>
        <v>1126.6912529550827</v>
      </c>
      <c r="AL35" s="39">
        <f t="shared" ca="1" si="7"/>
        <v>1659.3941686367218</v>
      </c>
      <c r="AM35" s="39">
        <f t="shared" ca="1" si="8"/>
        <v>2192.0970843183609</v>
      </c>
      <c r="AN35" s="39">
        <f t="shared" ca="1" si="9"/>
        <v>2724.8</v>
      </c>
      <c r="AO35" s="39">
        <f t="shared" ca="1" si="0"/>
        <v>3257.5029156816395</v>
      </c>
      <c r="AP35" s="39">
        <f t="shared" ca="1" si="1"/>
        <v>3790.2058313632788</v>
      </c>
      <c r="AQ35" s="39">
        <f t="shared" ca="1" si="2"/>
        <v>4322.9087470449176</v>
      </c>
      <c r="AR35" s="5">
        <f t="shared" ca="1" si="10"/>
        <v>2442.5</v>
      </c>
      <c r="AS35" s="5">
        <f t="shared" ca="1" si="3"/>
        <v>4500.4999999999982</v>
      </c>
      <c r="AT35" s="5">
        <f t="shared" ca="1" si="11"/>
        <v>0</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44</v>
      </c>
      <c r="AH36" s="67">
        <v>35</v>
      </c>
      <c r="AI36" s="67">
        <f t="shared" ca="1" si="4"/>
        <v>5</v>
      </c>
      <c r="AJ36" s="39">
        <f t="shared" ca="1" si="5"/>
        <v>532.70291568163918</v>
      </c>
      <c r="AK36" s="39">
        <f t="shared" ca="1" si="6"/>
        <v>1126.6912529550827</v>
      </c>
      <c r="AL36" s="39">
        <f t="shared" ca="1" si="7"/>
        <v>1659.3941686367218</v>
      </c>
      <c r="AM36" s="39">
        <f t="shared" ca="1" si="8"/>
        <v>2192.0970843183609</v>
      </c>
      <c r="AN36" s="39">
        <f t="shared" ca="1" si="9"/>
        <v>2724.8</v>
      </c>
      <c r="AO36" s="39">
        <f t="shared" ca="1" si="0"/>
        <v>3257.5029156816395</v>
      </c>
      <c r="AP36" s="39">
        <f t="shared" ca="1" si="1"/>
        <v>3790.2058313632788</v>
      </c>
      <c r="AQ36" s="39">
        <f t="shared" ca="1" si="2"/>
        <v>4322.9087470449176</v>
      </c>
      <c r="AR36" s="5">
        <f t="shared" ca="1" si="10"/>
        <v>2442.5</v>
      </c>
      <c r="AS36" s="5">
        <f t="shared" ca="1" si="3"/>
        <v>4500.4999999999982</v>
      </c>
      <c r="AT36" s="5">
        <f t="shared" ca="1" si="11"/>
        <v>0</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45</v>
      </c>
      <c r="AH37" s="67">
        <v>36</v>
      </c>
      <c r="AI37" s="67">
        <f t="shared" ca="1" si="4"/>
        <v>5</v>
      </c>
      <c r="AJ37" s="39">
        <f t="shared" ca="1" si="5"/>
        <v>532.70291568163918</v>
      </c>
      <c r="AK37" s="39">
        <f t="shared" ca="1" si="6"/>
        <v>1126.6912529550827</v>
      </c>
      <c r="AL37" s="39">
        <f t="shared" ca="1" si="7"/>
        <v>1659.3941686367218</v>
      </c>
      <c r="AM37" s="39">
        <f t="shared" ca="1" si="8"/>
        <v>2192.0970843183609</v>
      </c>
      <c r="AN37" s="39">
        <f t="shared" ca="1" si="9"/>
        <v>2724.8</v>
      </c>
      <c r="AO37" s="39">
        <f t="shared" ca="1" si="0"/>
        <v>3257.5029156816395</v>
      </c>
      <c r="AP37" s="39">
        <f t="shared" ca="1" si="1"/>
        <v>3790.2058313632788</v>
      </c>
      <c r="AQ37" s="39">
        <f t="shared" ca="1" si="2"/>
        <v>4322.9087470449176</v>
      </c>
      <c r="AR37" s="5">
        <f t="shared" ca="1" si="10"/>
        <v>2442.5</v>
      </c>
      <c r="AS37" s="5">
        <f t="shared" ca="1" si="3"/>
        <v>4500.4999999999982</v>
      </c>
      <c r="AT37" s="5">
        <f t="shared" ca="1" si="11"/>
        <v>0</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46</v>
      </c>
      <c r="AH38" s="67">
        <v>37</v>
      </c>
      <c r="AI38" s="67">
        <f t="shared" ca="1" si="4"/>
        <v>5</v>
      </c>
      <c r="AJ38" s="39">
        <f t="shared" ca="1" si="5"/>
        <v>532.70291568163918</v>
      </c>
      <c r="AK38" s="39">
        <f t="shared" ca="1" si="6"/>
        <v>1126.6912529550827</v>
      </c>
      <c r="AL38" s="39">
        <f t="shared" ca="1" si="7"/>
        <v>1659.3941686367218</v>
      </c>
      <c r="AM38" s="39">
        <f t="shared" ca="1" si="8"/>
        <v>2192.0970843183609</v>
      </c>
      <c r="AN38" s="39">
        <f t="shared" ca="1" si="9"/>
        <v>2724.8</v>
      </c>
      <c r="AO38" s="39">
        <f t="shared" ca="1" si="0"/>
        <v>3257.5029156816395</v>
      </c>
      <c r="AP38" s="39">
        <f t="shared" ca="1" si="1"/>
        <v>3790.2058313632788</v>
      </c>
      <c r="AQ38" s="39">
        <f t="shared" ca="1" si="2"/>
        <v>4322.9087470449176</v>
      </c>
      <c r="AR38" s="5">
        <f t="shared" ca="1" si="10"/>
        <v>2442.5</v>
      </c>
      <c r="AS38" s="5">
        <f t="shared" ca="1" si="3"/>
        <v>4500.4999999999982</v>
      </c>
      <c r="AT38" s="5">
        <f t="shared" ca="1" si="11"/>
        <v>0</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47</v>
      </c>
      <c r="AH39" s="67">
        <v>38</v>
      </c>
      <c r="AI39" s="67">
        <f t="shared" ca="1" si="4"/>
        <v>5</v>
      </c>
      <c r="AJ39" s="39">
        <f t="shared" ca="1" si="5"/>
        <v>532.70291568163918</v>
      </c>
      <c r="AK39" s="39">
        <f t="shared" ca="1" si="6"/>
        <v>1126.6912529550827</v>
      </c>
      <c r="AL39" s="39">
        <f t="shared" ca="1" si="7"/>
        <v>1659.3941686367218</v>
      </c>
      <c r="AM39" s="39">
        <f t="shared" ca="1" si="8"/>
        <v>2192.0970843183609</v>
      </c>
      <c r="AN39" s="39">
        <f t="shared" ca="1" si="9"/>
        <v>2724.8</v>
      </c>
      <c r="AO39" s="39">
        <f t="shared" ca="1" si="0"/>
        <v>3257.5029156816395</v>
      </c>
      <c r="AP39" s="39">
        <f t="shared" ca="1" si="1"/>
        <v>3790.2058313632788</v>
      </c>
      <c r="AQ39" s="39">
        <f t="shared" ca="1" si="2"/>
        <v>4322.9087470449176</v>
      </c>
      <c r="AR39" s="5">
        <f t="shared" ca="1" si="10"/>
        <v>2442.5</v>
      </c>
      <c r="AS39" s="5">
        <f t="shared" ca="1" si="3"/>
        <v>4500.4999999999982</v>
      </c>
      <c r="AT39" s="5">
        <f t="shared" ca="1" si="11"/>
        <v>0</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48</v>
      </c>
      <c r="AH40" s="67">
        <v>39</v>
      </c>
      <c r="AI40" s="67">
        <f t="shared" ca="1" si="4"/>
        <v>5</v>
      </c>
      <c r="AJ40" s="39">
        <f t="shared" ca="1" si="5"/>
        <v>532.70291568163918</v>
      </c>
      <c r="AK40" s="39">
        <f t="shared" ca="1" si="6"/>
        <v>1126.6912529550827</v>
      </c>
      <c r="AL40" s="39">
        <f t="shared" ca="1" si="7"/>
        <v>1659.3941686367218</v>
      </c>
      <c r="AM40" s="39">
        <f t="shared" ca="1" si="8"/>
        <v>2192.0970843183609</v>
      </c>
      <c r="AN40" s="39">
        <f t="shared" ca="1" si="9"/>
        <v>2724.8</v>
      </c>
      <c r="AO40" s="39">
        <f t="shared" ca="1" si="0"/>
        <v>3257.5029156816395</v>
      </c>
      <c r="AP40" s="39">
        <f t="shared" ca="1" si="1"/>
        <v>3790.2058313632788</v>
      </c>
      <c r="AQ40" s="39">
        <f t="shared" ca="1" si="2"/>
        <v>4322.9087470449176</v>
      </c>
      <c r="AR40" s="5">
        <f t="shared" ca="1" si="10"/>
        <v>2442.5</v>
      </c>
      <c r="AS40" s="5">
        <f t="shared" ca="1" si="3"/>
        <v>4500.4999999999982</v>
      </c>
      <c r="AT40" s="5">
        <f t="shared" ca="1" si="11"/>
        <v>0</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49</v>
      </c>
      <c r="AH41" s="67">
        <v>40</v>
      </c>
      <c r="AI41" s="67">
        <f t="shared" ca="1" si="4"/>
        <v>5</v>
      </c>
      <c r="AJ41" s="39">
        <f t="shared" ca="1" si="5"/>
        <v>532.70291568163918</v>
      </c>
      <c r="AK41" s="39">
        <f t="shared" ca="1" si="6"/>
        <v>1126.6912529550827</v>
      </c>
      <c r="AL41" s="39">
        <f t="shared" ca="1" si="7"/>
        <v>1659.3941686367218</v>
      </c>
      <c r="AM41" s="39">
        <f t="shared" ca="1" si="8"/>
        <v>2192.0970843183609</v>
      </c>
      <c r="AN41" s="39">
        <f t="shared" ca="1" si="9"/>
        <v>2724.8</v>
      </c>
      <c r="AO41" s="39">
        <f t="shared" ca="1" si="0"/>
        <v>3257.5029156816395</v>
      </c>
      <c r="AP41" s="39">
        <f t="shared" ca="1" si="1"/>
        <v>3790.2058313632788</v>
      </c>
      <c r="AQ41" s="39">
        <f t="shared" ca="1" si="2"/>
        <v>4322.9087470449176</v>
      </c>
      <c r="AR41" s="5">
        <f t="shared" ca="1" si="10"/>
        <v>2442.5</v>
      </c>
      <c r="AS41" s="5">
        <f t="shared" ca="1" si="3"/>
        <v>4500.4999999999982</v>
      </c>
      <c r="AT41" s="5">
        <f t="shared" ca="1" si="11"/>
        <v>0</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50</v>
      </c>
      <c r="AH42" s="67">
        <v>41</v>
      </c>
      <c r="AI42" s="67">
        <f t="shared" ca="1" si="4"/>
        <v>5</v>
      </c>
      <c r="AJ42" s="39">
        <f t="shared" ca="1" si="5"/>
        <v>532.70291568163918</v>
      </c>
      <c r="AK42" s="39">
        <f t="shared" ca="1" si="6"/>
        <v>1126.6912529550827</v>
      </c>
      <c r="AL42" s="39">
        <f t="shared" ca="1" si="7"/>
        <v>1659.3941686367218</v>
      </c>
      <c r="AM42" s="39">
        <f t="shared" ca="1" si="8"/>
        <v>2192.0970843183609</v>
      </c>
      <c r="AN42" s="39">
        <f t="shared" ca="1" si="9"/>
        <v>2724.8</v>
      </c>
      <c r="AO42" s="39">
        <f t="shared" ca="1" si="0"/>
        <v>3257.5029156816395</v>
      </c>
      <c r="AP42" s="39">
        <f t="shared" ca="1" si="1"/>
        <v>3790.2058313632788</v>
      </c>
      <c r="AQ42" s="39">
        <f t="shared" ca="1" si="2"/>
        <v>4322.9087470449176</v>
      </c>
      <c r="AR42" s="5">
        <f t="shared" ca="1" si="10"/>
        <v>2442.5</v>
      </c>
      <c r="AS42" s="5">
        <f t="shared" ca="1" si="3"/>
        <v>4500.4999999999982</v>
      </c>
      <c r="AT42" s="5">
        <f t="shared" ca="1" si="11"/>
        <v>0</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51</v>
      </c>
      <c r="AH43" s="67">
        <v>42</v>
      </c>
      <c r="AI43" s="67">
        <f t="shared" ca="1" si="4"/>
        <v>5</v>
      </c>
      <c r="AJ43" s="39">
        <f t="shared" ca="1" si="5"/>
        <v>532.70291568163918</v>
      </c>
      <c r="AK43" s="39">
        <f t="shared" ca="1" si="6"/>
        <v>1126.6912529550827</v>
      </c>
      <c r="AL43" s="39">
        <f t="shared" ca="1" si="7"/>
        <v>1659.3941686367218</v>
      </c>
      <c r="AM43" s="39">
        <f t="shared" ca="1" si="8"/>
        <v>2192.0970843183609</v>
      </c>
      <c r="AN43" s="39">
        <f t="shared" ca="1" si="9"/>
        <v>2724.8</v>
      </c>
      <c r="AO43" s="39">
        <f t="shared" ca="1" si="0"/>
        <v>3257.5029156816395</v>
      </c>
      <c r="AP43" s="39">
        <f t="shared" ca="1" si="1"/>
        <v>3790.2058313632788</v>
      </c>
      <c r="AQ43" s="39">
        <f t="shared" ca="1" si="2"/>
        <v>4322.9087470449176</v>
      </c>
      <c r="AR43" s="5">
        <f t="shared" ca="1" si="10"/>
        <v>2442.5</v>
      </c>
      <c r="AS43" s="5">
        <f t="shared" ca="1" si="3"/>
        <v>4500.4999999999982</v>
      </c>
      <c r="AT43" s="5">
        <f t="shared" ca="1" si="11"/>
        <v>0</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52</v>
      </c>
      <c r="AH44" s="67">
        <v>43</v>
      </c>
      <c r="AI44" s="67">
        <f t="shared" ca="1" si="4"/>
        <v>5</v>
      </c>
      <c r="AJ44" s="39">
        <f t="shared" ca="1" si="5"/>
        <v>532.70291568163918</v>
      </c>
      <c r="AK44" s="39">
        <f t="shared" ca="1" si="6"/>
        <v>1126.6912529550827</v>
      </c>
      <c r="AL44" s="39">
        <f t="shared" ca="1" si="7"/>
        <v>1659.3941686367218</v>
      </c>
      <c r="AM44" s="39">
        <f t="shared" ca="1" si="8"/>
        <v>2192.0970843183609</v>
      </c>
      <c r="AN44" s="39">
        <f t="shared" ca="1" si="9"/>
        <v>2724.8</v>
      </c>
      <c r="AO44" s="39">
        <f t="shared" ca="1" si="0"/>
        <v>3257.5029156816395</v>
      </c>
      <c r="AP44" s="39">
        <f t="shared" ca="1" si="1"/>
        <v>3790.2058313632788</v>
      </c>
      <c r="AQ44" s="39">
        <f t="shared" ca="1" si="2"/>
        <v>4322.9087470449176</v>
      </c>
      <c r="AR44" s="5">
        <f t="shared" ca="1" si="10"/>
        <v>2442.5</v>
      </c>
      <c r="AS44" s="5">
        <f t="shared" ca="1" si="3"/>
        <v>4500.4999999999982</v>
      </c>
      <c r="AT44" s="5">
        <f t="shared" ca="1" si="11"/>
        <v>0</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53</v>
      </c>
      <c r="AH45" s="67">
        <v>44</v>
      </c>
      <c r="AI45" s="67">
        <f t="shared" ca="1" si="4"/>
        <v>5</v>
      </c>
      <c r="AJ45" s="39">
        <f t="shared" ca="1" si="5"/>
        <v>532.70291568163918</v>
      </c>
      <c r="AK45" s="39">
        <f t="shared" ca="1" si="6"/>
        <v>1126.6912529550827</v>
      </c>
      <c r="AL45" s="39">
        <f t="shared" ca="1" si="7"/>
        <v>1659.3941686367218</v>
      </c>
      <c r="AM45" s="39">
        <f t="shared" ca="1" si="8"/>
        <v>2192.0970843183609</v>
      </c>
      <c r="AN45" s="39">
        <f t="shared" ca="1" si="9"/>
        <v>2724.8</v>
      </c>
      <c r="AO45" s="39">
        <f t="shared" ca="1" si="0"/>
        <v>3257.5029156816395</v>
      </c>
      <c r="AP45" s="39">
        <f t="shared" ca="1" si="1"/>
        <v>3790.2058313632788</v>
      </c>
      <c r="AQ45" s="39">
        <f t="shared" ca="1" si="2"/>
        <v>4322.9087470449176</v>
      </c>
      <c r="AR45" s="5">
        <f t="shared" ca="1" si="10"/>
        <v>2442.5</v>
      </c>
      <c r="AS45" s="5">
        <f t="shared" ca="1" si="3"/>
        <v>4500.4999999999982</v>
      </c>
      <c r="AT45" s="5">
        <f t="shared" ca="1" si="11"/>
        <v>0</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1</v>
      </c>
      <c r="AH46" s="67">
        <v>45</v>
      </c>
      <c r="AI46" s="67">
        <f t="shared" ca="1" si="4"/>
        <v>5</v>
      </c>
      <c r="AJ46" s="39">
        <f t="shared" ca="1" si="5"/>
        <v>532.70291568163918</v>
      </c>
      <c r="AK46" s="39">
        <f t="shared" ca="1" si="6"/>
        <v>1126.6912529550827</v>
      </c>
      <c r="AL46" s="39">
        <f t="shared" ca="1" si="7"/>
        <v>1659.3941686367218</v>
      </c>
      <c r="AM46" s="39">
        <f t="shared" ca="1" si="8"/>
        <v>2192.0970843183609</v>
      </c>
      <c r="AN46" s="39">
        <f t="shared" ca="1" si="9"/>
        <v>2724.8</v>
      </c>
      <c r="AO46" s="39">
        <f t="shared" ca="1" si="0"/>
        <v>3257.5029156816395</v>
      </c>
      <c r="AP46" s="39">
        <f t="shared" ca="1" si="1"/>
        <v>3790.2058313632788</v>
      </c>
      <c r="AQ46" s="39">
        <f t="shared" ca="1" si="2"/>
        <v>4322.9087470449176</v>
      </c>
      <c r="AR46" s="5">
        <f t="shared" ca="1" si="10"/>
        <v>2442.5</v>
      </c>
      <c r="AS46" s="5">
        <f t="shared" ca="1" si="3"/>
        <v>4500.4999999999982</v>
      </c>
      <c r="AT46" s="5">
        <f t="shared" ca="1" si="11"/>
        <v>0</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2</v>
      </c>
      <c r="AH47" s="67">
        <v>46</v>
      </c>
      <c r="AI47" s="67">
        <f t="shared" ca="1" si="4"/>
        <v>5</v>
      </c>
      <c r="AJ47" s="39">
        <f t="shared" ca="1" si="5"/>
        <v>532.70291568163918</v>
      </c>
      <c r="AK47" s="39">
        <f t="shared" ca="1" si="6"/>
        <v>1126.6912529550827</v>
      </c>
      <c r="AL47" s="39">
        <f t="shared" ca="1" si="7"/>
        <v>1659.3941686367218</v>
      </c>
      <c r="AM47" s="39">
        <f t="shared" ca="1" si="8"/>
        <v>2192.0970843183609</v>
      </c>
      <c r="AN47" s="39">
        <f t="shared" ca="1" si="9"/>
        <v>2724.8</v>
      </c>
      <c r="AO47" s="39">
        <f t="shared" ca="1" si="0"/>
        <v>3257.5029156816395</v>
      </c>
      <c r="AP47" s="39">
        <f t="shared" ca="1" si="1"/>
        <v>3790.2058313632788</v>
      </c>
      <c r="AQ47" s="39">
        <f t="shared" ca="1" si="2"/>
        <v>4322.9087470449176</v>
      </c>
      <c r="AR47" s="5">
        <f t="shared" ca="1" si="10"/>
        <v>2442.5</v>
      </c>
      <c r="AS47" s="5">
        <f t="shared" ca="1" si="3"/>
        <v>4500.4999999999982</v>
      </c>
      <c r="AT47" s="5">
        <f t="shared" ca="1" si="11"/>
        <v>0</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3</v>
      </c>
      <c r="AH48" s="67">
        <v>47</v>
      </c>
      <c r="AI48" s="67">
        <f t="shared" ca="1" si="4"/>
        <v>5</v>
      </c>
      <c r="AJ48" s="39">
        <f t="shared" ca="1" si="5"/>
        <v>532.70291568163918</v>
      </c>
      <c r="AK48" s="39">
        <f t="shared" ca="1" si="6"/>
        <v>1126.6912529550827</v>
      </c>
      <c r="AL48" s="39">
        <f t="shared" ca="1" si="7"/>
        <v>1659.3941686367218</v>
      </c>
      <c r="AM48" s="39">
        <f t="shared" ca="1" si="8"/>
        <v>2192.0970843183609</v>
      </c>
      <c r="AN48" s="39">
        <f t="shared" ca="1" si="9"/>
        <v>2724.8</v>
      </c>
      <c r="AO48" s="39">
        <f t="shared" ca="1" si="0"/>
        <v>3257.5029156816395</v>
      </c>
      <c r="AP48" s="39">
        <f t="shared" ca="1" si="1"/>
        <v>3790.2058313632788</v>
      </c>
      <c r="AQ48" s="39">
        <f t="shared" ca="1" si="2"/>
        <v>4322.9087470449176</v>
      </c>
      <c r="AR48" s="5">
        <f t="shared" ca="1" si="10"/>
        <v>2442.5</v>
      </c>
      <c r="AS48" s="5">
        <f t="shared" ca="1" si="3"/>
        <v>4500.4999999999982</v>
      </c>
      <c r="AT48" s="5">
        <f t="shared" ca="1" si="11"/>
        <v>0</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v>
      </c>
      <c r="AH49" s="67">
        <v>48</v>
      </c>
      <c r="AI49" s="67">
        <f t="shared" ca="1" si="4"/>
        <v>5</v>
      </c>
      <c r="AJ49" s="39">
        <f t="shared" ca="1" si="5"/>
        <v>532.70291568163918</v>
      </c>
      <c r="AK49" s="39">
        <f t="shared" ca="1" si="6"/>
        <v>1126.6912529550827</v>
      </c>
      <c r="AL49" s="39">
        <f t="shared" ca="1" si="7"/>
        <v>1659.3941686367218</v>
      </c>
      <c r="AM49" s="39">
        <f t="shared" ca="1" si="8"/>
        <v>2192.0970843183609</v>
      </c>
      <c r="AN49" s="39">
        <f t="shared" ca="1" si="9"/>
        <v>2724.8</v>
      </c>
      <c r="AO49" s="39">
        <f t="shared" ca="1" si="0"/>
        <v>3257.5029156816395</v>
      </c>
      <c r="AP49" s="39">
        <f t="shared" ca="1" si="1"/>
        <v>3790.2058313632788</v>
      </c>
      <c r="AQ49" s="39">
        <f t="shared" ca="1" si="2"/>
        <v>4322.9087470449176</v>
      </c>
      <c r="AR49" s="5">
        <f t="shared" ca="1" si="10"/>
        <v>2442.5</v>
      </c>
      <c r="AS49" s="5">
        <f t="shared" ca="1" si="3"/>
        <v>4500.4999999999982</v>
      </c>
      <c r="AT49" s="5">
        <f t="shared" ca="1" si="11"/>
        <v>0</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5</v>
      </c>
      <c r="AH50" s="67">
        <v>49</v>
      </c>
      <c r="AI50" s="67">
        <f t="shared" ca="1" si="4"/>
        <v>5</v>
      </c>
      <c r="AJ50" s="39">
        <f t="shared" ca="1" si="5"/>
        <v>532.70291568163918</v>
      </c>
      <c r="AK50" s="39">
        <f t="shared" ca="1" si="6"/>
        <v>1126.6912529550827</v>
      </c>
      <c r="AL50" s="39">
        <f t="shared" ca="1" si="7"/>
        <v>1659.3941686367218</v>
      </c>
      <c r="AM50" s="39">
        <f t="shared" ca="1" si="8"/>
        <v>2192.0970843183609</v>
      </c>
      <c r="AN50" s="39">
        <f t="shared" ca="1" si="9"/>
        <v>2724.8</v>
      </c>
      <c r="AO50" s="39">
        <f t="shared" ca="1" si="0"/>
        <v>3257.5029156816395</v>
      </c>
      <c r="AP50" s="39">
        <f t="shared" ca="1" si="1"/>
        <v>3790.2058313632788</v>
      </c>
      <c r="AQ50" s="39">
        <f t="shared" ca="1" si="2"/>
        <v>4322.9087470449176</v>
      </c>
      <c r="AR50" s="5">
        <f t="shared" ca="1" si="10"/>
        <v>2442.5</v>
      </c>
      <c r="AS50" s="5">
        <f t="shared" ca="1" si="3"/>
        <v>4500.4999999999982</v>
      </c>
      <c r="AT50" s="5">
        <f t="shared" ca="1" si="11"/>
        <v>0</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6</v>
      </c>
      <c r="AH51" s="67">
        <v>50</v>
      </c>
      <c r="AI51" s="67">
        <f t="shared" ca="1" si="4"/>
        <v>5</v>
      </c>
      <c r="AJ51" s="39">
        <f t="shared" ca="1" si="5"/>
        <v>532.70291568163918</v>
      </c>
      <c r="AK51" s="39">
        <f t="shared" ca="1" si="6"/>
        <v>1126.6912529550827</v>
      </c>
      <c r="AL51" s="39">
        <f t="shared" ca="1" si="7"/>
        <v>1659.3941686367218</v>
      </c>
      <c r="AM51" s="39">
        <f t="shared" ca="1" si="8"/>
        <v>2192.0970843183609</v>
      </c>
      <c r="AN51" s="39">
        <f t="shared" ca="1" si="9"/>
        <v>2724.8</v>
      </c>
      <c r="AO51" s="39">
        <f t="shared" ca="1" si="0"/>
        <v>3257.5029156816395</v>
      </c>
      <c r="AP51" s="39">
        <f t="shared" ca="1" si="1"/>
        <v>3790.2058313632788</v>
      </c>
      <c r="AQ51" s="39">
        <f t="shared" ca="1" si="2"/>
        <v>4322.9087470449176</v>
      </c>
      <c r="AR51" s="5">
        <f t="shared" ca="1" si="10"/>
        <v>2442.5</v>
      </c>
      <c r="AS51" s="5">
        <f t="shared" ca="1" si="3"/>
        <v>4500.4999999999982</v>
      </c>
      <c r="AT51" s="5">
        <f t="shared" ca="1" si="11"/>
        <v>0</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7</v>
      </c>
      <c r="AH52" s="67">
        <v>51</v>
      </c>
      <c r="AI52" s="67">
        <f t="shared" ca="1" si="4"/>
        <v>5</v>
      </c>
      <c r="AJ52" s="39">
        <f t="shared" ca="1" si="5"/>
        <v>532.70291568163918</v>
      </c>
      <c r="AK52" s="39">
        <f t="shared" ca="1" si="6"/>
        <v>1126.6912529550827</v>
      </c>
      <c r="AL52" s="39">
        <f t="shared" ca="1" si="7"/>
        <v>1659.3941686367218</v>
      </c>
      <c r="AM52" s="39">
        <f t="shared" ca="1" si="8"/>
        <v>2192.0970843183609</v>
      </c>
      <c r="AN52" s="39">
        <f t="shared" ca="1" si="9"/>
        <v>2724.8</v>
      </c>
      <c r="AO52" s="39">
        <f t="shared" ca="1" si="0"/>
        <v>3257.5029156816395</v>
      </c>
      <c r="AP52" s="39">
        <f t="shared" ca="1" si="1"/>
        <v>3790.2058313632788</v>
      </c>
      <c r="AQ52" s="39">
        <f t="shared" ca="1" si="2"/>
        <v>4322.9087470449176</v>
      </c>
      <c r="AR52" s="5">
        <f t="shared" ca="1" si="10"/>
        <v>2442.5</v>
      </c>
      <c r="AS52" s="5">
        <f t="shared" ca="1" si="3"/>
        <v>4500.4999999999982</v>
      </c>
      <c r="AT52" s="5">
        <f t="shared" ca="1" si="11"/>
        <v>0</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8</v>
      </c>
      <c r="AH53" s="67">
        <v>52</v>
      </c>
      <c r="AI53" s="67">
        <f t="shared" ca="1" si="4"/>
        <v>5</v>
      </c>
      <c r="AJ53" s="39">
        <f t="shared" ca="1" si="5"/>
        <v>532.70291568163918</v>
      </c>
      <c r="AK53" s="39">
        <f t="shared" ca="1" si="6"/>
        <v>1126.6912529550827</v>
      </c>
      <c r="AL53" s="39">
        <f t="shared" ca="1" si="7"/>
        <v>1659.3941686367218</v>
      </c>
      <c r="AM53" s="39">
        <f t="shared" ca="1" si="8"/>
        <v>2192.0970843183609</v>
      </c>
      <c r="AN53" s="39">
        <f t="shared" ca="1" si="9"/>
        <v>2724.8</v>
      </c>
      <c r="AO53" s="39">
        <f t="shared" ca="1" si="0"/>
        <v>3257.5029156816395</v>
      </c>
      <c r="AP53" s="39">
        <f t="shared" ca="1" si="1"/>
        <v>3790.2058313632788</v>
      </c>
      <c r="AQ53" s="39">
        <f t="shared" ca="1" si="2"/>
        <v>4322.9087470449176</v>
      </c>
      <c r="AR53" s="5">
        <f t="shared" ca="1" si="10"/>
        <v>2442.5</v>
      </c>
      <c r="AS53" s="5">
        <f t="shared" ca="1" si="3"/>
        <v>4500.4999999999982</v>
      </c>
      <c r="AT53" s="5">
        <f t="shared" ca="1" si="11"/>
        <v>0</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9</v>
      </c>
      <c r="AH54" s="67">
        <v>53</v>
      </c>
      <c r="AI54" s="67">
        <f t="shared" ca="1" si="4"/>
        <v>5</v>
      </c>
      <c r="AJ54" s="39">
        <f t="shared" ca="1" si="5"/>
        <v>532.70291568163918</v>
      </c>
      <c r="AK54" s="39">
        <f t="shared" ca="1" si="6"/>
        <v>1126.6912529550827</v>
      </c>
      <c r="AL54" s="39">
        <f t="shared" ca="1" si="7"/>
        <v>1659.3941686367218</v>
      </c>
      <c r="AM54" s="39">
        <f t="shared" ca="1" si="8"/>
        <v>2192.0970843183609</v>
      </c>
      <c r="AN54" s="39">
        <f t="shared" ca="1" si="9"/>
        <v>2724.8</v>
      </c>
      <c r="AO54" s="39">
        <f t="shared" ca="1" si="0"/>
        <v>3257.5029156816395</v>
      </c>
      <c r="AP54" s="39">
        <f t="shared" ca="1" si="1"/>
        <v>3790.2058313632788</v>
      </c>
      <c r="AQ54" s="39">
        <f t="shared" ca="1" si="2"/>
        <v>4322.9087470449176</v>
      </c>
      <c r="AR54" s="5">
        <f t="shared" ca="1" si="10"/>
        <v>2442.5</v>
      </c>
      <c r="AS54" s="5">
        <f t="shared" ca="1" si="3"/>
        <v>4500.4999999999982</v>
      </c>
      <c r="AT54" s="5">
        <f t="shared" ca="1" si="11"/>
        <v>0</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88" t="s">
        <v>24</v>
      </c>
      <c r="D6" s="389"/>
    </row>
    <row r="8" spans="1:20" x14ac:dyDescent="0.25">
      <c r="B8" t="s">
        <v>218</v>
      </c>
      <c r="C8" s="210"/>
    </row>
    <row r="10" spans="1:20" x14ac:dyDescent="0.25">
      <c r="B10" s="385" t="s">
        <v>128</v>
      </c>
      <c r="C10" s="385" t="s">
        <v>56</v>
      </c>
      <c r="D10" s="385" t="s">
        <v>1</v>
      </c>
      <c r="E10" s="266" t="str">
        <f ca="1">OFFSET('Control sheet (hide)'!$AA$3,COLUMN(A1)-1,0,1,1)</f>
        <v>Modality 1</v>
      </c>
      <c r="F10" s="266" t="str">
        <f ca="1">OFFSET('Control sheet (hide)'!$AA$3,COLUMN(B1)-1,0,1,1)</f>
        <v>Modality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384" t="s">
        <v>222</v>
      </c>
      <c r="Q10" s="384" t="str">
        <f>"Total "&amp;"("&amp;Setup!$I$17&amp;")"</f>
        <v>Total (Points)</v>
      </c>
      <c r="R10" s="384" t="s">
        <v>111</v>
      </c>
    </row>
    <row r="11" spans="1:20" x14ac:dyDescent="0.25">
      <c r="B11" s="385"/>
      <c r="C11" s="385"/>
      <c r="D11" s="385"/>
      <c r="E11" s="266" t="str">
        <f ca="1">IF(Setup!$I$17&lt;&gt;"Patients",Setup!$I$17&amp;": "&amp;OFFSET('Demand background (hide)'!$BN$6,COLUMN(A1)-1,0,1,1),"")</f>
        <v>Points: 2</v>
      </c>
      <c r="F11" s="266" t="str">
        <f ca="1">IF(Setup!$I$17&lt;&gt;"Patients",Setup!$I$17&amp;": "&amp;OFFSET('Demand background (hide)'!$BN$6,COLUMN(B1)-1,0,1,1),"")</f>
        <v>Points: 0</v>
      </c>
      <c r="G11" s="266" t="str">
        <f ca="1">IF(Setup!$I$17&lt;&gt;"Patients",Setup!$I$17&amp;": "&amp;OFFSET('Demand background (hide)'!$BN$6,COLUMN(C1)-1,0,1,1),"")</f>
        <v>Points: 0</v>
      </c>
      <c r="H11" s="266" t="str">
        <f ca="1">IF(Setup!$I$17&lt;&gt;"Patients",Setup!$I$17&amp;": "&amp;OFFSET('Demand background (hide)'!$BN$6,COLUMN(D1)-1,0,1,1),"")</f>
        <v>Points: 0</v>
      </c>
      <c r="I11" s="266" t="str">
        <f ca="1">IF(Setup!$I$17&lt;&gt;"Patients",Setup!$I$17&amp;": "&amp;OFFSET('Demand background (hide)'!$BN$6,COLUMN(E1)-1,0,1,1),"")</f>
        <v>Points: 0</v>
      </c>
      <c r="J11" s="266" t="str">
        <f ca="1">IF(Setup!$I$17&lt;&gt;"Patients",Setup!$I$17&amp;": "&amp;OFFSET('Demand background (hide)'!$BN$6,COLUMN(F1)-1,0,1,1),"")</f>
        <v>Points: 0</v>
      </c>
      <c r="K11" s="266" t="str">
        <f ca="1">IF(Setup!$I$17&lt;&gt;"Patients",Setup!$I$17&amp;": "&amp;OFFSET('Demand background (hide)'!$BN$6,COLUMN(G1)-1,0,1,1),"")</f>
        <v>Points: 0</v>
      </c>
      <c r="L11" s="266" t="str">
        <f ca="1">IF(Setup!$I$17&lt;&gt;"Patients",Setup!$I$17&amp;": "&amp;OFFSET('Demand background (hide)'!$BN$6,COLUMN(H1)-1,0,1,1),"")</f>
        <v>Points: 0</v>
      </c>
      <c r="M11" s="266" t="str">
        <f ca="1">IF(Setup!$I$17&lt;&gt;"Patients",Setup!$I$17&amp;": "&amp;OFFSET('Demand background (hide)'!$BN$6,COLUMN(I1)-1,0,1,1),"")</f>
        <v>Points: 0</v>
      </c>
      <c r="N11" s="266" t="str">
        <f ca="1">IF(Setup!$I$17&lt;&gt;"Patients",Setup!$I$17&amp;": "&amp;OFFSET('Demand background (hide)'!$BN$6,COLUMN(J1)-1,0,1,1),"")</f>
        <v>Points: 0</v>
      </c>
      <c r="O11" s="6" t="str">
        <f ca="1">IF(Setup!$I$17&lt;&gt;"Patients",Setup!$I$17&amp;": "&amp;TEXT(OFFSET('Demand background (hide)'!$BN$6,COLUMN(K1)-1,0,1,1),"#"),"")</f>
        <v>Points: 2</v>
      </c>
      <c r="P11" s="384"/>
      <c r="Q11" s="384"/>
      <c r="R11" s="384"/>
    </row>
    <row r="12" spans="1:20" x14ac:dyDescent="0.25">
      <c r="B12" s="385"/>
      <c r="C12" s="385"/>
      <c r="D12" s="385"/>
      <c r="E12" s="6"/>
      <c r="F12" s="6"/>
      <c r="G12" s="6"/>
      <c r="H12" s="6"/>
      <c r="I12" s="6"/>
      <c r="J12" s="6"/>
      <c r="K12" s="6"/>
      <c r="L12" s="6"/>
      <c r="M12" s="6"/>
      <c r="N12" s="6"/>
      <c r="O12" s="6"/>
      <c r="P12" s="384"/>
      <c r="Q12" s="384"/>
      <c r="R12" s="384"/>
    </row>
    <row r="13" spans="1:20" x14ac:dyDescent="0.25">
      <c r="A13">
        <f>1</f>
        <v>1</v>
      </c>
      <c r="B13" s="267">
        <f>IF(C8&lt;&gt;"",YEAR(C8),1)</f>
        <v>1</v>
      </c>
      <c r="C13" s="268">
        <f>IF($C$8&lt;&gt;"",WEEKNUM($C$8,21),1)</f>
        <v>1</v>
      </c>
      <c r="D13" s="328" t="str">
        <f>IF($C$8&lt;&gt;"",C8,"")</f>
        <v/>
      </c>
      <c r="E13" s="152"/>
      <c r="F13" s="152"/>
      <c r="G13" s="152"/>
      <c r="H13" s="152"/>
      <c r="I13" s="152"/>
      <c r="J13" s="152"/>
      <c r="K13" s="152"/>
      <c r="L13" s="152"/>
      <c r="M13" s="152"/>
      <c r="N13" s="152"/>
      <c r="O13" s="152"/>
      <c r="P13" s="268" t="str">
        <f ca="1">IF('Planned background (hide)'!B2&lt;Num_Modalities,IF($C$6="Overall",O13,SUM(OFFSET($E13,0,0,1,Num_Modalities))),"")</f>
        <v/>
      </c>
      <c r="Q13" s="272" t="str">
        <f ca="1">IF(AND('Planned background (hide)'!B2&lt;Num_Modalities,R13&lt;&gt;"Yes"),'Planned background (hide)'!S3,"")</f>
        <v/>
      </c>
      <c r="R13" s="152"/>
      <c r="T13" s="36"/>
    </row>
    <row r="14" spans="1:20" x14ac:dyDescent="0.25">
      <c r="A14" t="str">
        <f ca="1">IF(P14&lt;&gt;"",ROW(A2),"")</f>
        <v/>
      </c>
      <c r="B14" s="267" t="str">
        <f t="shared" ref="B14:B45" ca="1" si="0">IF(A14&lt;=PMaxRows,IF($C$8&lt;&gt;"",IF(YEAR(D14)&lt;&gt;YEAR(D13),YEAR(D14)," "),IF(C14&lt;&gt;1,"",OFFSET(B14,-C13,0,1,1)+1))," ")</f>
        <v xml:space="preserve"> </v>
      </c>
      <c r="C14" s="268" t="str">
        <f t="shared" ref="C14:C45" ca="1" si="1">IF(ROW(A2)&lt;=PMaxRows,IF($C$8&lt;&gt;"",WEEKNUM(D14,21),IF(MOD((C13+1),53)&gt;0,MOD((C13+1),53),53)),"")</f>
        <v/>
      </c>
      <c r="D14" s="328" t="str">
        <f t="shared" ref="D14:D45" ca="1" si="2">IF(ROW(A2)&lt;=PMaxRows,IF($C$8&lt;&gt;"",D13+7,""),"")</f>
        <v/>
      </c>
      <c r="E14" s="152"/>
      <c r="F14" s="152"/>
      <c r="G14" s="152"/>
      <c r="H14" s="152"/>
      <c r="I14" s="152"/>
      <c r="J14" s="152"/>
      <c r="K14" s="152"/>
      <c r="L14" s="152"/>
      <c r="M14" s="152"/>
      <c r="N14" s="152"/>
      <c r="O14" s="152"/>
      <c r="P14" s="268" t="str">
        <f ca="1">IF('Planned background (hide)'!B3&lt;Num_Modalities,IF($C$6="Overall",O14,SUM(OFFSET($E14,0,0,1,Num_Modalities))),"")</f>
        <v/>
      </c>
      <c r="Q14" s="272" t="str">
        <f ca="1">IF(AND('Planned background (hide)'!B3&lt;Num_Modalities,R14&lt;&gt;"Yes"),'Planned background (hide)'!S4,"")</f>
        <v/>
      </c>
      <c r="R14" s="152"/>
      <c r="T14" s="36"/>
    </row>
    <row r="15" spans="1:20" x14ac:dyDescent="0.25">
      <c r="A15" s="67" t="str">
        <f t="shared" ref="A15:A64" ca="1" si="3">IF(P15&lt;&gt;"",ROW(A3),"")</f>
        <v/>
      </c>
      <c r="B15" s="267" t="str">
        <f t="shared" ca="1" si="0"/>
        <v xml:space="preserve"> </v>
      </c>
      <c r="C15" s="268" t="str">
        <f t="shared" ca="1" si="1"/>
        <v/>
      </c>
      <c r="D15" s="328" t="str">
        <f t="shared" ca="1" si="2"/>
        <v/>
      </c>
      <c r="E15" s="152"/>
      <c r="F15" s="152"/>
      <c r="G15" s="152"/>
      <c r="H15" s="152"/>
      <c r="I15" s="152"/>
      <c r="J15" s="152"/>
      <c r="K15" s="152"/>
      <c r="L15" s="152"/>
      <c r="M15" s="152"/>
      <c r="N15" s="152"/>
      <c r="O15" s="152"/>
      <c r="P15" s="268" t="str">
        <f ca="1">IF('Planned background (hide)'!B4&lt;Num_Modalities,IF($C$6="Overall",O15,SUM(OFFSET($E15,0,0,1,Num_Modalities))),"")</f>
        <v/>
      </c>
      <c r="Q15" s="272" t="str">
        <f ca="1">IF(AND('Planned background (hide)'!B4&lt;Num_Modalities,R15&lt;&gt;"Yes"),'Planned background (hide)'!S5,"")</f>
        <v/>
      </c>
      <c r="R15" s="152"/>
      <c r="T15" s="36"/>
    </row>
    <row r="16" spans="1:20" x14ac:dyDescent="0.25">
      <c r="A16" s="67" t="str">
        <f t="shared" ca="1" si="3"/>
        <v/>
      </c>
      <c r="B16" s="267" t="str">
        <f t="shared" ca="1" si="0"/>
        <v xml:space="preserve"> </v>
      </c>
      <c r="C16" s="268" t="str">
        <f t="shared" ca="1" si="1"/>
        <v/>
      </c>
      <c r="D16" s="328" t="str">
        <f t="shared" ca="1" si="2"/>
        <v/>
      </c>
      <c r="E16" s="152"/>
      <c r="F16" s="152"/>
      <c r="G16" s="152"/>
      <c r="H16" s="152"/>
      <c r="I16" s="152"/>
      <c r="J16" s="152"/>
      <c r="K16" s="152"/>
      <c r="L16" s="152"/>
      <c r="M16" s="152"/>
      <c r="N16" s="152"/>
      <c r="O16" s="152"/>
      <c r="P16" s="268" t="str">
        <f ca="1">IF('Planned background (hide)'!B5&lt;Num_Modalities,IF($C$6="Overall",O16,SUM(OFFSET($E16,0,0,1,Num_Modalities))),"")</f>
        <v/>
      </c>
      <c r="Q16" s="272" t="str">
        <f ca="1">IF(AND('Planned background (hide)'!B5&lt;Num_Modalities,R16&lt;&gt;"Yes"),'Planned background (hide)'!S6,"")</f>
        <v/>
      </c>
      <c r="R16" s="152"/>
      <c r="T16" s="36"/>
    </row>
    <row r="17" spans="1:20" x14ac:dyDescent="0.25">
      <c r="A17" s="67" t="str">
        <f t="shared" ca="1" si="3"/>
        <v/>
      </c>
      <c r="B17" s="267" t="str">
        <f t="shared" ca="1" si="0"/>
        <v xml:space="preserve"> </v>
      </c>
      <c r="C17" s="268" t="str">
        <f t="shared" ca="1" si="1"/>
        <v/>
      </c>
      <c r="D17" s="328" t="str">
        <f t="shared" ca="1" si="2"/>
        <v/>
      </c>
      <c r="E17" s="152"/>
      <c r="F17" s="152"/>
      <c r="G17" s="152"/>
      <c r="H17" s="152"/>
      <c r="I17" s="152"/>
      <c r="J17" s="152"/>
      <c r="K17" s="152"/>
      <c r="L17" s="152"/>
      <c r="M17" s="152"/>
      <c r="N17" s="152"/>
      <c r="O17" s="152"/>
      <c r="P17" s="268" t="str">
        <f ca="1">IF('Planned background (hide)'!B6&lt;Num_Modalities,IF($C$6="Overall",O17,SUM(OFFSET($E17,0,0,1,Num_Modalities))),"")</f>
        <v/>
      </c>
      <c r="Q17" s="272" t="str">
        <f ca="1">IF(AND('Planned background (hide)'!B6&lt;Num_Modalities,R17&lt;&gt;"Yes"),'Planned background (hide)'!S7,"")</f>
        <v/>
      </c>
      <c r="R17" s="152"/>
      <c r="T17" s="36"/>
    </row>
    <row r="18" spans="1:20" x14ac:dyDescent="0.25">
      <c r="A18" s="67" t="str">
        <f t="shared" ca="1" si="3"/>
        <v/>
      </c>
      <c r="B18" s="267" t="str">
        <f t="shared" ca="1" si="0"/>
        <v xml:space="preserve"> </v>
      </c>
      <c r="C18" s="268" t="str">
        <f t="shared" ca="1" si="1"/>
        <v/>
      </c>
      <c r="D18" s="328" t="str">
        <f t="shared" ca="1" si="2"/>
        <v/>
      </c>
      <c r="E18" s="152"/>
      <c r="F18" s="152"/>
      <c r="G18" s="152"/>
      <c r="H18" s="152"/>
      <c r="I18" s="152"/>
      <c r="J18" s="152"/>
      <c r="K18" s="152"/>
      <c r="L18" s="152"/>
      <c r="M18" s="152"/>
      <c r="N18" s="152"/>
      <c r="O18" s="152"/>
      <c r="P18" s="268" t="str">
        <f ca="1">IF('Planned background (hide)'!B7&lt;Num_Modalities,IF($C$6="Overall",O18,SUM(OFFSET($E18,0,0,1,Num_Modalities))),"")</f>
        <v/>
      </c>
      <c r="Q18" s="272" t="str">
        <f ca="1">IF(AND('Planned background (hide)'!B7&lt;Num_Modalities,R18&lt;&gt;"Yes"),'Planned background (hide)'!S8,"")</f>
        <v/>
      </c>
      <c r="R18" s="152"/>
      <c r="T18" s="36"/>
    </row>
    <row r="19" spans="1:20" x14ac:dyDescent="0.25">
      <c r="A19" s="67" t="str">
        <f t="shared" ca="1" si="3"/>
        <v/>
      </c>
      <c r="B19" s="267" t="str">
        <f t="shared" ca="1" si="0"/>
        <v xml:space="preserve"> </v>
      </c>
      <c r="C19" s="268" t="str">
        <f t="shared" ca="1" si="1"/>
        <v/>
      </c>
      <c r="D19" s="328" t="str">
        <f t="shared" ca="1" si="2"/>
        <v/>
      </c>
      <c r="E19" s="152"/>
      <c r="F19" s="152"/>
      <c r="G19" s="152"/>
      <c r="H19" s="152"/>
      <c r="I19" s="152"/>
      <c r="J19" s="152"/>
      <c r="K19" s="152"/>
      <c r="L19" s="152"/>
      <c r="M19" s="152"/>
      <c r="N19" s="152"/>
      <c r="O19" s="152"/>
      <c r="P19" s="268" t="str">
        <f ca="1">IF('Planned background (hide)'!B8&lt;Num_Modalities,IF($C$6="Overall",O19,SUM(OFFSET($E19,0,0,1,Num_Modalities))),"")</f>
        <v/>
      </c>
      <c r="Q19" s="272" t="str">
        <f ca="1">IF(AND('Planned background (hide)'!B8&lt;Num_Modalities,R19&lt;&gt;"Yes"),'Planned background (hide)'!S9,"")</f>
        <v/>
      </c>
      <c r="R19" s="152"/>
      <c r="T19" s="36"/>
    </row>
    <row r="20" spans="1:20" x14ac:dyDescent="0.25">
      <c r="A20" s="67" t="str">
        <f t="shared" ca="1" si="3"/>
        <v/>
      </c>
      <c r="B20" s="267" t="str">
        <f t="shared" ca="1" si="0"/>
        <v xml:space="preserve"> </v>
      </c>
      <c r="C20" s="268" t="str">
        <f t="shared" ca="1" si="1"/>
        <v/>
      </c>
      <c r="D20" s="328"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8"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8"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8"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8"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8"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8"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8"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8"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8"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8"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8"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8"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8"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8"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8"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8"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8"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8"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8"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8"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8"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8"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8"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8"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8"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8"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8"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8"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8"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8"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8"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8"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8"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8"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8"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8"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8"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8"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8"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8"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8"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8"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8"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8"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a0Jed4nzKYWpovHh3l2mEgowEdnCGZBjvDjWfnWs3le6OeOJ4R/RvGdMTIc8Szsoo2Y85e89G5NmF9XU4st40A==" saltValue="wSLjXKH/CBFKrq16TXFObw=="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A14" sqref="A14"/>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5" t="s">
        <v>391</v>
      </c>
      <c r="C2" s="105"/>
      <c r="D2" s="72"/>
      <c r="E2" s="72"/>
      <c r="F2" s="72"/>
      <c r="G2" s="72"/>
      <c r="H2" s="72"/>
      <c r="I2" s="72"/>
      <c r="J2" s="72"/>
      <c r="K2" s="72"/>
      <c r="L2" s="72"/>
      <c r="M2" s="72"/>
      <c r="N2" s="72"/>
      <c r="O2" s="72"/>
      <c r="P2" s="72"/>
      <c r="Q2" s="72"/>
      <c r="R2" s="72"/>
      <c r="S2" s="72"/>
      <c r="T2" s="72"/>
      <c r="U2" s="72"/>
    </row>
    <row r="3" spans="1:22" s="52" customFormat="1" x14ac:dyDescent="0.25">
      <c r="B3" s="72" t="s">
        <v>474</v>
      </c>
      <c r="C3" s="339">
        <f>'Demand adjustments for Covid'!$F$12</f>
        <v>43955</v>
      </c>
      <c r="D3" s="72"/>
      <c r="F3" s="72"/>
      <c r="G3" s="72"/>
      <c r="H3" s="72"/>
      <c r="I3" s="72"/>
      <c r="J3" s="72"/>
      <c r="K3" s="72"/>
      <c r="L3" s="72"/>
      <c r="M3" s="72"/>
      <c r="N3" s="72"/>
      <c r="O3" s="72"/>
      <c r="P3" s="72"/>
      <c r="Q3" s="72"/>
      <c r="R3" s="72"/>
      <c r="S3" s="72"/>
      <c r="T3" s="72"/>
      <c r="U3" s="72"/>
    </row>
    <row r="4" spans="1:22" x14ac:dyDescent="0.25">
      <c r="B4" t="s">
        <v>437</v>
      </c>
      <c r="C4" s="269">
        <f>IF(C3="","",DATE(YEAR(C3)+1,MONTH(C3),DAY(C3))-1)</f>
        <v>44319</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6" t="s">
        <v>438</v>
      </c>
      <c r="C6" s="116"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7" t="s">
        <v>469</v>
      </c>
      <c r="C9" s="117"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8" t="s">
        <v>490</v>
      </c>
      <c r="C11" s="169" t="s">
        <v>23</v>
      </c>
      <c r="D11" s="226" t="str">
        <f ca="1">"On aggregate, 1 patient = "&amp;TEXT('Demand background (hide)'!$BN$16,"#.#")&amp;" "&amp;Setup!$I$17</f>
        <v>On aggregate, 1 patient = 2. Points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0" t="s">
        <v>440</v>
      </c>
      <c r="C13" s="390"/>
      <c r="D13" s="73"/>
      <c r="E13" s="73"/>
      <c r="F13" s="73"/>
      <c r="G13" s="73"/>
      <c r="H13" s="73"/>
      <c r="I13" s="73"/>
      <c r="J13" s="72"/>
      <c r="K13" s="72"/>
      <c r="L13" s="72"/>
      <c r="M13" s="72"/>
      <c r="N13" s="72"/>
      <c r="O13" s="72"/>
      <c r="P13" s="72"/>
      <c r="Q13" s="72"/>
      <c r="R13" s="72"/>
      <c r="S13" s="72"/>
      <c r="T13" s="72"/>
      <c r="U13" s="72"/>
    </row>
    <row r="14" spans="1:22" x14ac:dyDescent="0.25">
      <c r="B14" s="118" t="s">
        <v>434</v>
      </c>
      <c r="C14" s="75"/>
      <c r="D14" s="72"/>
      <c r="E14" s="72"/>
      <c r="F14" s="72"/>
      <c r="G14" s="72"/>
      <c r="H14" s="72"/>
      <c r="I14" s="72"/>
      <c r="J14" s="67"/>
      <c r="K14" s="67"/>
      <c r="L14" s="67"/>
      <c r="M14" s="67"/>
      <c r="N14" s="119" t="s">
        <v>436</v>
      </c>
      <c r="O14" s="72"/>
      <c r="P14" s="72"/>
      <c r="Q14" s="72"/>
      <c r="R14" s="72"/>
      <c r="S14" s="72"/>
      <c r="T14" s="72"/>
      <c r="U14" s="72"/>
    </row>
    <row r="15" spans="1:22" x14ac:dyDescent="0.25">
      <c r="A15" s="226"/>
      <c r="B15" s="72"/>
      <c r="C15" s="72"/>
      <c r="D15" s="72"/>
      <c r="E15" s="72"/>
      <c r="F15" s="72"/>
      <c r="G15" s="71"/>
      <c r="H15" s="225">
        <f>SUM(H17:H116)</f>
        <v>210000</v>
      </c>
      <c r="I15" s="225">
        <f>H15/52</f>
        <v>4038.4615384615386</v>
      </c>
      <c r="J15" s="67"/>
      <c r="K15" s="67"/>
      <c r="L15" s="67"/>
      <c r="M15" s="67"/>
      <c r="N15" s="72"/>
      <c r="O15" s="72"/>
      <c r="P15" s="72"/>
      <c r="Q15" s="72"/>
      <c r="R15" s="119" t="s">
        <v>255</v>
      </c>
      <c r="S15" s="119"/>
      <c r="T15" s="224">
        <f>SUM(T17:T116)</f>
        <v>0</v>
      </c>
      <c r="U15" s="224">
        <f>SUM(U17:U116)</f>
        <v>0</v>
      </c>
    </row>
    <row r="16" spans="1:22" ht="44.25" customHeight="1" x14ac:dyDescent="0.25">
      <c r="A16" s="293">
        <f>MAX(A17:A116)</f>
        <v>1</v>
      </c>
      <c r="B16" s="295" t="s">
        <v>512</v>
      </c>
      <c r="C16" s="295" t="s">
        <v>513</v>
      </c>
      <c r="D16" s="295" t="s">
        <v>514</v>
      </c>
      <c r="E16" s="295" t="s">
        <v>253</v>
      </c>
      <c r="F16" s="295" t="str">
        <f>C11&amp;" Per Clinic"</f>
        <v>Points Per Clinic</v>
      </c>
      <c r="G16" s="295" t="s">
        <v>441</v>
      </c>
      <c r="H16" s="295" t="str">
        <f>"Total 
("&amp;$C$11&amp;")"</f>
        <v>Total 
(Points)</v>
      </c>
      <c r="I16" s="295" t="s">
        <v>254</v>
      </c>
      <c r="J16" s="67"/>
      <c r="K16" s="67"/>
      <c r="L16" s="67"/>
      <c r="M16" s="294">
        <f>MAX(M17:M116)</f>
        <v>1</v>
      </c>
      <c r="N16" s="296" t="s">
        <v>512</v>
      </c>
      <c r="O16" s="296" t="s">
        <v>513</v>
      </c>
      <c r="P16" s="296" t="s">
        <v>514</v>
      </c>
      <c r="Q16" s="296" t="s">
        <v>253</v>
      </c>
      <c r="R16" s="296" t="str">
        <f>C11&amp;" Per Clinic"</f>
        <v>Points Per Clinic</v>
      </c>
      <c r="S16" s="296" t="s">
        <v>441</v>
      </c>
      <c r="T16" s="296" t="str">
        <f>"Total 
("&amp;C11&amp;")"</f>
        <v>Total 
(Points)</v>
      </c>
      <c r="U16" s="296" t="s">
        <v>254</v>
      </c>
      <c r="V16" s="313" t="s">
        <v>1114</v>
      </c>
    </row>
    <row r="17" spans="1:22" x14ac:dyDescent="0.25">
      <c r="A17" s="293">
        <f>IF(B17&lt;&gt;"",ROW(A1),0)</f>
        <v>1</v>
      </c>
      <c r="B17" s="163" t="s">
        <v>1206</v>
      </c>
      <c r="C17" s="163"/>
      <c r="D17" s="163"/>
      <c r="E17" s="175">
        <v>42</v>
      </c>
      <c r="F17" s="175">
        <v>5000</v>
      </c>
      <c r="G17" s="130"/>
      <c r="H17" s="222">
        <f>IF(ROW(A1)&lt;=$A$16,F17*E17,"")</f>
        <v>210000</v>
      </c>
      <c r="I17" s="300">
        <f>IFERROR(H17/52,"")</f>
        <v>4038.4615384615386</v>
      </c>
      <c r="J17" s="67"/>
      <c r="K17" s="67"/>
      <c r="L17" s="67"/>
      <c r="M17" s="294">
        <f>IF(N17&lt;&gt;"",ROW(A1),0)</f>
        <v>1</v>
      </c>
      <c r="N17" s="176" t="s">
        <v>1207</v>
      </c>
      <c r="O17" s="176"/>
      <c r="P17" s="176"/>
      <c r="Q17" s="177"/>
      <c r="R17" s="177"/>
      <c r="S17" s="131"/>
      <c r="T17" s="223">
        <f>IF(ROW(A1)&lt;=$M$16,R17*Q17,"")</f>
        <v>0</v>
      </c>
      <c r="U17" s="301">
        <f>IFERROR(T17/52,"")</f>
        <v>0</v>
      </c>
      <c r="V17" s="322"/>
    </row>
    <row r="18" spans="1:22" x14ac:dyDescent="0.25">
      <c r="A18" s="293">
        <f t="shared" ref="A18:A81" si="0">IF(B18&lt;&gt;"",ROW(A2),0)</f>
        <v>0</v>
      </c>
      <c r="B18" s="163"/>
      <c r="C18" s="163"/>
      <c r="D18" s="163"/>
      <c r="E18" s="175"/>
      <c r="F18" s="175"/>
      <c r="G18" s="130"/>
      <c r="H18" s="222" t="str">
        <f t="shared" ref="H18:H81" si="1">IF(ROW(A2)&lt;=$A$16,F18*E18,"")</f>
        <v/>
      </c>
      <c r="I18" s="300" t="str">
        <f t="shared" ref="I18:I81" si="2">IFERROR(H18/52,"")</f>
        <v/>
      </c>
      <c r="J18" s="67"/>
      <c r="K18" s="67"/>
      <c r="L18" s="67"/>
      <c r="M18" s="294">
        <f t="shared" ref="M18:M81" si="3">IF(N18&lt;&gt;"",ROW(A2),0)</f>
        <v>0</v>
      </c>
      <c r="N18" s="176"/>
      <c r="O18" s="163"/>
      <c r="P18" s="163"/>
      <c r="Q18" s="175"/>
      <c r="R18" s="175"/>
      <c r="S18" s="130"/>
      <c r="T18" s="223" t="str">
        <f t="shared" ref="T18:T81" si="4">IF(ROW(A2)&lt;=$M$16,R18*Q18,"")</f>
        <v/>
      </c>
      <c r="U18" s="300" t="str">
        <f t="shared" ref="U18:U81" si="5">IFERROR(T18/52,"")</f>
        <v/>
      </c>
      <c r="V18" s="322"/>
    </row>
    <row r="19" spans="1:22" x14ac:dyDescent="0.25">
      <c r="A19" s="293">
        <f t="shared" si="0"/>
        <v>0</v>
      </c>
      <c r="B19" s="163"/>
      <c r="C19" s="163"/>
      <c r="D19" s="163"/>
      <c r="E19" s="175"/>
      <c r="F19" s="175"/>
      <c r="G19" s="130"/>
      <c r="H19" s="222" t="str">
        <f t="shared" si="1"/>
        <v/>
      </c>
      <c r="I19" s="300" t="str">
        <f t="shared" si="2"/>
        <v/>
      </c>
      <c r="J19" s="67"/>
      <c r="K19" s="67"/>
      <c r="L19" s="67"/>
      <c r="M19" s="294">
        <f t="shared" si="3"/>
        <v>0</v>
      </c>
      <c r="N19" s="176"/>
      <c r="O19" s="163"/>
      <c r="P19" s="163"/>
      <c r="Q19" s="175"/>
      <c r="R19" s="175"/>
      <c r="S19" s="130"/>
      <c r="T19" s="223" t="str">
        <f t="shared" si="4"/>
        <v/>
      </c>
      <c r="U19" s="222" t="str">
        <f t="shared" si="5"/>
        <v/>
      </c>
      <c r="V19" s="323"/>
    </row>
    <row r="20" spans="1:22" x14ac:dyDescent="0.25">
      <c r="A20" s="293">
        <f t="shared" si="0"/>
        <v>0</v>
      </c>
      <c r="B20" s="163"/>
      <c r="C20" s="163"/>
      <c r="D20" s="163"/>
      <c r="E20" s="175"/>
      <c r="F20" s="175"/>
      <c r="G20" s="130"/>
      <c r="H20" s="222" t="str">
        <f t="shared" si="1"/>
        <v/>
      </c>
      <c r="I20" s="300" t="str">
        <f t="shared" si="2"/>
        <v/>
      </c>
      <c r="J20" s="67"/>
      <c r="K20" s="67"/>
      <c r="L20" s="67"/>
      <c r="M20" s="294">
        <f t="shared" si="3"/>
        <v>0</v>
      </c>
      <c r="N20" s="176"/>
      <c r="O20" s="163"/>
      <c r="P20" s="163"/>
      <c r="Q20" s="175"/>
      <c r="R20" s="175"/>
      <c r="S20" s="130"/>
      <c r="T20" s="223" t="str">
        <f t="shared" si="4"/>
        <v/>
      </c>
      <c r="U20" s="222" t="str">
        <f t="shared" si="5"/>
        <v/>
      </c>
      <c r="V20" s="323"/>
    </row>
    <row r="21" spans="1:22" x14ac:dyDescent="0.25">
      <c r="A21" s="293">
        <f t="shared" si="0"/>
        <v>0</v>
      </c>
      <c r="B21" s="163"/>
      <c r="C21" s="163"/>
      <c r="D21" s="163"/>
      <c r="E21" s="175"/>
      <c r="F21" s="175"/>
      <c r="G21" s="130"/>
      <c r="H21" s="222" t="str">
        <f t="shared" si="1"/>
        <v/>
      </c>
      <c r="I21" s="222" t="str">
        <f t="shared" si="2"/>
        <v/>
      </c>
      <c r="J21" s="67"/>
      <c r="K21" s="67"/>
      <c r="L21" s="67"/>
      <c r="M21" s="294">
        <f t="shared" si="3"/>
        <v>0</v>
      </c>
      <c r="N21" s="176"/>
      <c r="O21" s="163"/>
      <c r="P21" s="163"/>
      <c r="Q21" s="175"/>
      <c r="R21" s="175"/>
      <c r="S21" s="130"/>
      <c r="T21" s="223" t="str">
        <f t="shared" si="4"/>
        <v/>
      </c>
      <c r="U21" s="222" t="str">
        <f t="shared" si="5"/>
        <v/>
      </c>
      <c r="V21" s="323"/>
    </row>
    <row r="22" spans="1:22" x14ac:dyDescent="0.25">
      <c r="A22" s="293">
        <f t="shared" si="0"/>
        <v>0</v>
      </c>
      <c r="B22" s="163"/>
      <c r="C22" s="163"/>
      <c r="D22" s="163"/>
      <c r="E22" s="175"/>
      <c r="F22" s="175"/>
      <c r="G22" s="130"/>
      <c r="H22" s="222" t="str">
        <f t="shared" si="1"/>
        <v/>
      </c>
      <c r="I22" s="222" t="str">
        <f t="shared" si="2"/>
        <v/>
      </c>
      <c r="J22" s="67"/>
      <c r="K22" s="67"/>
      <c r="L22" s="67"/>
      <c r="M22" s="294">
        <f t="shared" si="3"/>
        <v>0</v>
      </c>
      <c r="N22" s="176"/>
      <c r="O22" s="163"/>
      <c r="P22" s="163"/>
      <c r="Q22" s="175"/>
      <c r="R22" s="175"/>
      <c r="S22" s="130"/>
      <c r="T22" s="223" t="str">
        <f t="shared" si="4"/>
        <v/>
      </c>
      <c r="U22" s="222" t="str">
        <f t="shared" si="5"/>
        <v/>
      </c>
      <c r="V22" s="323"/>
    </row>
    <row r="23" spans="1:22" x14ac:dyDescent="0.25">
      <c r="A23" s="293">
        <f t="shared" si="0"/>
        <v>0</v>
      </c>
      <c r="B23" s="163"/>
      <c r="C23" s="163"/>
      <c r="D23" s="163"/>
      <c r="E23" s="175"/>
      <c r="F23" s="175"/>
      <c r="G23" s="130"/>
      <c r="H23" s="222" t="str">
        <f t="shared" si="1"/>
        <v/>
      </c>
      <c r="I23" s="222" t="str">
        <f t="shared" si="2"/>
        <v/>
      </c>
      <c r="J23" s="67"/>
      <c r="K23" s="67"/>
      <c r="L23" s="67"/>
      <c r="M23" s="294">
        <f t="shared" si="3"/>
        <v>0</v>
      </c>
      <c r="N23" s="176"/>
      <c r="O23" s="163"/>
      <c r="P23" s="163"/>
      <c r="Q23" s="175"/>
      <c r="R23" s="175"/>
      <c r="S23" s="130"/>
      <c r="T23" s="223" t="str">
        <f t="shared" si="4"/>
        <v/>
      </c>
      <c r="U23" s="222" t="str">
        <f t="shared" si="5"/>
        <v/>
      </c>
      <c r="V23" s="323"/>
    </row>
    <row r="24" spans="1:22" x14ac:dyDescent="0.25">
      <c r="A24" s="293">
        <f t="shared" si="0"/>
        <v>0</v>
      </c>
      <c r="B24" s="163"/>
      <c r="C24" s="163"/>
      <c r="D24" s="163"/>
      <c r="E24" s="175"/>
      <c r="F24" s="175"/>
      <c r="G24" s="130"/>
      <c r="H24" s="222" t="str">
        <f t="shared" si="1"/>
        <v/>
      </c>
      <c r="I24" s="222" t="str">
        <f t="shared" si="2"/>
        <v/>
      </c>
      <c r="J24" s="67"/>
      <c r="K24" s="67"/>
      <c r="L24" s="67"/>
      <c r="M24" s="294">
        <f t="shared" si="3"/>
        <v>0</v>
      </c>
      <c r="N24" s="176"/>
      <c r="O24" s="163"/>
      <c r="P24" s="163"/>
      <c r="Q24" s="175"/>
      <c r="R24" s="175"/>
      <c r="S24" s="130"/>
      <c r="T24" s="223" t="str">
        <f t="shared" si="4"/>
        <v/>
      </c>
      <c r="U24" s="222" t="str">
        <f t="shared" si="5"/>
        <v/>
      </c>
      <c r="V24" s="323"/>
    </row>
    <row r="25" spans="1:22" x14ac:dyDescent="0.25">
      <c r="A25" s="293">
        <f t="shared" si="0"/>
        <v>0</v>
      </c>
      <c r="B25" s="163"/>
      <c r="C25" s="163"/>
      <c r="D25" s="163"/>
      <c r="E25" s="175"/>
      <c r="F25" s="175"/>
      <c r="G25" s="130"/>
      <c r="H25" s="222" t="str">
        <f t="shared" si="1"/>
        <v/>
      </c>
      <c r="I25" s="222" t="str">
        <f t="shared" si="2"/>
        <v/>
      </c>
      <c r="J25" s="67"/>
      <c r="K25" s="67"/>
      <c r="L25" s="67"/>
      <c r="M25" s="294">
        <f t="shared" si="3"/>
        <v>0</v>
      </c>
      <c r="N25" s="176"/>
      <c r="O25" s="163"/>
      <c r="P25" s="163"/>
      <c r="Q25" s="175"/>
      <c r="R25" s="175"/>
      <c r="S25" s="130"/>
      <c r="T25" s="223" t="str">
        <f t="shared" si="4"/>
        <v/>
      </c>
      <c r="U25" s="222" t="str">
        <f t="shared" si="5"/>
        <v/>
      </c>
      <c r="V25" s="323"/>
    </row>
    <row r="26" spans="1:22" x14ac:dyDescent="0.25">
      <c r="A26" s="293">
        <f t="shared" si="0"/>
        <v>0</v>
      </c>
      <c r="B26" s="163"/>
      <c r="C26" s="163"/>
      <c r="D26" s="163"/>
      <c r="E26" s="175"/>
      <c r="F26" s="175"/>
      <c r="G26" s="130"/>
      <c r="H26" s="222" t="str">
        <f t="shared" si="1"/>
        <v/>
      </c>
      <c r="I26" s="222" t="str">
        <f t="shared" si="2"/>
        <v/>
      </c>
      <c r="J26" s="67"/>
      <c r="K26" s="67"/>
      <c r="L26" s="67"/>
      <c r="M26" s="294">
        <f t="shared" si="3"/>
        <v>0</v>
      </c>
      <c r="N26" s="176"/>
      <c r="O26" s="163"/>
      <c r="P26" s="163"/>
      <c r="Q26" s="175"/>
      <c r="R26" s="175"/>
      <c r="S26" s="130"/>
      <c r="T26" s="223" t="str">
        <f t="shared" si="4"/>
        <v/>
      </c>
      <c r="U26" s="222" t="str">
        <f t="shared" si="5"/>
        <v/>
      </c>
      <c r="V26" s="323"/>
    </row>
    <row r="27" spans="1:22" x14ac:dyDescent="0.25">
      <c r="A27" s="293">
        <f t="shared" si="0"/>
        <v>0</v>
      </c>
      <c r="B27" s="163"/>
      <c r="C27" s="163"/>
      <c r="D27" s="163"/>
      <c r="E27" s="175"/>
      <c r="F27" s="175"/>
      <c r="G27" s="130"/>
      <c r="H27" s="222" t="str">
        <f t="shared" si="1"/>
        <v/>
      </c>
      <c r="I27" s="222" t="str">
        <f t="shared" si="2"/>
        <v/>
      </c>
      <c r="J27" s="67"/>
      <c r="K27" s="67"/>
      <c r="L27" s="67"/>
      <c r="M27" s="294">
        <f t="shared" si="3"/>
        <v>0</v>
      </c>
      <c r="N27" s="176"/>
      <c r="O27" s="163"/>
      <c r="P27" s="163"/>
      <c r="Q27" s="175"/>
      <c r="R27" s="175"/>
      <c r="S27" s="130"/>
      <c r="T27" s="223" t="str">
        <f t="shared" si="4"/>
        <v/>
      </c>
      <c r="U27" s="222" t="str">
        <f t="shared" si="5"/>
        <v/>
      </c>
      <c r="V27" s="323"/>
    </row>
    <row r="28" spans="1:22" x14ac:dyDescent="0.25">
      <c r="A28" s="293">
        <f t="shared" si="0"/>
        <v>0</v>
      </c>
      <c r="B28" s="163"/>
      <c r="C28" s="163"/>
      <c r="D28" s="163"/>
      <c r="E28" s="175"/>
      <c r="F28" s="175"/>
      <c r="G28" s="130"/>
      <c r="H28" s="222" t="str">
        <f t="shared" si="1"/>
        <v/>
      </c>
      <c r="I28" s="222" t="str">
        <f t="shared" si="2"/>
        <v/>
      </c>
      <c r="J28" s="67"/>
      <c r="K28" s="67"/>
      <c r="L28" s="67"/>
      <c r="M28" s="294">
        <f t="shared" si="3"/>
        <v>0</v>
      </c>
      <c r="N28" s="176"/>
      <c r="O28" s="163"/>
      <c r="P28" s="163"/>
      <c r="Q28" s="175"/>
      <c r="R28" s="175"/>
      <c r="S28" s="130"/>
      <c r="T28" s="223" t="str">
        <f t="shared" si="4"/>
        <v/>
      </c>
      <c r="U28" s="222" t="str">
        <f t="shared" si="5"/>
        <v/>
      </c>
      <c r="V28" s="323"/>
    </row>
    <row r="29" spans="1:22" x14ac:dyDescent="0.25">
      <c r="A29" s="293">
        <f t="shared" si="0"/>
        <v>0</v>
      </c>
      <c r="B29" s="163"/>
      <c r="C29" s="163"/>
      <c r="D29" s="163"/>
      <c r="E29" s="175"/>
      <c r="F29" s="175"/>
      <c r="G29" s="130"/>
      <c r="H29" s="222" t="str">
        <f t="shared" si="1"/>
        <v/>
      </c>
      <c r="I29" s="222" t="str">
        <f t="shared" si="2"/>
        <v/>
      </c>
      <c r="J29" s="67"/>
      <c r="K29" s="67"/>
      <c r="L29" s="67"/>
      <c r="M29" s="294">
        <f t="shared" si="3"/>
        <v>0</v>
      </c>
      <c r="N29" s="176"/>
      <c r="O29" s="163"/>
      <c r="P29" s="163"/>
      <c r="Q29" s="175"/>
      <c r="R29" s="175"/>
      <c r="S29" s="130"/>
      <c r="T29" s="223" t="str">
        <f t="shared" si="4"/>
        <v/>
      </c>
      <c r="U29" s="222" t="str">
        <f t="shared" si="5"/>
        <v/>
      </c>
      <c r="V29" s="323"/>
    </row>
    <row r="30" spans="1:22" x14ac:dyDescent="0.25">
      <c r="A30" s="293">
        <f t="shared" si="0"/>
        <v>0</v>
      </c>
      <c r="B30" s="163"/>
      <c r="C30" s="163"/>
      <c r="D30" s="163"/>
      <c r="E30" s="175"/>
      <c r="F30" s="175"/>
      <c r="G30" s="130"/>
      <c r="H30" s="222" t="str">
        <f t="shared" si="1"/>
        <v/>
      </c>
      <c r="I30" s="222" t="str">
        <f t="shared" si="2"/>
        <v/>
      </c>
      <c r="J30" s="67"/>
      <c r="K30" s="67"/>
      <c r="L30" s="67"/>
      <c r="M30" s="294">
        <f t="shared" si="3"/>
        <v>0</v>
      </c>
      <c r="N30" s="176"/>
      <c r="O30" s="163"/>
      <c r="P30" s="163"/>
      <c r="Q30" s="175"/>
      <c r="R30" s="175"/>
      <c r="S30" s="130"/>
      <c r="T30" s="223" t="str">
        <f t="shared" si="4"/>
        <v/>
      </c>
      <c r="U30" s="222" t="str">
        <f t="shared" si="5"/>
        <v/>
      </c>
      <c r="V30" s="323"/>
    </row>
    <row r="31" spans="1:22" x14ac:dyDescent="0.25">
      <c r="A31" s="293">
        <f t="shared" si="0"/>
        <v>0</v>
      </c>
      <c r="B31" s="163"/>
      <c r="C31" s="163"/>
      <c r="D31" s="163"/>
      <c r="E31" s="175"/>
      <c r="F31" s="175"/>
      <c r="G31" s="130"/>
      <c r="H31" s="222" t="str">
        <f t="shared" si="1"/>
        <v/>
      </c>
      <c r="I31" s="222" t="str">
        <f t="shared" si="2"/>
        <v/>
      </c>
      <c r="J31" s="67"/>
      <c r="K31" s="67"/>
      <c r="L31" s="67"/>
      <c r="M31" s="294">
        <f t="shared" si="3"/>
        <v>0</v>
      </c>
      <c r="N31" s="176"/>
      <c r="O31" s="163"/>
      <c r="P31" s="163"/>
      <c r="Q31" s="175"/>
      <c r="R31" s="175"/>
      <c r="S31" s="130"/>
      <c r="T31" s="223" t="str">
        <f t="shared" si="4"/>
        <v/>
      </c>
      <c r="U31" s="222" t="str">
        <f t="shared" si="5"/>
        <v/>
      </c>
      <c r="V31" s="323"/>
    </row>
    <row r="32" spans="1:22" x14ac:dyDescent="0.25">
      <c r="A32" s="293">
        <f t="shared" si="0"/>
        <v>0</v>
      </c>
      <c r="B32" s="163"/>
      <c r="C32" s="163"/>
      <c r="D32" s="163"/>
      <c r="E32" s="175"/>
      <c r="F32" s="175"/>
      <c r="G32" s="130"/>
      <c r="H32" s="222" t="str">
        <f t="shared" si="1"/>
        <v/>
      </c>
      <c r="I32" s="222" t="str">
        <f t="shared" si="2"/>
        <v/>
      </c>
      <c r="J32" s="67"/>
      <c r="K32" s="67"/>
      <c r="L32" s="67"/>
      <c r="M32" s="294">
        <f t="shared" si="3"/>
        <v>0</v>
      </c>
      <c r="N32" s="176"/>
      <c r="O32" s="163"/>
      <c r="P32" s="163"/>
      <c r="Q32" s="175"/>
      <c r="R32" s="175"/>
      <c r="S32" s="130"/>
      <c r="T32" s="223" t="str">
        <f t="shared" si="4"/>
        <v/>
      </c>
      <c r="U32" s="222" t="str">
        <f t="shared" si="5"/>
        <v/>
      </c>
      <c r="V32" s="323"/>
    </row>
    <row r="33" spans="1:22" x14ac:dyDescent="0.25">
      <c r="A33" s="293">
        <f t="shared" si="0"/>
        <v>0</v>
      </c>
      <c r="B33" s="163"/>
      <c r="C33" s="163"/>
      <c r="D33" s="163"/>
      <c r="E33" s="175"/>
      <c r="F33" s="175"/>
      <c r="G33" s="130"/>
      <c r="H33" s="222" t="str">
        <f t="shared" si="1"/>
        <v/>
      </c>
      <c r="I33" s="222" t="str">
        <f t="shared" si="2"/>
        <v/>
      </c>
      <c r="J33" s="67"/>
      <c r="K33" s="67"/>
      <c r="L33" s="67"/>
      <c r="M33" s="294">
        <f t="shared" si="3"/>
        <v>0</v>
      </c>
      <c r="N33" s="176"/>
      <c r="O33" s="163"/>
      <c r="P33" s="163"/>
      <c r="Q33" s="175"/>
      <c r="R33" s="175"/>
      <c r="S33" s="130"/>
      <c r="T33" s="223" t="str">
        <f t="shared" si="4"/>
        <v/>
      </c>
      <c r="U33" s="222" t="str">
        <f t="shared" si="5"/>
        <v/>
      </c>
      <c r="V33" s="323"/>
    </row>
    <row r="34" spans="1:22" x14ac:dyDescent="0.25">
      <c r="A34" s="293">
        <f t="shared" si="0"/>
        <v>0</v>
      </c>
      <c r="B34" s="163"/>
      <c r="C34" s="163"/>
      <c r="D34" s="163"/>
      <c r="E34" s="175"/>
      <c r="F34" s="175"/>
      <c r="G34" s="130"/>
      <c r="H34" s="222" t="str">
        <f t="shared" si="1"/>
        <v/>
      </c>
      <c r="I34" s="222" t="str">
        <f t="shared" si="2"/>
        <v/>
      </c>
      <c r="J34" s="67"/>
      <c r="K34" s="67"/>
      <c r="L34" s="67"/>
      <c r="M34" s="294">
        <f t="shared" si="3"/>
        <v>0</v>
      </c>
      <c r="N34" s="176"/>
      <c r="O34" s="163"/>
      <c r="P34" s="163"/>
      <c r="Q34" s="175"/>
      <c r="R34" s="175"/>
      <c r="S34" s="130"/>
      <c r="T34" s="223" t="str">
        <f t="shared" si="4"/>
        <v/>
      </c>
      <c r="U34" s="222" t="str">
        <f t="shared" si="5"/>
        <v/>
      </c>
      <c r="V34" s="323"/>
    </row>
    <row r="35" spans="1:22" x14ac:dyDescent="0.25">
      <c r="A35" s="293">
        <f t="shared" si="0"/>
        <v>0</v>
      </c>
      <c r="B35" s="163"/>
      <c r="C35" s="163"/>
      <c r="D35" s="163"/>
      <c r="E35" s="175"/>
      <c r="F35" s="175"/>
      <c r="G35" s="130"/>
      <c r="H35" s="222" t="str">
        <f t="shared" si="1"/>
        <v/>
      </c>
      <c r="I35" s="222" t="str">
        <f t="shared" si="2"/>
        <v/>
      </c>
      <c r="J35" s="67"/>
      <c r="K35" s="67"/>
      <c r="L35" s="67"/>
      <c r="M35" s="294">
        <f t="shared" si="3"/>
        <v>0</v>
      </c>
      <c r="N35" s="176"/>
      <c r="O35" s="163"/>
      <c r="P35" s="163"/>
      <c r="Q35" s="175"/>
      <c r="R35" s="175"/>
      <c r="S35" s="130"/>
      <c r="T35" s="223" t="str">
        <f t="shared" si="4"/>
        <v/>
      </c>
      <c r="U35" s="222" t="str">
        <f t="shared" si="5"/>
        <v/>
      </c>
      <c r="V35" s="323"/>
    </row>
    <row r="36" spans="1:22" x14ac:dyDescent="0.25">
      <c r="A36" s="293">
        <f t="shared" si="0"/>
        <v>0</v>
      </c>
      <c r="B36" s="163"/>
      <c r="C36" s="163"/>
      <c r="D36" s="163"/>
      <c r="E36" s="175"/>
      <c r="F36" s="175"/>
      <c r="G36" s="130"/>
      <c r="H36" s="222" t="str">
        <f t="shared" si="1"/>
        <v/>
      </c>
      <c r="I36" s="222" t="str">
        <f t="shared" si="2"/>
        <v/>
      </c>
      <c r="J36" s="67"/>
      <c r="K36" s="67"/>
      <c r="L36" s="67"/>
      <c r="M36" s="294">
        <f t="shared" si="3"/>
        <v>0</v>
      </c>
      <c r="N36" s="163"/>
      <c r="O36" s="163"/>
      <c r="P36" s="163"/>
      <c r="Q36" s="175"/>
      <c r="R36" s="175"/>
      <c r="S36" s="130"/>
      <c r="T36" s="223" t="str">
        <f t="shared" si="4"/>
        <v/>
      </c>
      <c r="U36" s="222" t="str">
        <f t="shared" si="5"/>
        <v/>
      </c>
      <c r="V36" s="323"/>
    </row>
    <row r="37" spans="1:22" x14ac:dyDescent="0.25">
      <c r="A37" s="293">
        <f t="shared" si="0"/>
        <v>0</v>
      </c>
      <c r="B37" s="163"/>
      <c r="C37" s="163"/>
      <c r="D37" s="163"/>
      <c r="E37" s="175"/>
      <c r="F37" s="175"/>
      <c r="G37" s="130"/>
      <c r="H37" s="222" t="str">
        <f t="shared" si="1"/>
        <v/>
      </c>
      <c r="I37" s="222" t="str">
        <f t="shared" si="2"/>
        <v/>
      </c>
      <c r="J37" s="67"/>
      <c r="K37" s="67"/>
      <c r="L37" s="67"/>
      <c r="M37" s="294">
        <f t="shared" si="3"/>
        <v>0</v>
      </c>
      <c r="N37" s="163"/>
      <c r="O37" s="163"/>
      <c r="P37" s="163"/>
      <c r="Q37" s="175"/>
      <c r="R37" s="175"/>
      <c r="S37" s="130"/>
      <c r="T37" s="223" t="str">
        <f t="shared" si="4"/>
        <v/>
      </c>
      <c r="U37" s="222" t="str">
        <f t="shared" si="5"/>
        <v/>
      </c>
      <c r="V37" s="323"/>
    </row>
    <row r="38" spans="1:22" x14ac:dyDescent="0.25">
      <c r="A38" s="293">
        <f t="shared" si="0"/>
        <v>0</v>
      </c>
      <c r="B38" s="163"/>
      <c r="C38" s="163"/>
      <c r="D38" s="163"/>
      <c r="E38" s="175"/>
      <c r="F38" s="175"/>
      <c r="G38" s="130"/>
      <c r="H38" s="222" t="str">
        <f t="shared" si="1"/>
        <v/>
      </c>
      <c r="I38" s="222" t="str">
        <f t="shared" si="2"/>
        <v/>
      </c>
      <c r="J38" s="67"/>
      <c r="K38" s="67"/>
      <c r="L38" s="67"/>
      <c r="M38" s="294">
        <f t="shared" si="3"/>
        <v>0</v>
      </c>
      <c r="N38" s="163"/>
      <c r="O38" s="163"/>
      <c r="P38" s="163"/>
      <c r="Q38" s="175"/>
      <c r="R38" s="175"/>
      <c r="S38" s="130"/>
      <c r="T38" s="223" t="str">
        <f t="shared" si="4"/>
        <v/>
      </c>
      <c r="U38" s="222" t="str">
        <f t="shared" si="5"/>
        <v/>
      </c>
      <c r="V38" s="323"/>
    </row>
    <row r="39" spans="1:22" x14ac:dyDescent="0.25">
      <c r="A39" s="293">
        <f t="shared" si="0"/>
        <v>0</v>
      </c>
      <c r="B39" s="163"/>
      <c r="C39" s="163"/>
      <c r="D39" s="163"/>
      <c r="E39" s="175"/>
      <c r="F39" s="175"/>
      <c r="G39" s="130"/>
      <c r="H39" s="222" t="str">
        <f t="shared" si="1"/>
        <v/>
      </c>
      <c r="I39" s="222" t="str">
        <f t="shared" si="2"/>
        <v/>
      </c>
      <c r="J39" s="67"/>
      <c r="K39" s="67"/>
      <c r="L39" s="67"/>
      <c r="M39" s="294">
        <f t="shared" si="3"/>
        <v>0</v>
      </c>
      <c r="N39" s="163"/>
      <c r="O39" s="163"/>
      <c r="P39" s="163"/>
      <c r="Q39" s="175"/>
      <c r="R39" s="175"/>
      <c r="S39" s="130"/>
      <c r="T39" s="223" t="str">
        <f t="shared" si="4"/>
        <v/>
      </c>
      <c r="U39" s="222" t="str">
        <f t="shared" si="5"/>
        <v/>
      </c>
      <c r="V39" s="323"/>
    </row>
    <row r="40" spans="1:22" x14ac:dyDescent="0.25">
      <c r="A40" s="293">
        <f t="shared" si="0"/>
        <v>0</v>
      </c>
      <c r="B40" s="163"/>
      <c r="C40" s="163"/>
      <c r="D40" s="163"/>
      <c r="E40" s="175"/>
      <c r="F40" s="175"/>
      <c r="G40" s="130"/>
      <c r="H40" s="222" t="str">
        <f t="shared" si="1"/>
        <v/>
      </c>
      <c r="I40" s="222" t="str">
        <f t="shared" si="2"/>
        <v/>
      </c>
      <c r="J40" s="67"/>
      <c r="K40" s="67"/>
      <c r="L40" s="67"/>
      <c r="M40" s="294">
        <f t="shared" si="3"/>
        <v>0</v>
      </c>
      <c r="N40" s="163"/>
      <c r="O40" s="163"/>
      <c r="P40" s="163"/>
      <c r="Q40" s="175"/>
      <c r="R40" s="175"/>
      <c r="S40" s="130"/>
      <c r="T40" s="223" t="str">
        <f t="shared" si="4"/>
        <v/>
      </c>
      <c r="U40" s="222" t="str">
        <f t="shared" si="5"/>
        <v/>
      </c>
      <c r="V40" s="323"/>
    </row>
    <row r="41" spans="1:22" x14ac:dyDescent="0.25">
      <c r="A41" s="293">
        <f t="shared" si="0"/>
        <v>0</v>
      </c>
      <c r="B41" s="163"/>
      <c r="C41" s="163"/>
      <c r="D41" s="163"/>
      <c r="E41" s="175"/>
      <c r="F41" s="175"/>
      <c r="G41" s="130"/>
      <c r="H41" s="222" t="str">
        <f t="shared" si="1"/>
        <v/>
      </c>
      <c r="I41" s="222" t="str">
        <f t="shared" si="2"/>
        <v/>
      </c>
      <c r="J41" s="67"/>
      <c r="K41" s="67"/>
      <c r="L41" s="67"/>
      <c r="M41" s="294">
        <f t="shared" si="3"/>
        <v>0</v>
      </c>
      <c r="N41" s="163"/>
      <c r="O41" s="163"/>
      <c r="P41" s="163"/>
      <c r="Q41" s="175"/>
      <c r="R41" s="175"/>
      <c r="S41" s="130"/>
      <c r="T41" s="223" t="str">
        <f t="shared" si="4"/>
        <v/>
      </c>
      <c r="U41" s="222" t="str">
        <f t="shared" si="5"/>
        <v/>
      </c>
      <c r="V41" s="323"/>
    </row>
    <row r="42" spans="1:22" x14ac:dyDescent="0.25">
      <c r="A42" s="293">
        <f t="shared" si="0"/>
        <v>0</v>
      </c>
      <c r="B42" s="163"/>
      <c r="C42" s="163"/>
      <c r="D42" s="163"/>
      <c r="E42" s="175"/>
      <c r="F42" s="175"/>
      <c r="G42" s="130"/>
      <c r="H42" s="222" t="str">
        <f t="shared" si="1"/>
        <v/>
      </c>
      <c r="I42" s="222" t="str">
        <f t="shared" si="2"/>
        <v/>
      </c>
      <c r="J42" s="67"/>
      <c r="K42" s="67"/>
      <c r="L42" s="67"/>
      <c r="M42" s="294">
        <f t="shared" si="3"/>
        <v>0</v>
      </c>
      <c r="N42" s="163"/>
      <c r="O42" s="163"/>
      <c r="P42" s="163"/>
      <c r="Q42" s="175"/>
      <c r="R42" s="175"/>
      <c r="S42" s="130"/>
      <c r="T42" s="223" t="str">
        <f t="shared" si="4"/>
        <v/>
      </c>
      <c r="U42" s="222" t="str">
        <f t="shared" si="5"/>
        <v/>
      </c>
      <c r="V42" s="323"/>
    </row>
    <row r="43" spans="1:22" x14ac:dyDescent="0.25">
      <c r="A43" s="293">
        <f t="shared" si="0"/>
        <v>0</v>
      </c>
      <c r="B43" s="163"/>
      <c r="C43" s="163"/>
      <c r="D43" s="163"/>
      <c r="E43" s="175"/>
      <c r="F43" s="175"/>
      <c r="G43" s="130"/>
      <c r="H43" s="222" t="str">
        <f t="shared" si="1"/>
        <v/>
      </c>
      <c r="I43" s="222" t="str">
        <f t="shared" si="2"/>
        <v/>
      </c>
      <c r="J43" s="67"/>
      <c r="K43" s="67"/>
      <c r="L43" s="67"/>
      <c r="M43" s="294">
        <f t="shared" si="3"/>
        <v>0</v>
      </c>
      <c r="N43" s="163"/>
      <c r="O43" s="163"/>
      <c r="P43" s="163"/>
      <c r="Q43" s="175"/>
      <c r="R43" s="175"/>
      <c r="S43" s="130"/>
      <c r="T43" s="223" t="str">
        <f t="shared" si="4"/>
        <v/>
      </c>
      <c r="U43" s="222" t="str">
        <f t="shared" si="5"/>
        <v/>
      </c>
      <c r="V43" s="323"/>
    </row>
    <row r="44" spans="1:22" x14ac:dyDescent="0.25">
      <c r="A44" s="293">
        <f t="shared" si="0"/>
        <v>0</v>
      </c>
      <c r="B44" s="163"/>
      <c r="C44" s="163"/>
      <c r="D44" s="163"/>
      <c r="E44" s="175"/>
      <c r="F44" s="175"/>
      <c r="G44" s="130"/>
      <c r="H44" s="222" t="str">
        <f t="shared" si="1"/>
        <v/>
      </c>
      <c r="I44" s="222" t="str">
        <f t="shared" si="2"/>
        <v/>
      </c>
      <c r="J44" s="67"/>
      <c r="K44" s="67"/>
      <c r="L44" s="67"/>
      <c r="M44" s="294">
        <f t="shared" si="3"/>
        <v>0</v>
      </c>
      <c r="N44" s="163"/>
      <c r="O44" s="163"/>
      <c r="P44" s="163"/>
      <c r="Q44" s="175"/>
      <c r="R44" s="175"/>
      <c r="S44" s="130"/>
      <c r="T44" s="223" t="str">
        <f t="shared" si="4"/>
        <v/>
      </c>
      <c r="U44" s="222" t="str">
        <f t="shared" si="5"/>
        <v/>
      </c>
      <c r="V44" s="323"/>
    </row>
    <row r="45" spans="1:22" x14ac:dyDescent="0.25">
      <c r="A45" s="293">
        <f t="shared" si="0"/>
        <v>0</v>
      </c>
      <c r="B45" s="163"/>
      <c r="C45" s="163"/>
      <c r="D45" s="163"/>
      <c r="E45" s="175"/>
      <c r="F45" s="175"/>
      <c r="G45" s="130"/>
      <c r="H45" s="222" t="str">
        <f t="shared" si="1"/>
        <v/>
      </c>
      <c r="I45" s="222" t="str">
        <f t="shared" si="2"/>
        <v/>
      </c>
      <c r="J45" s="67"/>
      <c r="K45" s="67"/>
      <c r="L45" s="67"/>
      <c r="M45" s="294">
        <f t="shared" si="3"/>
        <v>0</v>
      </c>
      <c r="N45" s="163"/>
      <c r="O45" s="163"/>
      <c r="P45" s="163"/>
      <c r="Q45" s="175"/>
      <c r="R45" s="175"/>
      <c r="S45" s="130"/>
      <c r="T45" s="223" t="str">
        <f t="shared" si="4"/>
        <v/>
      </c>
      <c r="U45" s="222" t="str">
        <f t="shared" si="5"/>
        <v/>
      </c>
      <c r="V45" s="323"/>
    </row>
    <row r="46" spans="1:22" x14ac:dyDescent="0.25">
      <c r="A46" s="293">
        <f t="shared" si="0"/>
        <v>0</v>
      </c>
      <c r="B46" s="163"/>
      <c r="C46" s="163"/>
      <c r="D46" s="163"/>
      <c r="E46" s="175"/>
      <c r="F46" s="175"/>
      <c r="G46" s="130"/>
      <c r="H46" s="222" t="str">
        <f t="shared" si="1"/>
        <v/>
      </c>
      <c r="I46" s="222" t="str">
        <f t="shared" si="2"/>
        <v/>
      </c>
      <c r="J46" s="67"/>
      <c r="K46" s="67"/>
      <c r="L46" s="67"/>
      <c r="M46" s="294">
        <f t="shared" si="3"/>
        <v>0</v>
      </c>
      <c r="N46" s="163"/>
      <c r="O46" s="163"/>
      <c r="P46" s="163"/>
      <c r="Q46" s="175"/>
      <c r="R46" s="175"/>
      <c r="S46" s="130"/>
      <c r="T46" s="223" t="str">
        <f t="shared" si="4"/>
        <v/>
      </c>
      <c r="U46" s="222" t="str">
        <f t="shared" si="5"/>
        <v/>
      </c>
      <c r="V46" s="323"/>
    </row>
    <row r="47" spans="1:22" x14ac:dyDescent="0.25">
      <c r="A47" s="293">
        <f t="shared" si="0"/>
        <v>0</v>
      </c>
      <c r="B47" s="163"/>
      <c r="C47" s="163"/>
      <c r="D47" s="163"/>
      <c r="E47" s="175"/>
      <c r="F47" s="175"/>
      <c r="G47" s="130"/>
      <c r="H47" s="222" t="str">
        <f t="shared" si="1"/>
        <v/>
      </c>
      <c r="I47" s="222" t="str">
        <f t="shared" si="2"/>
        <v/>
      </c>
      <c r="J47" s="67"/>
      <c r="K47" s="67"/>
      <c r="L47" s="67"/>
      <c r="M47" s="294">
        <f t="shared" si="3"/>
        <v>0</v>
      </c>
      <c r="N47" s="163"/>
      <c r="O47" s="163"/>
      <c r="P47" s="163"/>
      <c r="Q47" s="175"/>
      <c r="R47" s="175"/>
      <c r="S47" s="130"/>
      <c r="T47" s="223" t="str">
        <f t="shared" si="4"/>
        <v/>
      </c>
      <c r="U47" s="222" t="str">
        <f t="shared" si="5"/>
        <v/>
      </c>
      <c r="V47" s="323"/>
    </row>
    <row r="48" spans="1:22" x14ac:dyDescent="0.25">
      <c r="A48" s="293">
        <f t="shared" si="0"/>
        <v>0</v>
      </c>
      <c r="B48" s="163"/>
      <c r="C48" s="163"/>
      <c r="D48" s="163"/>
      <c r="E48" s="175"/>
      <c r="F48" s="175"/>
      <c r="G48" s="130"/>
      <c r="H48" s="222" t="str">
        <f t="shared" si="1"/>
        <v/>
      </c>
      <c r="I48" s="222" t="str">
        <f t="shared" si="2"/>
        <v/>
      </c>
      <c r="J48" s="67"/>
      <c r="K48" s="67"/>
      <c r="L48" s="67"/>
      <c r="M48" s="294">
        <f t="shared" si="3"/>
        <v>0</v>
      </c>
      <c r="N48" s="163"/>
      <c r="O48" s="163"/>
      <c r="P48" s="163"/>
      <c r="Q48" s="175"/>
      <c r="R48" s="175"/>
      <c r="S48" s="130"/>
      <c r="T48" s="223" t="str">
        <f t="shared" si="4"/>
        <v/>
      </c>
      <c r="U48" s="222" t="str">
        <f t="shared" si="5"/>
        <v/>
      </c>
      <c r="V48" s="323"/>
    </row>
    <row r="49" spans="1:22" x14ac:dyDescent="0.25">
      <c r="A49" s="293">
        <f t="shared" si="0"/>
        <v>0</v>
      </c>
      <c r="B49" s="163"/>
      <c r="C49" s="163"/>
      <c r="D49" s="163"/>
      <c r="E49" s="175"/>
      <c r="F49" s="175"/>
      <c r="G49" s="130"/>
      <c r="H49" s="222" t="str">
        <f t="shared" si="1"/>
        <v/>
      </c>
      <c r="I49" s="222" t="str">
        <f t="shared" si="2"/>
        <v/>
      </c>
      <c r="J49" s="67"/>
      <c r="K49" s="67"/>
      <c r="L49" s="67"/>
      <c r="M49" s="294">
        <f t="shared" si="3"/>
        <v>0</v>
      </c>
      <c r="N49" s="163"/>
      <c r="O49" s="163"/>
      <c r="P49" s="163"/>
      <c r="Q49" s="175"/>
      <c r="R49" s="175"/>
      <c r="S49" s="130"/>
      <c r="T49" s="223" t="str">
        <f t="shared" si="4"/>
        <v/>
      </c>
      <c r="U49" s="222" t="str">
        <f t="shared" si="5"/>
        <v/>
      </c>
      <c r="V49" s="323"/>
    </row>
    <row r="50" spans="1:22" x14ac:dyDescent="0.25">
      <c r="A50" s="293">
        <f t="shared" si="0"/>
        <v>0</v>
      </c>
      <c r="B50" s="163"/>
      <c r="C50" s="163"/>
      <c r="D50" s="163"/>
      <c r="E50" s="175"/>
      <c r="F50" s="175"/>
      <c r="G50" s="130"/>
      <c r="H50" s="222" t="str">
        <f t="shared" si="1"/>
        <v/>
      </c>
      <c r="I50" s="222" t="str">
        <f t="shared" si="2"/>
        <v/>
      </c>
      <c r="J50" s="67"/>
      <c r="K50" s="67"/>
      <c r="L50" s="67"/>
      <c r="M50" s="294">
        <f t="shared" si="3"/>
        <v>0</v>
      </c>
      <c r="N50" s="163"/>
      <c r="O50" s="163"/>
      <c r="P50" s="163"/>
      <c r="Q50" s="175"/>
      <c r="R50" s="175"/>
      <c r="S50" s="130"/>
      <c r="T50" s="223" t="str">
        <f t="shared" si="4"/>
        <v/>
      </c>
      <c r="U50" s="222" t="str">
        <f t="shared" si="5"/>
        <v/>
      </c>
      <c r="V50" s="323"/>
    </row>
    <row r="51" spans="1:22" x14ac:dyDescent="0.25">
      <c r="A51" s="293">
        <f t="shared" si="0"/>
        <v>0</v>
      </c>
      <c r="B51" s="163"/>
      <c r="C51" s="163"/>
      <c r="D51" s="163"/>
      <c r="E51" s="175"/>
      <c r="F51" s="175"/>
      <c r="G51" s="130"/>
      <c r="H51" s="222" t="str">
        <f t="shared" si="1"/>
        <v/>
      </c>
      <c r="I51" s="222" t="str">
        <f t="shared" si="2"/>
        <v/>
      </c>
      <c r="J51" s="67"/>
      <c r="K51" s="67"/>
      <c r="L51" s="67"/>
      <c r="M51" s="294">
        <f t="shared" si="3"/>
        <v>0</v>
      </c>
      <c r="N51" s="163"/>
      <c r="O51" s="163"/>
      <c r="P51" s="163"/>
      <c r="Q51" s="175"/>
      <c r="R51" s="175"/>
      <c r="S51" s="130"/>
      <c r="T51" s="223" t="str">
        <f t="shared" si="4"/>
        <v/>
      </c>
      <c r="U51" s="222" t="str">
        <f t="shared" si="5"/>
        <v/>
      </c>
      <c r="V51" s="323"/>
    </row>
    <row r="52" spans="1:22" x14ac:dyDescent="0.25">
      <c r="A52" s="293">
        <f t="shared" si="0"/>
        <v>0</v>
      </c>
      <c r="B52" s="163"/>
      <c r="C52" s="163"/>
      <c r="D52" s="163"/>
      <c r="E52" s="175"/>
      <c r="F52" s="175"/>
      <c r="G52" s="130"/>
      <c r="H52" s="222" t="str">
        <f t="shared" si="1"/>
        <v/>
      </c>
      <c r="I52" s="222" t="str">
        <f t="shared" si="2"/>
        <v/>
      </c>
      <c r="J52" s="67"/>
      <c r="K52" s="67"/>
      <c r="L52" s="67"/>
      <c r="M52" s="294">
        <f t="shared" si="3"/>
        <v>0</v>
      </c>
      <c r="N52" s="163"/>
      <c r="O52" s="163"/>
      <c r="P52" s="163"/>
      <c r="Q52" s="175"/>
      <c r="R52" s="175"/>
      <c r="S52" s="130"/>
      <c r="T52" s="223" t="str">
        <f t="shared" si="4"/>
        <v/>
      </c>
      <c r="U52" s="222" t="str">
        <f t="shared" si="5"/>
        <v/>
      </c>
      <c r="V52" s="323"/>
    </row>
    <row r="53" spans="1:22" x14ac:dyDescent="0.25">
      <c r="A53" s="293">
        <f t="shared" si="0"/>
        <v>0</v>
      </c>
      <c r="B53" s="163"/>
      <c r="C53" s="163"/>
      <c r="D53" s="163"/>
      <c r="E53" s="175"/>
      <c r="F53" s="175"/>
      <c r="G53" s="130"/>
      <c r="H53" s="222" t="str">
        <f t="shared" si="1"/>
        <v/>
      </c>
      <c r="I53" s="222" t="str">
        <f t="shared" si="2"/>
        <v/>
      </c>
      <c r="J53" s="67"/>
      <c r="K53" s="67"/>
      <c r="L53" s="67"/>
      <c r="M53" s="294">
        <f t="shared" si="3"/>
        <v>0</v>
      </c>
      <c r="N53" s="163"/>
      <c r="O53" s="163"/>
      <c r="P53" s="163"/>
      <c r="Q53" s="175"/>
      <c r="R53" s="175"/>
      <c r="S53" s="130"/>
      <c r="T53" s="223" t="str">
        <f t="shared" si="4"/>
        <v/>
      </c>
      <c r="U53" s="222" t="str">
        <f t="shared" si="5"/>
        <v/>
      </c>
      <c r="V53" s="323"/>
    </row>
    <row r="54" spans="1:22" x14ac:dyDescent="0.25">
      <c r="A54" s="293">
        <f t="shared" si="0"/>
        <v>0</v>
      </c>
      <c r="B54" s="163"/>
      <c r="C54" s="163"/>
      <c r="D54" s="163"/>
      <c r="E54" s="175"/>
      <c r="F54" s="175"/>
      <c r="G54" s="130"/>
      <c r="H54" s="222" t="str">
        <f t="shared" si="1"/>
        <v/>
      </c>
      <c r="I54" s="222" t="str">
        <f t="shared" si="2"/>
        <v/>
      </c>
      <c r="J54" s="67"/>
      <c r="K54" s="67"/>
      <c r="L54" s="67"/>
      <c r="M54" s="294">
        <f t="shared" si="3"/>
        <v>0</v>
      </c>
      <c r="N54" s="163"/>
      <c r="O54" s="163"/>
      <c r="P54" s="163"/>
      <c r="Q54" s="175"/>
      <c r="R54" s="175"/>
      <c r="S54" s="130"/>
      <c r="T54" s="223" t="str">
        <f t="shared" si="4"/>
        <v/>
      </c>
      <c r="U54" s="222" t="str">
        <f t="shared" si="5"/>
        <v/>
      </c>
      <c r="V54" s="323"/>
    </row>
    <row r="55" spans="1:22" x14ac:dyDescent="0.25">
      <c r="A55" s="293">
        <f t="shared" si="0"/>
        <v>0</v>
      </c>
      <c r="B55" s="163"/>
      <c r="C55" s="163"/>
      <c r="D55" s="163"/>
      <c r="E55" s="175"/>
      <c r="F55" s="175"/>
      <c r="G55" s="130"/>
      <c r="H55" s="222" t="str">
        <f t="shared" si="1"/>
        <v/>
      </c>
      <c r="I55" s="222" t="str">
        <f t="shared" si="2"/>
        <v/>
      </c>
      <c r="J55" s="67"/>
      <c r="K55" s="67"/>
      <c r="L55" s="67"/>
      <c r="M55" s="294">
        <f t="shared" si="3"/>
        <v>0</v>
      </c>
      <c r="N55" s="163"/>
      <c r="O55" s="163"/>
      <c r="P55" s="163"/>
      <c r="Q55" s="175"/>
      <c r="R55" s="175"/>
      <c r="S55" s="130"/>
      <c r="T55" s="223" t="str">
        <f t="shared" si="4"/>
        <v/>
      </c>
      <c r="U55" s="222" t="str">
        <f t="shared" si="5"/>
        <v/>
      </c>
      <c r="V55" s="323"/>
    </row>
    <row r="56" spans="1:22" x14ac:dyDescent="0.25">
      <c r="A56" s="293">
        <f t="shared" si="0"/>
        <v>0</v>
      </c>
      <c r="B56" s="163"/>
      <c r="C56" s="163"/>
      <c r="D56" s="163"/>
      <c r="E56" s="175"/>
      <c r="F56" s="175"/>
      <c r="G56" s="130"/>
      <c r="H56" s="222" t="str">
        <f t="shared" si="1"/>
        <v/>
      </c>
      <c r="I56" s="222" t="str">
        <f t="shared" si="2"/>
        <v/>
      </c>
      <c r="J56" s="67"/>
      <c r="K56" s="67"/>
      <c r="L56" s="67"/>
      <c r="M56" s="294">
        <f t="shared" si="3"/>
        <v>0</v>
      </c>
      <c r="N56" s="163"/>
      <c r="O56" s="163"/>
      <c r="P56" s="163"/>
      <c r="Q56" s="175"/>
      <c r="R56" s="175"/>
      <c r="S56" s="130"/>
      <c r="T56" s="223" t="str">
        <f t="shared" si="4"/>
        <v/>
      </c>
      <c r="U56" s="222" t="str">
        <f t="shared" si="5"/>
        <v/>
      </c>
      <c r="V56" s="323"/>
    </row>
    <row r="57" spans="1:22" x14ac:dyDescent="0.25">
      <c r="A57" s="293">
        <f t="shared" si="0"/>
        <v>0</v>
      </c>
      <c r="B57" s="163"/>
      <c r="C57" s="163"/>
      <c r="D57" s="163"/>
      <c r="E57" s="175"/>
      <c r="F57" s="175"/>
      <c r="G57" s="130"/>
      <c r="H57" s="222" t="str">
        <f t="shared" si="1"/>
        <v/>
      </c>
      <c r="I57" s="222" t="str">
        <f t="shared" si="2"/>
        <v/>
      </c>
      <c r="J57" s="67"/>
      <c r="K57" s="67"/>
      <c r="L57" s="67"/>
      <c r="M57" s="294">
        <f t="shared" si="3"/>
        <v>0</v>
      </c>
      <c r="N57" s="163"/>
      <c r="O57" s="163"/>
      <c r="P57" s="163"/>
      <c r="Q57" s="175"/>
      <c r="R57" s="175"/>
      <c r="S57" s="130"/>
      <c r="T57" s="223" t="str">
        <f t="shared" si="4"/>
        <v/>
      </c>
      <c r="U57" s="222" t="str">
        <f t="shared" si="5"/>
        <v/>
      </c>
      <c r="V57" s="323"/>
    </row>
    <row r="58" spans="1:22" x14ac:dyDescent="0.25">
      <c r="A58" s="293">
        <f t="shared" si="0"/>
        <v>0</v>
      </c>
      <c r="B58" s="163"/>
      <c r="C58" s="163"/>
      <c r="D58" s="163"/>
      <c r="E58" s="175"/>
      <c r="F58" s="175"/>
      <c r="G58" s="130"/>
      <c r="H58" s="222" t="str">
        <f t="shared" si="1"/>
        <v/>
      </c>
      <c r="I58" s="222" t="str">
        <f t="shared" si="2"/>
        <v/>
      </c>
      <c r="J58" s="67"/>
      <c r="K58" s="67"/>
      <c r="L58" s="67"/>
      <c r="M58" s="294">
        <f t="shared" si="3"/>
        <v>0</v>
      </c>
      <c r="N58" s="163"/>
      <c r="O58" s="163"/>
      <c r="P58" s="163"/>
      <c r="Q58" s="175"/>
      <c r="R58" s="175"/>
      <c r="S58" s="130"/>
      <c r="T58" s="223" t="str">
        <f t="shared" si="4"/>
        <v/>
      </c>
      <c r="U58" s="222" t="str">
        <f t="shared" si="5"/>
        <v/>
      </c>
      <c r="V58" s="323"/>
    </row>
    <row r="59" spans="1:22" x14ac:dyDescent="0.25">
      <c r="A59" s="293">
        <f t="shared" si="0"/>
        <v>0</v>
      </c>
      <c r="B59" s="163"/>
      <c r="C59" s="163"/>
      <c r="D59" s="163"/>
      <c r="E59" s="175"/>
      <c r="F59" s="175"/>
      <c r="G59" s="130"/>
      <c r="H59" s="222" t="str">
        <f t="shared" si="1"/>
        <v/>
      </c>
      <c r="I59" s="222" t="str">
        <f t="shared" si="2"/>
        <v/>
      </c>
      <c r="J59" s="67"/>
      <c r="K59" s="67"/>
      <c r="L59" s="67"/>
      <c r="M59" s="294">
        <f t="shared" si="3"/>
        <v>0</v>
      </c>
      <c r="N59" s="163"/>
      <c r="O59" s="163"/>
      <c r="P59" s="163"/>
      <c r="Q59" s="175"/>
      <c r="R59" s="175"/>
      <c r="S59" s="130"/>
      <c r="T59" s="223" t="str">
        <f t="shared" si="4"/>
        <v/>
      </c>
      <c r="U59" s="222" t="str">
        <f t="shared" si="5"/>
        <v/>
      </c>
      <c r="V59" s="323"/>
    </row>
    <row r="60" spans="1:22" x14ac:dyDescent="0.25">
      <c r="A60" s="293">
        <f t="shared" si="0"/>
        <v>0</v>
      </c>
      <c r="B60" s="163"/>
      <c r="C60" s="163"/>
      <c r="D60" s="163"/>
      <c r="E60" s="175"/>
      <c r="F60" s="175"/>
      <c r="G60" s="130"/>
      <c r="H60" s="222" t="str">
        <f t="shared" si="1"/>
        <v/>
      </c>
      <c r="I60" s="222" t="str">
        <f t="shared" si="2"/>
        <v/>
      </c>
      <c r="J60" s="67"/>
      <c r="K60" s="67"/>
      <c r="L60" s="67"/>
      <c r="M60" s="294">
        <f t="shared" si="3"/>
        <v>0</v>
      </c>
      <c r="N60" s="163"/>
      <c r="O60" s="163"/>
      <c r="P60" s="163"/>
      <c r="Q60" s="175"/>
      <c r="R60" s="175"/>
      <c r="S60" s="130"/>
      <c r="T60" s="223" t="str">
        <f t="shared" si="4"/>
        <v/>
      </c>
      <c r="U60" s="222" t="str">
        <f t="shared" si="5"/>
        <v/>
      </c>
      <c r="V60" s="323"/>
    </row>
    <row r="61" spans="1:22" x14ac:dyDescent="0.25">
      <c r="A61" s="293">
        <f t="shared" si="0"/>
        <v>0</v>
      </c>
      <c r="B61" s="163"/>
      <c r="C61" s="163"/>
      <c r="D61" s="163"/>
      <c r="E61" s="175"/>
      <c r="F61" s="175"/>
      <c r="G61" s="130"/>
      <c r="H61" s="222" t="str">
        <f t="shared" si="1"/>
        <v/>
      </c>
      <c r="I61" s="222" t="str">
        <f t="shared" si="2"/>
        <v/>
      </c>
      <c r="J61" s="67"/>
      <c r="K61" s="67"/>
      <c r="L61" s="67"/>
      <c r="M61" s="294">
        <f t="shared" si="3"/>
        <v>0</v>
      </c>
      <c r="N61" s="163"/>
      <c r="O61" s="163"/>
      <c r="P61" s="163"/>
      <c r="Q61" s="175"/>
      <c r="R61" s="175"/>
      <c r="S61" s="130"/>
      <c r="T61" s="223" t="str">
        <f t="shared" si="4"/>
        <v/>
      </c>
      <c r="U61" s="222" t="str">
        <f t="shared" si="5"/>
        <v/>
      </c>
      <c r="V61" s="323"/>
    </row>
    <row r="62" spans="1:22" x14ac:dyDescent="0.25">
      <c r="A62" s="293">
        <f t="shared" si="0"/>
        <v>0</v>
      </c>
      <c r="B62" s="163"/>
      <c r="C62" s="163"/>
      <c r="D62" s="163"/>
      <c r="E62" s="175"/>
      <c r="F62" s="175"/>
      <c r="G62" s="130"/>
      <c r="H62" s="222" t="str">
        <f t="shared" si="1"/>
        <v/>
      </c>
      <c r="I62" s="222" t="str">
        <f t="shared" si="2"/>
        <v/>
      </c>
      <c r="J62" s="67"/>
      <c r="K62" s="67"/>
      <c r="L62" s="67"/>
      <c r="M62" s="294">
        <f t="shared" si="3"/>
        <v>0</v>
      </c>
      <c r="N62" s="163"/>
      <c r="O62" s="163"/>
      <c r="P62" s="163"/>
      <c r="Q62" s="175"/>
      <c r="R62" s="175"/>
      <c r="S62" s="130"/>
      <c r="T62" s="223" t="str">
        <f t="shared" si="4"/>
        <v/>
      </c>
      <c r="U62" s="222" t="str">
        <f t="shared" si="5"/>
        <v/>
      </c>
      <c r="V62" s="323"/>
    </row>
    <row r="63" spans="1:22" x14ac:dyDescent="0.25">
      <c r="A63" s="293">
        <f t="shared" si="0"/>
        <v>0</v>
      </c>
      <c r="B63" s="163"/>
      <c r="C63" s="163"/>
      <c r="D63" s="163"/>
      <c r="E63" s="175"/>
      <c r="F63" s="175"/>
      <c r="G63" s="130"/>
      <c r="H63" s="222" t="str">
        <f t="shared" si="1"/>
        <v/>
      </c>
      <c r="I63" s="222" t="str">
        <f t="shared" si="2"/>
        <v/>
      </c>
      <c r="J63" s="67"/>
      <c r="K63" s="67"/>
      <c r="L63" s="67"/>
      <c r="M63" s="294">
        <f t="shared" si="3"/>
        <v>0</v>
      </c>
      <c r="N63" s="163"/>
      <c r="O63" s="163"/>
      <c r="P63" s="163"/>
      <c r="Q63" s="175"/>
      <c r="R63" s="175"/>
      <c r="S63" s="130"/>
      <c r="T63" s="223" t="str">
        <f t="shared" si="4"/>
        <v/>
      </c>
      <c r="U63" s="222" t="str">
        <f t="shared" si="5"/>
        <v/>
      </c>
      <c r="V63" s="323"/>
    </row>
    <row r="64" spans="1:22" x14ac:dyDescent="0.25">
      <c r="A64" s="293">
        <f t="shared" si="0"/>
        <v>0</v>
      </c>
      <c r="B64" s="163"/>
      <c r="C64" s="163"/>
      <c r="D64" s="163"/>
      <c r="E64" s="175"/>
      <c r="F64" s="175"/>
      <c r="G64" s="130"/>
      <c r="H64" s="222" t="str">
        <f t="shared" si="1"/>
        <v/>
      </c>
      <c r="I64" s="222" t="str">
        <f t="shared" si="2"/>
        <v/>
      </c>
      <c r="J64" s="67"/>
      <c r="K64" s="67"/>
      <c r="L64" s="67"/>
      <c r="M64" s="294">
        <f t="shared" si="3"/>
        <v>0</v>
      </c>
      <c r="N64" s="163"/>
      <c r="O64" s="163"/>
      <c r="P64" s="163"/>
      <c r="Q64" s="175"/>
      <c r="R64" s="175"/>
      <c r="S64" s="130"/>
      <c r="T64" s="223" t="str">
        <f t="shared" si="4"/>
        <v/>
      </c>
      <c r="U64" s="222" t="str">
        <f t="shared" si="5"/>
        <v/>
      </c>
      <c r="V64" s="323"/>
    </row>
    <row r="65" spans="1:22" x14ac:dyDescent="0.25">
      <c r="A65" s="293">
        <f t="shared" si="0"/>
        <v>0</v>
      </c>
      <c r="B65" s="163"/>
      <c r="C65" s="163"/>
      <c r="D65" s="163"/>
      <c r="E65" s="175"/>
      <c r="F65" s="175"/>
      <c r="G65" s="130"/>
      <c r="H65" s="222" t="str">
        <f t="shared" si="1"/>
        <v/>
      </c>
      <c r="I65" s="222" t="str">
        <f t="shared" si="2"/>
        <v/>
      </c>
      <c r="J65" s="67"/>
      <c r="K65" s="67"/>
      <c r="L65" s="67"/>
      <c r="M65" s="294">
        <f t="shared" si="3"/>
        <v>0</v>
      </c>
      <c r="N65" s="163"/>
      <c r="O65" s="163"/>
      <c r="P65" s="163"/>
      <c r="Q65" s="175"/>
      <c r="R65" s="175"/>
      <c r="S65" s="130"/>
      <c r="T65" s="223" t="str">
        <f t="shared" si="4"/>
        <v/>
      </c>
      <c r="U65" s="222" t="str">
        <f t="shared" si="5"/>
        <v/>
      </c>
      <c r="V65" s="323"/>
    </row>
    <row r="66" spans="1:22" x14ac:dyDescent="0.25">
      <c r="A66" s="293">
        <f t="shared" si="0"/>
        <v>0</v>
      </c>
      <c r="B66" s="163"/>
      <c r="C66" s="163"/>
      <c r="D66" s="163"/>
      <c r="E66" s="175"/>
      <c r="F66" s="175"/>
      <c r="G66" s="130"/>
      <c r="H66" s="222" t="str">
        <f t="shared" si="1"/>
        <v/>
      </c>
      <c r="I66" s="222" t="str">
        <f t="shared" si="2"/>
        <v/>
      </c>
      <c r="J66" s="67"/>
      <c r="K66" s="67"/>
      <c r="L66" s="67"/>
      <c r="M66" s="294">
        <f t="shared" si="3"/>
        <v>0</v>
      </c>
      <c r="N66" s="163"/>
      <c r="O66" s="163"/>
      <c r="P66" s="163"/>
      <c r="Q66" s="175"/>
      <c r="R66" s="175"/>
      <c r="S66" s="130"/>
      <c r="T66" s="223" t="str">
        <f t="shared" si="4"/>
        <v/>
      </c>
      <c r="U66" s="222" t="str">
        <f t="shared" si="5"/>
        <v/>
      </c>
      <c r="V66" s="323"/>
    </row>
    <row r="67" spans="1:22" x14ac:dyDescent="0.25">
      <c r="A67" s="293">
        <f t="shared" si="0"/>
        <v>0</v>
      </c>
      <c r="B67" s="163"/>
      <c r="C67" s="163"/>
      <c r="D67" s="163"/>
      <c r="E67" s="175"/>
      <c r="F67" s="175"/>
      <c r="G67" s="130"/>
      <c r="H67" s="222" t="str">
        <f t="shared" si="1"/>
        <v/>
      </c>
      <c r="I67" s="222" t="str">
        <f t="shared" si="2"/>
        <v/>
      </c>
      <c r="J67" s="67"/>
      <c r="K67" s="67"/>
      <c r="L67" s="67"/>
      <c r="M67" s="294">
        <f t="shared" si="3"/>
        <v>0</v>
      </c>
      <c r="N67" s="163"/>
      <c r="O67" s="163"/>
      <c r="P67" s="163"/>
      <c r="Q67" s="175"/>
      <c r="R67" s="175"/>
      <c r="S67" s="130"/>
      <c r="T67" s="223" t="str">
        <f t="shared" si="4"/>
        <v/>
      </c>
      <c r="U67" s="222" t="str">
        <f t="shared" si="5"/>
        <v/>
      </c>
      <c r="V67" s="323"/>
    </row>
    <row r="68" spans="1:22" x14ac:dyDescent="0.25">
      <c r="A68" s="293">
        <f t="shared" si="0"/>
        <v>0</v>
      </c>
      <c r="B68" s="163"/>
      <c r="C68" s="163"/>
      <c r="D68" s="163"/>
      <c r="E68" s="175"/>
      <c r="F68" s="175"/>
      <c r="G68" s="130"/>
      <c r="H68" s="222" t="str">
        <f t="shared" si="1"/>
        <v/>
      </c>
      <c r="I68" s="222" t="str">
        <f t="shared" si="2"/>
        <v/>
      </c>
      <c r="J68" s="67"/>
      <c r="K68" s="67"/>
      <c r="L68" s="67"/>
      <c r="M68" s="294">
        <f t="shared" si="3"/>
        <v>0</v>
      </c>
      <c r="N68" s="163"/>
      <c r="O68" s="163"/>
      <c r="P68" s="163"/>
      <c r="Q68" s="175"/>
      <c r="R68" s="175"/>
      <c r="S68" s="130"/>
      <c r="T68" s="223" t="str">
        <f t="shared" si="4"/>
        <v/>
      </c>
      <c r="U68" s="222" t="str">
        <f t="shared" si="5"/>
        <v/>
      </c>
      <c r="V68" s="323"/>
    </row>
    <row r="69" spans="1:22" x14ac:dyDescent="0.25">
      <c r="A69" s="293">
        <f t="shared" si="0"/>
        <v>0</v>
      </c>
      <c r="B69" s="163"/>
      <c r="C69" s="163"/>
      <c r="D69" s="163"/>
      <c r="E69" s="175"/>
      <c r="F69" s="175"/>
      <c r="G69" s="130"/>
      <c r="H69" s="222" t="str">
        <f t="shared" si="1"/>
        <v/>
      </c>
      <c r="I69" s="222" t="str">
        <f t="shared" si="2"/>
        <v/>
      </c>
      <c r="J69" s="67"/>
      <c r="K69" s="67"/>
      <c r="L69" s="67"/>
      <c r="M69" s="294">
        <f t="shared" si="3"/>
        <v>0</v>
      </c>
      <c r="N69" s="163"/>
      <c r="O69" s="163"/>
      <c r="P69" s="163"/>
      <c r="Q69" s="175"/>
      <c r="R69" s="175"/>
      <c r="S69" s="130"/>
      <c r="T69" s="223" t="str">
        <f t="shared" si="4"/>
        <v/>
      </c>
      <c r="U69" s="222" t="str">
        <f t="shared" si="5"/>
        <v/>
      </c>
      <c r="V69" s="323"/>
    </row>
    <row r="70" spans="1:22" x14ac:dyDescent="0.25">
      <c r="A70" s="293">
        <f t="shared" si="0"/>
        <v>0</v>
      </c>
      <c r="B70" s="163"/>
      <c r="C70" s="163"/>
      <c r="D70" s="163"/>
      <c r="E70" s="175"/>
      <c r="F70" s="175"/>
      <c r="G70" s="130"/>
      <c r="H70" s="222" t="str">
        <f t="shared" si="1"/>
        <v/>
      </c>
      <c r="I70" s="222" t="str">
        <f t="shared" si="2"/>
        <v/>
      </c>
      <c r="J70" s="67"/>
      <c r="K70" s="67"/>
      <c r="L70" s="67"/>
      <c r="M70" s="294">
        <f t="shared" si="3"/>
        <v>0</v>
      </c>
      <c r="N70" s="163"/>
      <c r="O70" s="163"/>
      <c r="P70" s="163"/>
      <c r="Q70" s="175"/>
      <c r="R70" s="175"/>
      <c r="S70" s="130"/>
      <c r="T70" s="223" t="str">
        <f t="shared" si="4"/>
        <v/>
      </c>
      <c r="U70" s="222" t="str">
        <f t="shared" si="5"/>
        <v/>
      </c>
      <c r="V70" s="323"/>
    </row>
    <row r="71" spans="1:22" x14ac:dyDescent="0.25">
      <c r="A71" s="293">
        <f t="shared" si="0"/>
        <v>0</v>
      </c>
      <c r="B71" s="163"/>
      <c r="C71" s="163"/>
      <c r="D71" s="163"/>
      <c r="E71" s="175"/>
      <c r="F71" s="175"/>
      <c r="G71" s="130"/>
      <c r="H71" s="222" t="str">
        <f t="shared" si="1"/>
        <v/>
      </c>
      <c r="I71" s="222" t="str">
        <f t="shared" si="2"/>
        <v/>
      </c>
      <c r="J71" s="67"/>
      <c r="K71" s="67"/>
      <c r="L71" s="67"/>
      <c r="M71" s="294">
        <f t="shared" si="3"/>
        <v>0</v>
      </c>
      <c r="N71" s="163"/>
      <c r="O71" s="163"/>
      <c r="P71" s="163"/>
      <c r="Q71" s="175"/>
      <c r="R71" s="175"/>
      <c r="S71" s="130"/>
      <c r="T71" s="223" t="str">
        <f t="shared" si="4"/>
        <v/>
      </c>
      <c r="U71" s="222" t="str">
        <f t="shared" si="5"/>
        <v/>
      </c>
      <c r="V71" s="323"/>
    </row>
    <row r="72" spans="1:22" x14ac:dyDescent="0.25">
      <c r="A72" s="293">
        <f t="shared" si="0"/>
        <v>0</v>
      </c>
      <c r="B72" s="163"/>
      <c r="C72" s="163"/>
      <c r="D72" s="163"/>
      <c r="E72" s="175"/>
      <c r="F72" s="175"/>
      <c r="G72" s="130"/>
      <c r="H72" s="222" t="str">
        <f t="shared" si="1"/>
        <v/>
      </c>
      <c r="I72" s="222" t="str">
        <f t="shared" si="2"/>
        <v/>
      </c>
      <c r="J72" s="67"/>
      <c r="K72" s="67"/>
      <c r="L72" s="67"/>
      <c r="M72" s="294">
        <f t="shared" si="3"/>
        <v>0</v>
      </c>
      <c r="N72" s="163"/>
      <c r="O72" s="163"/>
      <c r="P72" s="163"/>
      <c r="Q72" s="175"/>
      <c r="R72" s="175"/>
      <c r="S72" s="130"/>
      <c r="T72" s="223" t="str">
        <f t="shared" si="4"/>
        <v/>
      </c>
      <c r="U72" s="222" t="str">
        <f t="shared" si="5"/>
        <v/>
      </c>
      <c r="V72" s="323"/>
    </row>
    <row r="73" spans="1:22" x14ac:dyDescent="0.25">
      <c r="A73" s="293">
        <f t="shared" si="0"/>
        <v>0</v>
      </c>
      <c r="B73" s="163"/>
      <c r="C73" s="163"/>
      <c r="D73" s="163"/>
      <c r="E73" s="175"/>
      <c r="F73" s="175"/>
      <c r="G73" s="130"/>
      <c r="H73" s="222" t="str">
        <f t="shared" si="1"/>
        <v/>
      </c>
      <c r="I73" s="222" t="str">
        <f t="shared" si="2"/>
        <v/>
      </c>
      <c r="J73" s="67"/>
      <c r="K73" s="67"/>
      <c r="L73" s="67"/>
      <c r="M73" s="294">
        <f t="shared" si="3"/>
        <v>0</v>
      </c>
      <c r="N73" s="163"/>
      <c r="O73" s="163"/>
      <c r="P73" s="163"/>
      <c r="Q73" s="175"/>
      <c r="R73" s="175"/>
      <c r="S73" s="130"/>
      <c r="T73" s="223" t="str">
        <f t="shared" si="4"/>
        <v/>
      </c>
      <c r="U73" s="222" t="str">
        <f t="shared" si="5"/>
        <v/>
      </c>
      <c r="V73" s="323"/>
    </row>
    <row r="74" spans="1:22" x14ac:dyDescent="0.25">
      <c r="A74" s="293">
        <f t="shared" si="0"/>
        <v>0</v>
      </c>
      <c r="B74" s="163"/>
      <c r="C74" s="163"/>
      <c r="D74" s="163"/>
      <c r="E74" s="175"/>
      <c r="F74" s="175"/>
      <c r="G74" s="130"/>
      <c r="H74" s="222" t="str">
        <f t="shared" si="1"/>
        <v/>
      </c>
      <c r="I74" s="222" t="str">
        <f t="shared" si="2"/>
        <v/>
      </c>
      <c r="J74" s="67"/>
      <c r="K74" s="67"/>
      <c r="L74" s="67"/>
      <c r="M74" s="294">
        <f t="shared" si="3"/>
        <v>0</v>
      </c>
      <c r="N74" s="163"/>
      <c r="O74" s="163"/>
      <c r="P74" s="163"/>
      <c r="Q74" s="175"/>
      <c r="R74" s="175"/>
      <c r="S74" s="130"/>
      <c r="T74" s="223" t="str">
        <f t="shared" si="4"/>
        <v/>
      </c>
      <c r="U74" s="222" t="str">
        <f t="shared" si="5"/>
        <v/>
      </c>
      <c r="V74" s="323"/>
    </row>
    <row r="75" spans="1:22" x14ac:dyDescent="0.25">
      <c r="A75" s="293">
        <f t="shared" si="0"/>
        <v>0</v>
      </c>
      <c r="B75" s="163"/>
      <c r="C75" s="163"/>
      <c r="D75" s="163"/>
      <c r="E75" s="175"/>
      <c r="F75" s="175"/>
      <c r="G75" s="130"/>
      <c r="H75" s="222" t="str">
        <f t="shared" si="1"/>
        <v/>
      </c>
      <c r="I75" s="222" t="str">
        <f t="shared" si="2"/>
        <v/>
      </c>
      <c r="J75" s="67"/>
      <c r="K75" s="67"/>
      <c r="L75" s="67"/>
      <c r="M75" s="294">
        <f t="shared" si="3"/>
        <v>0</v>
      </c>
      <c r="N75" s="163"/>
      <c r="O75" s="163"/>
      <c r="P75" s="163"/>
      <c r="Q75" s="175"/>
      <c r="R75" s="175"/>
      <c r="S75" s="130"/>
      <c r="T75" s="223" t="str">
        <f t="shared" si="4"/>
        <v/>
      </c>
      <c r="U75" s="222" t="str">
        <f t="shared" si="5"/>
        <v/>
      </c>
      <c r="V75" s="323"/>
    </row>
    <row r="76" spans="1:22" x14ac:dyDescent="0.25">
      <c r="A76" s="293">
        <f t="shared" si="0"/>
        <v>0</v>
      </c>
      <c r="B76" s="163"/>
      <c r="C76" s="163"/>
      <c r="D76" s="163"/>
      <c r="E76" s="175"/>
      <c r="F76" s="175"/>
      <c r="G76" s="130"/>
      <c r="H76" s="222" t="str">
        <f t="shared" si="1"/>
        <v/>
      </c>
      <c r="I76" s="222" t="str">
        <f t="shared" si="2"/>
        <v/>
      </c>
      <c r="J76" s="67"/>
      <c r="K76" s="67"/>
      <c r="L76" s="67"/>
      <c r="M76" s="294">
        <f t="shared" si="3"/>
        <v>0</v>
      </c>
      <c r="N76" s="163"/>
      <c r="O76" s="163"/>
      <c r="P76" s="163"/>
      <c r="Q76" s="175"/>
      <c r="R76" s="175"/>
      <c r="S76" s="130"/>
      <c r="T76" s="223" t="str">
        <f t="shared" si="4"/>
        <v/>
      </c>
      <c r="U76" s="222" t="str">
        <f t="shared" si="5"/>
        <v/>
      </c>
      <c r="V76" s="323"/>
    </row>
    <row r="77" spans="1:22" x14ac:dyDescent="0.25">
      <c r="A77" s="293">
        <f t="shared" si="0"/>
        <v>0</v>
      </c>
      <c r="B77" s="163"/>
      <c r="C77" s="163"/>
      <c r="D77" s="163"/>
      <c r="E77" s="175"/>
      <c r="F77" s="175"/>
      <c r="G77" s="130"/>
      <c r="H77" s="222" t="str">
        <f t="shared" si="1"/>
        <v/>
      </c>
      <c r="I77" s="222" t="str">
        <f t="shared" si="2"/>
        <v/>
      </c>
      <c r="J77" s="67"/>
      <c r="K77" s="67"/>
      <c r="L77" s="67"/>
      <c r="M77" s="294">
        <f t="shared" si="3"/>
        <v>0</v>
      </c>
      <c r="N77" s="163"/>
      <c r="O77" s="163"/>
      <c r="P77" s="163"/>
      <c r="Q77" s="175"/>
      <c r="R77" s="175"/>
      <c r="S77" s="130"/>
      <c r="T77" s="223" t="str">
        <f t="shared" si="4"/>
        <v/>
      </c>
      <c r="U77" s="222" t="str">
        <f t="shared" si="5"/>
        <v/>
      </c>
      <c r="V77" s="323"/>
    </row>
    <row r="78" spans="1:22" x14ac:dyDescent="0.25">
      <c r="A78" s="293">
        <f t="shared" si="0"/>
        <v>0</v>
      </c>
      <c r="B78" s="163"/>
      <c r="C78" s="163"/>
      <c r="D78" s="163"/>
      <c r="E78" s="175"/>
      <c r="F78" s="175"/>
      <c r="G78" s="130"/>
      <c r="H78" s="222" t="str">
        <f t="shared" si="1"/>
        <v/>
      </c>
      <c r="I78" s="222" t="str">
        <f t="shared" si="2"/>
        <v/>
      </c>
      <c r="J78" s="67"/>
      <c r="K78" s="67"/>
      <c r="L78" s="67"/>
      <c r="M78" s="294">
        <f t="shared" si="3"/>
        <v>0</v>
      </c>
      <c r="N78" s="163"/>
      <c r="O78" s="163"/>
      <c r="P78" s="163"/>
      <c r="Q78" s="175"/>
      <c r="R78" s="175"/>
      <c r="S78" s="130"/>
      <c r="T78" s="223" t="str">
        <f t="shared" si="4"/>
        <v/>
      </c>
      <c r="U78" s="222" t="str">
        <f t="shared" si="5"/>
        <v/>
      </c>
      <c r="V78" s="323"/>
    </row>
    <row r="79" spans="1:22" x14ac:dyDescent="0.25">
      <c r="A79" s="293">
        <f t="shared" si="0"/>
        <v>0</v>
      </c>
      <c r="B79" s="163"/>
      <c r="C79" s="163"/>
      <c r="D79" s="163"/>
      <c r="E79" s="175"/>
      <c r="F79" s="175"/>
      <c r="G79" s="130"/>
      <c r="H79" s="222" t="str">
        <f t="shared" si="1"/>
        <v/>
      </c>
      <c r="I79" s="222" t="str">
        <f t="shared" si="2"/>
        <v/>
      </c>
      <c r="J79" s="67"/>
      <c r="K79" s="67"/>
      <c r="L79" s="67"/>
      <c r="M79" s="294">
        <f t="shared" si="3"/>
        <v>0</v>
      </c>
      <c r="N79" s="163"/>
      <c r="O79" s="163"/>
      <c r="P79" s="163"/>
      <c r="Q79" s="175"/>
      <c r="R79" s="175"/>
      <c r="S79" s="130"/>
      <c r="T79" s="223" t="str">
        <f t="shared" si="4"/>
        <v/>
      </c>
      <c r="U79" s="222" t="str">
        <f t="shared" si="5"/>
        <v/>
      </c>
      <c r="V79" s="323"/>
    </row>
    <row r="80" spans="1:22" x14ac:dyDescent="0.25">
      <c r="A80" s="293">
        <f t="shared" si="0"/>
        <v>0</v>
      </c>
      <c r="B80" s="163"/>
      <c r="C80" s="163"/>
      <c r="D80" s="163"/>
      <c r="E80" s="175"/>
      <c r="F80" s="175"/>
      <c r="G80" s="130"/>
      <c r="H80" s="222" t="str">
        <f t="shared" si="1"/>
        <v/>
      </c>
      <c r="I80" s="222" t="str">
        <f t="shared" si="2"/>
        <v/>
      </c>
      <c r="J80" s="67"/>
      <c r="K80" s="67"/>
      <c r="L80" s="67"/>
      <c r="M80" s="294">
        <f t="shared" si="3"/>
        <v>0</v>
      </c>
      <c r="N80" s="163"/>
      <c r="O80" s="163"/>
      <c r="P80" s="163"/>
      <c r="Q80" s="175"/>
      <c r="R80" s="175"/>
      <c r="S80" s="130"/>
      <c r="T80" s="223" t="str">
        <f t="shared" si="4"/>
        <v/>
      </c>
      <c r="U80" s="222" t="str">
        <f t="shared" si="5"/>
        <v/>
      </c>
      <c r="V80" s="323"/>
    </row>
    <row r="81" spans="1:22" x14ac:dyDescent="0.25">
      <c r="A81" s="293">
        <f t="shared" si="0"/>
        <v>0</v>
      </c>
      <c r="B81" s="163"/>
      <c r="C81" s="163"/>
      <c r="D81" s="163"/>
      <c r="E81" s="175"/>
      <c r="F81" s="175"/>
      <c r="G81" s="130"/>
      <c r="H81" s="222" t="str">
        <f t="shared" si="1"/>
        <v/>
      </c>
      <c r="I81" s="222" t="str">
        <f t="shared" si="2"/>
        <v/>
      </c>
      <c r="J81" s="67"/>
      <c r="K81" s="67"/>
      <c r="L81" s="67"/>
      <c r="M81" s="294">
        <f t="shared" si="3"/>
        <v>0</v>
      </c>
      <c r="N81" s="163"/>
      <c r="O81" s="163"/>
      <c r="P81" s="163"/>
      <c r="Q81" s="175"/>
      <c r="R81" s="175"/>
      <c r="S81" s="130"/>
      <c r="T81" s="223" t="str">
        <f t="shared" si="4"/>
        <v/>
      </c>
      <c r="U81" s="222" t="str">
        <f t="shared" si="5"/>
        <v/>
      </c>
      <c r="V81" s="323"/>
    </row>
    <row r="82" spans="1:22"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67"/>
      <c r="M82" s="294">
        <f t="shared" ref="M82:M116" si="9">IF(N82&lt;&gt;"",ROW(A66),0)</f>
        <v>0</v>
      </c>
      <c r="N82" s="163"/>
      <c r="O82" s="163"/>
      <c r="P82" s="163"/>
      <c r="Q82" s="175"/>
      <c r="R82" s="175"/>
      <c r="S82" s="130"/>
      <c r="T82" s="223" t="str">
        <f t="shared" ref="T82:T116" si="10">IF(ROW(A66)&lt;=$M$16,R82*Q82,"")</f>
        <v/>
      </c>
      <c r="U82" s="222" t="str">
        <f t="shared" ref="U82:U116" si="11">IFERROR(T82/52,"")</f>
        <v/>
      </c>
      <c r="V82" s="323"/>
    </row>
    <row r="83" spans="1:22" x14ac:dyDescent="0.25">
      <c r="A83" s="293">
        <f t="shared" si="6"/>
        <v>0</v>
      </c>
      <c r="B83" s="163"/>
      <c r="C83" s="163"/>
      <c r="D83" s="163"/>
      <c r="E83" s="175"/>
      <c r="F83" s="175"/>
      <c r="G83" s="130"/>
      <c r="H83" s="222" t="str">
        <f t="shared" si="7"/>
        <v/>
      </c>
      <c r="I83" s="222" t="str">
        <f t="shared" si="8"/>
        <v/>
      </c>
      <c r="J83" s="67"/>
      <c r="K83" s="67"/>
      <c r="L83" s="67"/>
      <c r="M83" s="294">
        <f t="shared" si="9"/>
        <v>0</v>
      </c>
      <c r="N83" s="163"/>
      <c r="O83" s="163"/>
      <c r="P83" s="163"/>
      <c r="Q83" s="175"/>
      <c r="R83" s="175"/>
      <c r="S83" s="130"/>
      <c r="T83" s="223" t="str">
        <f t="shared" si="10"/>
        <v/>
      </c>
      <c r="U83" s="222" t="str">
        <f t="shared" si="11"/>
        <v/>
      </c>
      <c r="V83" s="323"/>
    </row>
    <row r="84" spans="1:22" x14ac:dyDescent="0.25">
      <c r="A84" s="293">
        <f t="shared" si="6"/>
        <v>0</v>
      </c>
      <c r="B84" s="163"/>
      <c r="C84" s="163"/>
      <c r="D84" s="163"/>
      <c r="E84" s="175"/>
      <c r="F84" s="175"/>
      <c r="G84" s="130"/>
      <c r="H84" s="222" t="str">
        <f t="shared" si="7"/>
        <v/>
      </c>
      <c r="I84" s="222" t="str">
        <f t="shared" si="8"/>
        <v/>
      </c>
      <c r="J84" s="67"/>
      <c r="K84" s="67"/>
      <c r="L84" s="67"/>
      <c r="M84" s="294">
        <f t="shared" si="9"/>
        <v>0</v>
      </c>
      <c r="N84" s="163"/>
      <c r="O84" s="163"/>
      <c r="P84" s="163"/>
      <c r="Q84" s="175"/>
      <c r="R84" s="175"/>
      <c r="S84" s="130"/>
      <c r="T84" s="223" t="str">
        <f t="shared" si="10"/>
        <v/>
      </c>
      <c r="U84" s="222" t="str">
        <f t="shared" si="11"/>
        <v/>
      </c>
      <c r="V84" s="323"/>
    </row>
    <row r="85" spans="1:22" x14ac:dyDescent="0.25">
      <c r="A85" s="293">
        <f t="shared" si="6"/>
        <v>0</v>
      </c>
      <c r="B85" s="163"/>
      <c r="C85" s="163"/>
      <c r="D85" s="163"/>
      <c r="E85" s="175"/>
      <c r="F85" s="175"/>
      <c r="G85" s="130"/>
      <c r="H85" s="222" t="str">
        <f t="shared" si="7"/>
        <v/>
      </c>
      <c r="I85" s="222" t="str">
        <f t="shared" si="8"/>
        <v/>
      </c>
      <c r="J85" s="67"/>
      <c r="K85" s="67"/>
      <c r="L85" s="67"/>
      <c r="M85" s="294">
        <f t="shared" si="9"/>
        <v>0</v>
      </c>
      <c r="N85" s="163"/>
      <c r="O85" s="163"/>
      <c r="P85" s="163"/>
      <c r="Q85" s="175"/>
      <c r="R85" s="175"/>
      <c r="S85" s="130"/>
      <c r="T85" s="223" t="str">
        <f t="shared" si="10"/>
        <v/>
      </c>
      <c r="U85" s="222" t="str">
        <f t="shared" si="11"/>
        <v/>
      </c>
      <c r="V85" s="323"/>
    </row>
    <row r="86" spans="1:22" x14ac:dyDescent="0.25">
      <c r="A86" s="293">
        <f t="shared" si="6"/>
        <v>0</v>
      </c>
      <c r="B86" s="163"/>
      <c r="C86" s="163"/>
      <c r="D86" s="163"/>
      <c r="E86" s="175"/>
      <c r="F86" s="175"/>
      <c r="G86" s="130"/>
      <c r="H86" s="222" t="str">
        <f t="shared" si="7"/>
        <v/>
      </c>
      <c r="I86" s="222" t="str">
        <f t="shared" si="8"/>
        <v/>
      </c>
      <c r="J86" s="67"/>
      <c r="K86" s="67"/>
      <c r="L86" s="67"/>
      <c r="M86" s="294">
        <f t="shared" si="9"/>
        <v>0</v>
      </c>
      <c r="N86" s="163"/>
      <c r="O86" s="163"/>
      <c r="P86" s="163"/>
      <c r="Q86" s="175"/>
      <c r="R86" s="175"/>
      <c r="S86" s="130"/>
      <c r="T86" s="223" t="str">
        <f t="shared" si="10"/>
        <v/>
      </c>
      <c r="U86" s="222" t="str">
        <f t="shared" si="11"/>
        <v/>
      </c>
      <c r="V86" s="323"/>
    </row>
    <row r="87" spans="1:22" x14ac:dyDescent="0.25">
      <c r="A87" s="293">
        <f t="shared" si="6"/>
        <v>0</v>
      </c>
      <c r="B87" s="163"/>
      <c r="C87" s="163"/>
      <c r="D87" s="163"/>
      <c r="E87" s="175"/>
      <c r="F87" s="175"/>
      <c r="G87" s="130"/>
      <c r="H87" s="222" t="str">
        <f t="shared" si="7"/>
        <v/>
      </c>
      <c r="I87" s="222" t="str">
        <f t="shared" si="8"/>
        <v/>
      </c>
      <c r="J87" s="67"/>
      <c r="K87" s="67"/>
      <c r="L87" s="67"/>
      <c r="M87" s="294">
        <f t="shared" si="9"/>
        <v>0</v>
      </c>
      <c r="N87" s="163"/>
      <c r="O87" s="163"/>
      <c r="P87" s="163"/>
      <c r="Q87" s="175"/>
      <c r="R87" s="175"/>
      <c r="S87" s="130"/>
      <c r="T87" s="223" t="str">
        <f t="shared" si="10"/>
        <v/>
      </c>
      <c r="U87" s="222" t="str">
        <f t="shared" si="11"/>
        <v/>
      </c>
      <c r="V87" s="323"/>
    </row>
    <row r="88" spans="1:22" x14ac:dyDescent="0.25">
      <c r="A88" s="293">
        <f t="shared" si="6"/>
        <v>0</v>
      </c>
      <c r="B88" s="163"/>
      <c r="C88" s="163"/>
      <c r="D88" s="163"/>
      <c r="E88" s="175"/>
      <c r="F88" s="175"/>
      <c r="G88" s="130"/>
      <c r="H88" s="222" t="str">
        <f t="shared" si="7"/>
        <v/>
      </c>
      <c r="I88" s="222" t="str">
        <f t="shared" si="8"/>
        <v/>
      </c>
      <c r="J88" s="67"/>
      <c r="K88" s="67"/>
      <c r="L88" s="67"/>
      <c r="M88" s="294">
        <f t="shared" si="9"/>
        <v>0</v>
      </c>
      <c r="N88" s="163"/>
      <c r="O88" s="163"/>
      <c r="P88" s="163"/>
      <c r="Q88" s="175"/>
      <c r="R88" s="175"/>
      <c r="S88" s="130"/>
      <c r="T88" s="223" t="str">
        <f t="shared" si="10"/>
        <v/>
      </c>
      <c r="U88" s="222" t="str">
        <f t="shared" si="11"/>
        <v/>
      </c>
      <c r="V88" s="323"/>
    </row>
    <row r="89" spans="1:22" x14ac:dyDescent="0.25">
      <c r="A89" s="293">
        <f t="shared" si="6"/>
        <v>0</v>
      </c>
      <c r="B89" s="163"/>
      <c r="C89" s="163"/>
      <c r="D89" s="163"/>
      <c r="E89" s="175"/>
      <c r="F89" s="175"/>
      <c r="G89" s="130"/>
      <c r="H89" s="222" t="str">
        <f t="shared" si="7"/>
        <v/>
      </c>
      <c r="I89" s="222" t="str">
        <f t="shared" si="8"/>
        <v/>
      </c>
      <c r="J89" s="67"/>
      <c r="K89" s="67"/>
      <c r="L89" s="67"/>
      <c r="M89" s="294">
        <f t="shared" si="9"/>
        <v>0</v>
      </c>
      <c r="N89" s="163"/>
      <c r="O89" s="163"/>
      <c r="P89" s="163"/>
      <c r="Q89" s="175"/>
      <c r="R89" s="175"/>
      <c r="S89" s="130"/>
      <c r="T89" s="223" t="str">
        <f t="shared" si="10"/>
        <v/>
      </c>
      <c r="U89" s="222" t="str">
        <f t="shared" si="11"/>
        <v/>
      </c>
      <c r="V89" s="323"/>
    </row>
    <row r="90" spans="1:22" x14ac:dyDescent="0.25">
      <c r="A90" s="293">
        <f t="shared" si="6"/>
        <v>0</v>
      </c>
      <c r="B90" s="163"/>
      <c r="C90" s="163"/>
      <c r="D90" s="163"/>
      <c r="E90" s="175"/>
      <c r="F90" s="175"/>
      <c r="G90" s="130"/>
      <c r="H90" s="222" t="str">
        <f t="shared" si="7"/>
        <v/>
      </c>
      <c r="I90" s="222" t="str">
        <f t="shared" si="8"/>
        <v/>
      </c>
      <c r="J90" s="67"/>
      <c r="K90" s="67"/>
      <c r="L90" s="67"/>
      <c r="M90" s="294">
        <f t="shared" si="9"/>
        <v>0</v>
      </c>
      <c r="N90" s="163"/>
      <c r="O90" s="163"/>
      <c r="P90" s="163"/>
      <c r="Q90" s="175"/>
      <c r="R90" s="175"/>
      <c r="S90" s="130"/>
      <c r="T90" s="223" t="str">
        <f t="shared" si="10"/>
        <v/>
      </c>
      <c r="U90" s="222" t="str">
        <f t="shared" si="11"/>
        <v/>
      </c>
      <c r="V90" s="323"/>
    </row>
    <row r="91" spans="1:22" x14ac:dyDescent="0.25">
      <c r="A91" s="293">
        <f t="shared" si="6"/>
        <v>0</v>
      </c>
      <c r="B91" s="163"/>
      <c r="C91" s="163"/>
      <c r="D91" s="163"/>
      <c r="E91" s="175"/>
      <c r="F91" s="175"/>
      <c r="G91" s="130"/>
      <c r="H91" s="222" t="str">
        <f t="shared" si="7"/>
        <v/>
      </c>
      <c r="I91" s="222" t="str">
        <f t="shared" si="8"/>
        <v/>
      </c>
      <c r="J91" s="67"/>
      <c r="K91" s="67"/>
      <c r="L91" s="67"/>
      <c r="M91" s="294">
        <f t="shared" si="9"/>
        <v>0</v>
      </c>
      <c r="N91" s="163"/>
      <c r="O91" s="163"/>
      <c r="P91" s="163"/>
      <c r="Q91" s="175"/>
      <c r="R91" s="175"/>
      <c r="S91" s="130"/>
      <c r="T91" s="223" t="str">
        <f t="shared" si="10"/>
        <v/>
      </c>
      <c r="U91" s="222" t="str">
        <f t="shared" si="11"/>
        <v/>
      </c>
      <c r="V91" s="323"/>
    </row>
    <row r="92" spans="1:22" x14ac:dyDescent="0.25">
      <c r="A92" s="293">
        <f t="shared" si="6"/>
        <v>0</v>
      </c>
      <c r="B92" s="163"/>
      <c r="C92" s="163"/>
      <c r="D92" s="163"/>
      <c r="E92" s="175"/>
      <c r="F92" s="175"/>
      <c r="G92" s="130"/>
      <c r="H92" s="222" t="str">
        <f t="shared" si="7"/>
        <v/>
      </c>
      <c r="I92" s="222" t="str">
        <f t="shared" si="8"/>
        <v/>
      </c>
      <c r="J92" s="67"/>
      <c r="K92" s="67"/>
      <c r="L92" s="67"/>
      <c r="M92" s="294">
        <f t="shared" si="9"/>
        <v>0</v>
      </c>
      <c r="N92" s="163"/>
      <c r="O92" s="163"/>
      <c r="P92" s="163"/>
      <c r="Q92" s="175"/>
      <c r="R92" s="175"/>
      <c r="S92" s="130"/>
      <c r="T92" s="223" t="str">
        <f t="shared" si="10"/>
        <v/>
      </c>
      <c r="U92" s="222" t="str">
        <f t="shared" si="11"/>
        <v/>
      </c>
      <c r="V92" s="323"/>
    </row>
    <row r="93" spans="1:22" x14ac:dyDescent="0.25">
      <c r="A93" s="293">
        <f t="shared" si="6"/>
        <v>0</v>
      </c>
      <c r="B93" s="163"/>
      <c r="C93" s="163"/>
      <c r="D93" s="163"/>
      <c r="E93" s="175"/>
      <c r="F93" s="175"/>
      <c r="G93" s="130"/>
      <c r="H93" s="222" t="str">
        <f t="shared" si="7"/>
        <v/>
      </c>
      <c r="I93" s="222" t="str">
        <f t="shared" si="8"/>
        <v/>
      </c>
      <c r="J93" s="67"/>
      <c r="K93" s="67"/>
      <c r="L93" s="67"/>
      <c r="M93" s="294">
        <f t="shared" si="9"/>
        <v>0</v>
      </c>
      <c r="N93" s="163"/>
      <c r="O93" s="163"/>
      <c r="P93" s="163"/>
      <c r="Q93" s="175"/>
      <c r="R93" s="175"/>
      <c r="S93" s="130"/>
      <c r="T93" s="223" t="str">
        <f t="shared" si="10"/>
        <v/>
      </c>
      <c r="U93" s="222" t="str">
        <f t="shared" si="11"/>
        <v/>
      </c>
      <c r="V93" s="323"/>
    </row>
    <row r="94" spans="1:22" x14ac:dyDescent="0.25">
      <c r="A94" s="293">
        <f t="shared" si="6"/>
        <v>0</v>
      </c>
      <c r="B94" s="163"/>
      <c r="C94" s="163"/>
      <c r="D94" s="163"/>
      <c r="E94" s="175"/>
      <c r="F94" s="175"/>
      <c r="G94" s="130"/>
      <c r="H94" s="222" t="str">
        <f t="shared" si="7"/>
        <v/>
      </c>
      <c r="I94" s="222" t="str">
        <f t="shared" si="8"/>
        <v/>
      </c>
      <c r="J94" s="67"/>
      <c r="K94" s="67"/>
      <c r="L94" s="67"/>
      <c r="M94" s="294">
        <f t="shared" si="9"/>
        <v>0</v>
      </c>
      <c r="N94" s="163"/>
      <c r="O94" s="163"/>
      <c r="P94" s="163"/>
      <c r="Q94" s="175"/>
      <c r="R94" s="175"/>
      <c r="S94" s="130"/>
      <c r="T94" s="223" t="str">
        <f t="shared" si="10"/>
        <v/>
      </c>
      <c r="U94" s="222" t="str">
        <f t="shared" si="11"/>
        <v/>
      </c>
      <c r="V94" s="323"/>
    </row>
    <row r="95" spans="1:22" x14ac:dyDescent="0.25">
      <c r="A95" s="293">
        <f t="shared" si="6"/>
        <v>0</v>
      </c>
      <c r="B95" s="163"/>
      <c r="C95" s="163"/>
      <c r="D95" s="163"/>
      <c r="E95" s="175"/>
      <c r="F95" s="175"/>
      <c r="G95" s="130"/>
      <c r="H95" s="222" t="str">
        <f t="shared" si="7"/>
        <v/>
      </c>
      <c r="I95" s="222" t="str">
        <f t="shared" si="8"/>
        <v/>
      </c>
      <c r="J95" s="67"/>
      <c r="K95" s="67"/>
      <c r="L95" s="67"/>
      <c r="M95" s="294">
        <f t="shared" si="9"/>
        <v>0</v>
      </c>
      <c r="N95" s="163"/>
      <c r="O95" s="163"/>
      <c r="P95" s="163"/>
      <c r="Q95" s="175"/>
      <c r="R95" s="175"/>
      <c r="S95" s="130"/>
      <c r="T95" s="223" t="str">
        <f t="shared" si="10"/>
        <v/>
      </c>
      <c r="U95" s="222" t="str">
        <f t="shared" si="11"/>
        <v/>
      </c>
      <c r="V95" s="323"/>
    </row>
    <row r="96" spans="1:22" x14ac:dyDescent="0.25">
      <c r="A96" s="293">
        <f t="shared" si="6"/>
        <v>0</v>
      </c>
      <c r="B96" s="163"/>
      <c r="C96" s="163"/>
      <c r="D96" s="163"/>
      <c r="E96" s="175"/>
      <c r="F96" s="175"/>
      <c r="G96" s="130"/>
      <c r="H96" s="222" t="str">
        <f t="shared" si="7"/>
        <v/>
      </c>
      <c r="I96" s="222" t="str">
        <f t="shared" si="8"/>
        <v/>
      </c>
      <c r="J96" s="67"/>
      <c r="K96" s="67"/>
      <c r="L96" s="67"/>
      <c r="M96" s="294">
        <f t="shared" si="9"/>
        <v>0</v>
      </c>
      <c r="N96" s="163"/>
      <c r="O96" s="163"/>
      <c r="P96" s="163"/>
      <c r="Q96" s="175"/>
      <c r="R96" s="175"/>
      <c r="S96" s="130"/>
      <c r="T96" s="223" t="str">
        <f t="shared" si="10"/>
        <v/>
      </c>
      <c r="U96" s="222" t="str">
        <f t="shared" si="11"/>
        <v/>
      </c>
      <c r="V96" s="323"/>
    </row>
    <row r="97" spans="1:22" x14ac:dyDescent="0.25">
      <c r="A97" s="293">
        <f t="shared" si="6"/>
        <v>0</v>
      </c>
      <c r="B97" s="163"/>
      <c r="C97" s="163"/>
      <c r="D97" s="163"/>
      <c r="E97" s="175"/>
      <c r="F97" s="175"/>
      <c r="G97" s="130"/>
      <c r="H97" s="222" t="str">
        <f t="shared" si="7"/>
        <v/>
      </c>
      <c r="I97" s="222" t="str">
        <f t="shared" si="8"/>
        <v/>
      </c>
      <c r="J97" s="67"/>
      <c r="K97" s="67"/>
      <c r="L97" s="67"/>
      <c r="M97" s="294">
        <f t="shared" si="9"/>
        <v>0</v>
      </c>
      <c r="N97" s="163"/>
      <c r="O97" s="163"/>
      <c r="P97" s="163"/>
      <c r="Q97" s="175"/>
      <c r="R97" s="175"/>
      <c r="S97" s="130"/>
      <c r="T97" s="223" t="str">
        <f t="shared" si="10"/>
        <v/>
      </c>
      <c r="U97" s="222" t="str">
        <f t="shared" si="11"/>
        <v/>
      </c>
      <c r="V97" s="323"/>
    </row>
    <row r="98" spans="1:22" x14ac:dyDescent="0.25">
      <c r="A98" s="293">
        <f t="shared" si="6"/>
        <v>0</v>
      </c>
      <c r="B98" s="163"/>
      <c r="C98" s="163"/>
      <c r="D98" s="163"/>
      <c r="E98" s="175"/>
      <c r="F98" s="175"/>
      <c r="G98" s="130"/>
      <c r="H98" s="222" t="str">
        <f t="shared" si="7"/>
        <v/>
      </c>
      <c r="I98" s="222" t="str">
        <f t="shared" si="8"/>
        <v/>
      </c>
      <c r="J98" s="67"/>
      <c r="K98" s="67"/>
      <c r="L98" s="67"/>
      <c r="M98" s="294">
        <f t="shared" si="9"/>
        <v>0</v>
      </c>
      <c r="N98" s="163"/>
      <c r="O98" s="163"/>
      <c r="P98" s="163"/>
      <c r="Q98" s="175"/>
      <c r="R98" s="175"/>
      <c r="S98" s="130"/>
      <c r="T98" s="223" t="str">
        <f t="shared" si="10"/>
        <v/>
      </c>
      <c r="U98" s="222" t="str">
        <f t="shared" si="11"/>
        <v/>
      </c>
      <c r="V98" s="323"/>
    </row>
    <row r="99" spans="1:22" x14ac:dyDescent="0.25">
      <c r="A99" s="293">
        <f t="shared" si="6"/>
        <v>0</v>
      </c>
      <c r="B99" s="163"/>
      <c r="C99" s="163"/>
      <c r="D99" s="163"/>
      <c r="E99" s="175"/>
      <c r="F99" s="175"/>
      <c r="G99" s="130"/>
      <c r="H99" s="222" t="str">
        <f t="shared" si="7"/>
        <v/>
      </c>
      <c r="I99" s="222" t="str">
        <f t="shared" si="8"/>
        <v/>
      </c>
      <c r="J99" s="67"/>
      <c r="K99" s="67"/>
      <c r="L99" s="67"/>
      <c r="M99" s="294">
        <f t="shared" si="9"/>
        <v>0</v>
      </c>
      <c r="N99" s="163"/>
      <c r="O99" s="163"/>
      <c r="P99" s="163"/>
      <c r="Q99" s="175"/>
      <c r="R99" s="175"/>
      <c r="S99" s="130"/>
      <c r="T99" s="223" t="str">
        <f t="shared" si="10"/>
        <v/>
      </c>
      <c r="U99" s="222" t="str">
        <f t="shared" si="11"/>
        <v/>
      </c>
      <c r="V99" s="323"/>
    </row>
    <row r="100" spans="1:22" x14ac:dyDescent="0.25">
      <c r="A100" s="293">
        <f t="shared" si="6"/>
        <v>0</v>
      </c>
      <c r="B100" s="163"/>
      <c r="C100" s="163"/>
      <c r="D100" s="163"/>
      <c r="E100" s="175"/>
      <c r="F100" s="175"/>
      <c r="G100" s="130"/>
      <c r="H100" s="222" t="str">
        <f t="shared" si="7"/>
        <v/>
      </c>
      <c r="I100" s="222" t="str">
        <f t="shared" si="8"/>
        <v/>
      </c>
      <c r="J100" s="67"/>
      <c r="K100" s="67"/>
      <c r="L100" s="67"/>
      <c r="M100" s="294">
        <f t="shared" si="9"/>
        <v>0</v>
      </c>
      <c r="N100" s="163"/>
      <c r="O100" s="163"/>
      <c r="P100" s="163"/>
      <c r="Q100" s="175"/>
      <c r="R100" s="175"/>
      <c r="S100" s="130"/>
      <c r="T100" s="223" t="str">
        <f t="shared" si="10"/>
        <v/>
      </c>
      <c r="U100" s="222" t="str">
        <f t="shared" si="11"/>
        <v/>
      </c>
      <c r="V100" s="323"/>
    </row>
    <row r="101" spans="1:22" x14ac:dyDescent="0.25">
      <c r="A101" s="293">
        <f t="shared" si="6"/>
        <v>0</v>
      </c>
      <c r="B101" s="163"/>
      <c r="C101" s="163"/>
      <c r="D101" s="163"/>
      <c r="E101" s="175"/>
      <c r="F101" s="175"/>
      <c r="G101" s="130"/>
      <c r="H101" s="222" t="str">
        <f t="shared" si="7"/>
        <v/>
      </c>
      <c r="I101" s="222" t="str">
        <f t="shared" si="8"/>
        <v/>
      </c>
      <c r="J101" s="67"/>
      <c r="K101" s="67"/>
      <c r="L101" s="67"/>
      <c r="M101" s="294">
        <f t="shared" si="9"/>
        <v>0</v>
      </c>
      <c r="N101" s="163"/>
      <c r="O101" s="163"/>
      <c r="P101" s="163"/>
      <c r="Q101" s="175"/>
      <c r="R101" s="175"/>
      <c r="S101" s="130"/>
      <c r="T101" s="223" t="str">
        <f t="shared" si="10"/>
        <v/>
      </c>
      <c r="U101" s="222" t="str">
        <f t="shared" si="11"/>
        <v/>
      </c>
      <c r="V101" s="323"/>
    </row>
    <row r="102" spans="1:22" x14ac:dyDescent="0.25">
      <c r="A102" s="293">
        <f t="shared" si="6"/>
        <v>0</v>
      </c>
      <c r="B102" s="163"/>
      <c r="C102" s="163"/>
      <c r="D102" s="163"/>
      <c r="E102" s="175"/>
      <c r="F102" s="175"/>
      <c r="G102" s="130"/>
      <c r="H102" s="222" t="str">
        <f t="shared" si="7"/>
        <v/>
      </c>
      <c r="I102" s="222" t="str">
        <f t="shared" si="8"/>
        <v/>
      </c>
      <c r="J102" s="67"/>
      <c r="K102" s="67"/>
      <c r="L102" s="67"/>
      <c r="M102" s="294">
        <f t="shared" si="9"/>
        <v>0</v>
      </c>
      <c r="N102" s="163"/>
      <c r="O102" s="163"/>
      <c r="P102" s="163"/>
      <c r="Q102" s="175"/>
      <c r="R102" s="175"/>
      <c r="S102" s="130"/>
      <c r="T102" s="223" t="str">
        <f t="shared" si="10"/>
        <v/>
      </c>
      <c r="U102" s="222" t="str">
        <f t="shared" si="11"/>
        <v/>
      </c>
      <c r="V102" s="323"/>
    </row>
    <row r="103" spans="1:22" x14ac:dyDescent="0.25">
      <c r="A103" s="293">
        <f t="shared" si="6"/>
        <v>0</v>
      </c>
      <c r="B103" s="163"/>
      <c r="C103" s="163"/>
      <c r="D103" s="163"/>
      <c r="E103" s="175"/>
      <c r="F103" s="175"/>
      <c r="G103" s="130"/>
      <c r="H103" s="222" t="str">
        <f t="shared" si="7"/>
        <v/>
      </c>
      <c r="I103" s="222" t="str">
        <f t="shared" si="8"/>
        <v/>
      </c>
      <c r="J103" s="67"/>
      <c r="K103" s="67"/>
      <c r="L103" s="67"/>
      <c r="M103" s="294">
        <f t="shared" si="9"/>
        <v>0</v>
      </c>
      <c r="N103" s="163"/>
      <c r="O103" s="163"/>
      <c r="P103" s="163"/>
      <c r="Q103" s="175"/>
      <c r="R103" s="175"/>
      <c r="S103" s="130"/>
      <c r="T103" s="223" t="str">
        <f t="shared" si="10"/>
        <v/>
      </c>
      <c r="U103" s="222" t="str">
        <f t="shared" si="11"/>
        <v/>
      </c>
      <c r="V103" s="323"/>
    </row>
    <row r="104" spans="1:22" x14ac:dyDescent="0.25">
      <c r="A104" s="293">
        <f t="shared" si="6"/>
        <v>0</v>
      </c>
      <c r="B104" s="163"/>
      <c r="C104" s="163"/>
      <c r="D104" s="163"/>
      <c r="E104" s="175"/>
      <c r="F104" s="175"/>
      <c r="G104" s="130"/>
      <c r="H104" s="222" t="str">
        <f t="shared" si="7"/>
        <v/>
      </c>
      <c r="I104" s="222" t="str">
        <f t="shared" si="8"/>
        <v/>
      </c>
      <c r="J104" s="67"/>
      <c r="K104" s="67"/>
      <c r="L104" s="67"/>
      <c r="M104" s="294">
        <f t="shared" si="9"/>
        <v>0</v>
      </c>
      <c r="N104" s="163"/>
      <c r="O104" s="163"/>
      <c r="P104" s="163"/>
      <c r="Q104" s="175"/>
      <c r="R104" s="175"/>
      <c r="S104" s="130"/>
      <c r="T104" s="223" t="str">
        <f t="shared" si="10"/>
        <v/>
      </c>
      <c r="U104" s="222" t="str">
        <f t="shared" si="11"/>
        <v/>
      </c>
      <c r="V104" s="323"/>
    </row>
    <row r="105" spans="1:22" x14ac:dyDescent="0.25">
      <c r="A105" s="293">
        <f t="shared" si="6"/>
        <v>0</v>
      </c>
      <c r="B105" s="163"/>
      <c r="C105" s="163"/>
      <c r="D105" s="163"/>
      <c r="E105" s="175"/>
      <c r="F105" s="175"/>
      <c r="G105" s="130"/>
      <c r="H105" s="222" t="str">
        <f t="shared" si="7"/>
        <v/>
      </c>
      <c r="I105" s="222" t="str">
        <f t="shared" si="8"/>
        <v/>
      </c>
      <c r="J105" s="67"/>
      <c r="K105" s="67"/>
      <c r="L105" s="67"/>
      <c r="M105" s="294">
        <f t="shared" si="9"/>
        <v>0</v>
      </c>
      <c r="N105" s="163"/>
      <c r="O105" s="163"/>
      <c r="P105" s="163"/>
      <c r="Q105" s="175"/>
      <c r="R105" s="175"/>
      <c r="S105" s="130"/>
      <c r="T105" s="223" t="str">
        <f t="shared" si="10"/>
        <v/>
      </c>
      <c r="U105" s="222" t="str">
        <f t="shared" si="11"/>
        <v/>
      </c>
      <c r="V105" s="323"/>
    </row>
    <row r="106" spans="1:22" x14ac:dyDescent="0.25">
      <c r="A106" s="293">
        <f t="shared" si="6"/>
        <v>0</v>
      </c>
      <c r="B106" s="163"/>
      <c r="C106" s="163"/>
      <c r="D106" s="163"/>
      <c r="E106" s="175"/>
      <c r="F106" s="175"/>
      <c r="G106" s="130"/>
      <c r="H106" s="222" t="str">
        <f t="shared" si="7"/>
        <v/>
      </c>
      <c r="I106" s="222" t="str">
        <f t="shared" si="8"/>
        <v/>
      </c>
      <c r="J106" s="67"/>
      <c r="K106" s="67"/>
      <c r="L106" s="67"/>
      <c r="M106" s="294">
        <f t="shared" si="9"/>
        <v>0</v>
      </c>
      <c r="N106" s="163"/>
      <c r="O106" s="163"/>
      <c r="P106" s="163"/>
      <c r="Q106" s="175"/>
      <c r="R106" s="175"/>
      <c r="S106" s="130"/>
      <c r="T106" s="223" t="str">
        <f t="shared" si="10"/>
        <v/>
      </c>
      <c r="U106" s="222" t="str">
        <f t="shared" si="11"/>
        <v/>
      </c>
      <c r="V106" s="323"/>
    </row>
    <row r="107" spans="1:22" x14ac:dyDescent="0.25">
      <c r="A107" s="293">
        <f t="shared" si="6"/>
        <v>0</v>
      </c>
      <c r="B107" s="163"/>
      <c r="C107" s="163"/>
      <c r="D107" s="163"/>
      <c r="E107" s="175"/>
      <c r="F107" s="175"/>
      <c r="G107" s="130"/>
      <c r="H107" s="222" t="str">
        <f t="shared" si="7"/>
        <v/>
      </c>
      <c r="I107" s="222" t="str">
        <f t="shared" si="8"/>
        <v/>
      </c>
      <c r="J107" s="67"/>
      <c r="K107" s="67"/>
      <c r="L107" s="67"/>
      <c r="M107" s="294">
        <f t="shared" si="9"/>
        <v>0</v>
      </c>
      <c r="N107" s="163"/>
      <c r="O107" s="163"/>
      <c r="P107" s="163"/>
      <c r="Q107" s="175"/>
      <c r="R107" s="175"/>
      <c r="S107" s="130"/>
      <c r="T107" s="223" t="str">
        <f t="shared" si="10"/>
        <v/>
      </c>
      <c r="U107" s="222" t="str">
        <f t="shared" si="11"/>
        <v/>
      </c>
      <c r="V107" s="323"/>
    </row>
    <row r="108" spans="1:22" x14ac:dyDescent="0.25">
      <c r="A108" s="293">
        <f t="shared" si="6"/>
        <v>0</v>
      </c>
      <c r="B108" s="163"/>
      <c r="C108" s="163"/>
      <c r="D108" s="163"/>
      <c r="E108" s="175"/>
      <c r="F108" s="175"/>
      <c r="G108" s="130"/>
      <c r="H108" s="222" t="str">
        <f t="shared" si="7"/>
        <v/>
      </c>
      <c r="I108" s="222" t="str">
        <f t="shared" si="8"/>
        <v/>
      </c>
      <c r="J108" s="67"/>
      <c r="K108" s="67"/>
      <c r="L108" s="67"/>
      <c r="M108" s="294">
        <f t="shared" si="9"/>
        <v>0</v>
      </c>
      <c r="N108" s="163"/>
      <c r="O108" s="163"/>
      <c r="P108" s="163"/>
      <c r="Q108" s="175"/>
      <c r="R108" s="175"/>
      <c r="S108" s="130"/>
      <c r="T108" s="223" t="str">
        <f t="shared" si="10"/>
        <v/>
      </c>
      <c r="U108" s="222" t="str">
        <f t="shared" si="11"/>
        <v/>
      </c>
      <c r="V108" s="323"/>
    </row>
    <row r="109" spans="1:22" x14ac:dyDescent="0.25">
      <c r="A109" s="293">
        <f t="shared" si="6"/>
        <v>0</v>
      </c>
      <c r="B109" s="163"/>
      <c r="C109" s="163"/>
      <c r="D109" s="163"/>
      <c r="E109" s="175"/>
      <c r="F109" s="175"/>
      <c r="G109" s="130"/>
      <c r="H109" s="222" t="str">
        <f t="shared" si="7"/>
        <v/>
      </c>
      <c r="I109" s="222" t="str">
        <f t="shared" si="8"/>
        <v/>
      </c>
      <c r="J109" s="67"/>
      <c r="K109" s="67"/>
      <c r="L109" s="67"/>
      <c r="M109" s="294">
        <f t="shared" si="9"/>
        <v>0</v>
      </c>
      <c r="N109" s="163"/>
      <c r="O109" s="163"/>
      <c r="P109" s="163"/>
      <c r="Q109" s="175"/>
      <c r="R109" s="175"/>
      <c r="S109" s="130"/>
      <c r="T109" s="223" t="str">
        <f t="shared" si="10"/>
        <v/>
      </c>
      <c r="U109" s="222" t="str">
        <f t="shared" si="11"/>
        <v/>
      </c>
      <c r="V109" s="323"/>
    </row>
    <row r="110" spans="1:22" x14ac:dyDescent="0.25">
      <c r="A110" s="293">
        <f t="shared" si="6"/>
        <v>0</v>
      </c>
      <c r="B110" s="163"/>
      <c r="C110" s="163"/>
      <c r="D110" s="163"/>
      <c r="E110" s="175"/>
      <c r="F110" s="175"/>
      <c r="G110" s="130"/>
      <c r="H110" s="222" t="str">
        <f t="shared" si="7"/>
        <v/>
      </c>
      <c r="I110" s="222" t="str">
        <f t="shared" si="8"/>
        <v/>
      </c>
      <c r="J110" s="67"/>
      <c r="K110" s="67"/>
      <c r="L110" s="67"/>
      <c r="M110" s="294">
        <f t="shared" si="9"/>
        <v>0</v>
      </c>
      <c r="N110" s="163"/>
      <c r="O110" s="163"/>
      <c r="P110" s="163"/>
      <c r="Q110" s="175"/>
      <c r="R110" s="175"/>
      <c r="S110" s="130"/>
      <c r="T110" s="223" t="str">
        <f t="shared" si="10"/>
        <v/>
      </c>
      <c r="U110" s="222" t="str">
        <f t="shared" si="11"/>
        <v/>
      </c>
      <c r="V110" s="323"/>
    </row>
    <row r="111" spans="1:22" x14ac:dyDescent="0.25">
      <c r="A111" s="293">
        <f t="shared" si="6"/>
        <v>0</v>
      </c>
      <c r="B111" s="163"/>
      <c r="C111" s="163"/>
      <c r="D111" s="163"/>
      <c r="E111" s="175"/>
      <c r="F111" s="175"/>
      <c r="G111" s="130"/>
      <c r="H111" s="222" t="str">
        <f t="shared" si="7"/>
        <v/>
      </c>
      <c r="I111" s="222" t="str">
        <f t="shared" si="8"/>
        <v/>
      </c>
      <c r="J111" s="67"/>
      <c r="K111" s="67"/>
      <c r="L111" s="67"/>
      <c r="M111" s="294">
        <f t="shared" si="9"/>
        <v>0</v>
      </c>
      <c r="N111" s="163"/>
      <c r="O111" s="163"/>
      <c r="P111" s="163"/>
      <c r="Q111" s="175"/>
      <c r="R111" s="175"/>
      <c r="S111" s="130"/>
      <c r="T111" s="223" t="str">
        <f t="shared" si="10"/>
        <v/>
      </c>
      <c r="U111" s="222" t="str">
        <f t="shared" si="11"/>
        <v/>
      </c>
      <c r="V111" s="323"/>
    </row>
    <row r="112" spans="1:22" x14ac:dyDescent="0.25">
      <c r="A112" s="293">
        <f t="shared" si="6"/>
        <v>0</v>
      </c>
      <c r="B112" s="163"/>
      <c r="C112" s="163"/>
      <c r="D112" s="163"/>
      <c r="E112" s="175"/>
      <c r="F112" s="175"/>
      <c r="G112" s="130"/>
      <c r="H112" s="222" t="str">
        <f t="shared" si="7"/>
        <v/>
      </c>
      <c r="I112" s="222" t="str">
        <f t="shared" si="8"/>
        <v/>
      </c>
      <c r="J112" s="67"/>
      <c r="K112" s="67"/>
      <c r="L112" s="67"/>
      <c r="M112" s="294">
        <f t="shared" si="9"/>
        <v>0</v>
      </c>
      <c r="N112" s="163"/>
      <c r="O112" s="163"/>
      <c r="P112" s="163"/>
      <c r="Q112" s="175"/>
      <c r="R112" s="175"/>
      <c r="S112" s="130"/>
      <c r="T112" s="223" t="str">
        <f t="shared" si="10"/>
        <v/>
      </c>
      <c r="U112" s="222" t="str">
        <f t="shared" si="11"/>
        <v/>
      </c>
      <c r="V112" s="323"/>
    </row>
    <row r="113" spans="1:22" x14ac:dyDescent="0.25">
      <c r="A113" s="293">
        <f t="shared" si="6"/>
        <v>0</v>
      </c>
      <c r="B113" s="163"/>
      <c r="C113" s="163"/>
      <c r="D113" s="163"/>
      <c r="E113" s="175"/>
      <c r="F113" s="175"/>
      <c r="G113" s="130"/>
      <c r="H113" s="222" t="str">
        <f t="shared" si="7"/>
        <v/>
      </c>
      <c r="I113" s="222" t="str">
        <f t="shared" si="8"/>
        <v/>
      </c>
      <c r="J113" s="67"/>
      <c r="K113" s="67"/>
      <c r="L113" s="67"/>
      <c r="M113" s="294">
        <f t="shared" si="9"/>
        <v>0</v>
      </c>
      <c r="N113" s="163"/>
      <c r="O113" s="163"/>
      <c r="P113" s="163"/>
      <c r="Q113" s="175"/>
      <c r="R113" s="175"/>
      <c r="S113" s="130"/>
      <c r="T113" s="223" t="str">
        <f t="shared" si="10"/>
        <v/>
      </c>
      <c r="U113" s="222" t="str">
        <f t="shared" si="11"/>
        <v/>
      </c>
      <c r="V113" s="323"/>
    </row>
    <row r="114" spans="1:22" x14ac:dyDescent="0.25">
      <c r="A114" s="293">
        <f t="shared" si="6"/>
        <v>0</v>
      </c>
      <c r="B114" s="163"/>
      <c r="C114" s="163"/>
      <c r="D114" s="163"/>
      <c r="E114" s="175"/>
      <c r="F114" s="175"/>
      <c r="G114" s="130"/>
      <c r="H114" s="222" t="str">
        <f t="shared" si="7"/>
        <v/>
      </c>
      <c r="I114" s="222" t="str">
        <f t="shared" si="8"/>
        <v/>
      </c>
      <c r="J114" s="67"/>
      <c r="K114" s="67"/>
      <c r="L114" s="67"/>
      <c r="M114" s="294">
        <f t="shared" si="9"/>
        <v>0</v>
      </c>
      <c r="N114" s="163"/>
      <c r="O114" s="163"/>
      <c r="P114" s="163"/>
      <c r="Q114" s="175"/>
      <c r="R114" s="175"/>
      <c r="S114" s="130"/>
      <c r="T114" s="223" t="str">
        <f t="shared" si="10"/>
        <v/>
      </c>
      <c r="U114" s="222" t="str">
        <f t="shared" si="11"/>
        <v/>
      </c>
      <c r="V114" s="323"/>
    </row>
    <row r="115" spans="1:22" x14ac:dyDescent="0.25">
      <c r="A115" s="293">
        <f t="shared" si="6"/>
        <v>0</v>
      </c>
      <c r="B115" s="163"/>
      <c r="C115" s="163"/>
      <c r="D115" s="163"/>
      <c r="E115" s="175"/>
      <c r="F115" s="175"/>
      <c r="G115" s="130"/>
      <c r="H115" s="222" t="str">
        <f t="shared" si="7"/>
        <v/>
      </c>
      <c r="I115" s="222" t="str">
        <f t="shared" si="8"/>
        <v/>
      </c>
      <c r="J115" s="67"/>
      <c r="K115" s="67"/>
      <c r="L115" s="67"/>
      <c r="M115" s="294">
        <f t="shared" si="9"/>
        <v>0</v>
      </c>
      <c r="N115" s="163"/>
      <c r="O115" s="163"/>
      <c r="P115" s="163"/>
      <c r="Q115" s="175"/>
      <c r="R115" s="175"/>
      <c r="S115" s="130"/>
      <c r="T115" s="223" t="str">
        <f t="shared" si="10"/>
        <v/>
      </c>
      <c r="U115" s="222" t="str">
        <f t="shared" si="11"/>
        <v/>
      </c>
      <c r="V115" s="323"/>
    </row>
    <row r="116" spans="1:22" x14ac:dyDescent="0.25">
      <c r="A116" s="293">
        <f t="shared" si="6"/>
        <v>0</v>
      </c>
      <c r="B116" s="163"/>
      <c r="C116" s="163"/>
      <c r="D116" s="163"/>
      <c r="E116" s="175"/>
      <c r="F116" s="175"/>
      <c r="G116" s="130"/>
      <c r="H116" s="222" t="str">
        <f t="shared" si="7"/>
        <v/>
      </c>
      <c r="I116" s="222" t="str">
        <f t="shared" si="8"/>
        <v/>
      </c>
      <c r="J116" s="67"/>
      <c r="K116" s="67"/>
      <c r="L116" s="67"/>
      <c r="M116" s="294">
        <f t="shared" si="9"/>
        <v>0</v>
      </c>
      <c r="N116" s="163"/>
      <c r="O116" s="163"/>
      <c r="P116" s="163"/>
      <c r="Q116" s="175"/>
      <c r="R116" s="175"/>
      <c r="S116" s="130"/>
      <c r="T116" s="223" t="str">
        <f t="shared" si="10"/>
        <v/>
      </c>
      <c r="U116" s="222" t="str">
        <f t="shared" si="11"/>
        <v/>
      </c>
      <c r="V116" s="323"/>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Kl2qyB7vgUkzcQZEcMtZ8yPHt0j1oXxbP1HtOaqGz60k89hHiynkIu+VwZn/t82he/Tlh8ZDbCEu/KxB89iEVQ==" saltValue="AO2w7zzxOsQuxJRO+Whog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43955</v>
      </c>
      <c r="F3" s="111"/>
    </row>
    <row r="4" spans="1:19" x14ac:dyDescent="0.25">
      <c r="B4" s="139" t="s">
        <v>437</v>
      </c>
      <c r="C4" s="139"/>
      <c r="D4" s="271">
        <f>IF(Capacity!C4="",DATE(YEAR(D3)+1,MONTH(D3),DAY(D3))-1,Capacity!C4)</f>
        <v>44319</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393" t="s">
        <v>475</v>
      </c>
      <c r="E8" s="393"/>
      <c r="F8" s="393"/>
      <c r="G8" s="393"/>
      <c r="H8" s="393"/>
      <c r="I8" s="393"/>
      <c r="J8" s="393"/>
      <c r="K8" s="393"/>
      <c r="L8" s="108"/>
      <c r="M8" s="106"/>
      <c r="N8" s="106"/>
      <c r="O8" s="108"/>
      <c r="P8" s="106"/>
      <c r="Q8" s="106"/>
      <c r="S8" s="78"/>
    </row>
    <row r="10" spans="1:19" x14ac:dyDescent="0.25">
      <c r="D10" s="392" t="s">
        <v>444</v>
      </c>
      <c r="E10" s="392"/>
      <c r="F10" s="112"/>
      <c r="G10" s="391" t="s">
        <v>445</v>
      </c>
      <c r="H10" s="391"/>
      <c r="I10" s="112"/>
      <c r="J10" s="392" t="s">
        <v>446</v>
      </c>
      <c r="K10" s="392"/>
      <c r="L10" s="112"/>
      <c r="M10" s="391" t="s">
        <v>447</v>
      </c>
      <c r="N10" s="391"/>
      <c r="O10" s="112"/>
      <c r="P10" s="392" t="s">
        <v>448</v>
      </c>
      <c r="Q10" s="392"/>
    </row>
    <row r="11" spans="1:19" x14ac:dyDescent="0.25">
      <c r="A11" s="74">
        <f>MAX(A12:A111)</f>
        <v>0</v>
      </c>
      <c r="B11" s="114" t="s">
        <v>947</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0</v>
      </c>
      <c r="B12" s="171"/>
      <c r="D12" s="173"/>
      <c r="E12" s="173"/>
      <c r="F12" s="111"/>
      <c r="G12" s="173"/>
      <c r="H12" s="173"/>
      <c r="I12" s="111"/>
      <c r="J12" s="173"/>
      <c r="K12" s="173"/>
      <c r="L12" s="111"/>
      <c r="M12" s="173"/>
      <c r="N12" s="173"/>
      <c r="O12" s="111"/>
      <c r="P12" s="173"/>
      <c r="Q12" s="173"/>
    </row>
    <row r="13" spans="1:19" x14ac:dyDescent="0.25">
      <c r="A13" s="74">
        <f t="shared" ref="A13:A76" si="0">IF(B13="",0,ROW(A2))</f>
        <v>0</v>
      </c>
      <c r="B13" s="172"/>
      <c r="D13" s="174"/>
      <c r="E13" s="174"/>
      <c r="F13" s="111"/>
      <c r="G13" s="174"/>
      <c r="H13" s="174"/>
      <c r="J13" s="174"/>
      <c r="K13" s="174"/>
      <c r="M13" s="174"/>
      <c r="N13" s="174"/>
      <c r="P13" s="174"/>
      <c r="Q13" s="174"/>
    </row>
    <row r="14" spans="1:19" x14ac:dyDescent="0.25">
      <c r="A14" s="74">
        <f t="shared" si="0"/>
        <v>0</v>
      </c>
      <c r="B14" s="172"/>
      <c r="D14" s="174"/>
      <c r="E14" s="174"/>
      <c r="F14" s="111"/>
      <c r="G14" s="174"/>
      <c r="H14" s="174"/>
      <c r="J14" s="174"/>
      <c r="K14" s="174"/>
      <c r="M14" s="174"/>
      <c r="N14" s="174"/>
      <c r="P14" s="174"/>
      <c r="Q14" s="174"/>
    </row>
    <row r="15" spans="1:19" x14ac:dyDescent="0.25">
      <c r="A15" s="74">
        <f t="shared" si="0"/>
        <v>0</v>
      </c>
      <c r="B15" s="172"/>
      <c r="D15" s="174"/>
      <c r="E15" s="174"/>
      <c r="G15" s="174"/>
      <c r="H15" s="174"/>
      <c r="J15" s="174"/>
      <c r="K15" s="174"/>
      <c r="M15" s="174"/>
      <c r="N15" s="174"/>
      <c r="P15" s="174"/>
      <c r="Q15" s="174"/>
    </row>
    <row r="16" spans="1:19" x14ac:dyDescent="0.25">
      <c r="A16" s="74">
        <f t="shared" si="0"/>
        <v>0</v>
      </c>
      <c r="B16" s="172"/>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4" t="s">
        <v>473</v>
      </c>
      <c r="C1" s="394"/>
      <c r="D1" s="394"/>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Clinic 1</v>
      </c>
      <c r="C12" s="132"/>
      <c r="D12" s="132"/>
      <c r="E12" s="132"/>
      <c r="F12" s="215">
        <f>IF(ROW(A1)&lt;=Capacity!$A$16,Capacity!E17,"")</f>
        <v>42</v>
      </c>
      <c r="G12" s="216">
        <f>IF(ROW(A1)&lt;=Capacity!$A$16,'Capacity calculation (hide)'!BH5,"")</f>
        <v>52</v>
      </c>
      <c r="H12" s="215">
        <f>IF(ROW(A1)&lt;=Capacity!$A$16,Capacity!H17,"")</f>
        <v>210000</v>
      </c>
      <c r="I12" s="217">
        <f ca="1">IF(ROW(A1)&lt;=Capacity!$A$16,'Capacity calculation (hide)'!DK5,"")</f>
        <v>162408.46153846139</v>
      </c>
      <c r="J12" s="218" t="str">
        <f>IFERROR(IF(G12-F12 &lt;0, "Under","Over"),"")</f>
        <v>Over</v>
      </c>
    </row>
    <row r="13" spans="1:11" x14ac:dyDescent="0.25">
      <c r="B13" s="218" t="str">
        <f>IF(Capacity!B18=0,"",Capacity!B18)</f>
        <v/>
      </c>
      <c r="C13" s="132"/>
      <c r="D13" s="132"/>
      <c r="E13" s="132"/>
      <c r="F13" s="215" t="str">
        <f>IF(ROW(A2)&lt;=Capacity!$A$16,Capacity!E18,"")</f>
        <v/>
      </c>
      <c r="G13" s="216" t="str">
        <f>IF(ROW(A2)&lt;=Capacity!$A$16,'Capacity calculation (hide)'!BH6,"")</f>
        <v/>
      </c>
      <c r="H13" s="215" t="str">
        <f>IF(ROW(A2)&lt;=Capacity!$A$16,Capacity!H18,"")</f>
        <v/>
      </c>
      <c r="I13" s="217" t="str">
        <f>IF(ROW(A2)&lt;=Capacity!$A$16,'Capacity calculation (hide)'!DK6,"")</f>
        <v/>
      </c>
      <c r="J13" s="218" t="str">
        <f t="shared" ref="J13:J76" si="0">IFERROR(IF(G13-F13 &lt;0, "Under","Over"),"")</f>
        <v/>
      </c>
    </row>
    <row r="14" spans="1:11" x14ac:dyDescent="0.25">
      <c r="B14" s="218" t="str">
        <f>IF(Capacity!B19=0,"",Capacity!B19)</f>
        <v/>
      </c>
      <c r="C14" s="132"/>
      <c r="D14" s="132"/>
      <c r="E14" s="132"/>
      <c r="F14" s="215" t="str">
        <f>IF(ROW(A3)&lt;=Capacity!$A$16,Capacity!E19,"")</f>
        <v/>
      </c>
      <c r="G14" s="216" t="str">
        <f>IF(ROW(A3)&lt;=Capacity!$A$16,'Capacity calculation (hide)'!BH7,"")</f>
        <v/>
      </c>
      <c r="H14" s="215" t="str">
        <f>IF(ROW(A3)&lt;=Capacity!$A$16,Capacity!H19,"")</f>
        <v/>
      </c>
      <c r="I14" s="217" t="str">
        <f>IF(ROW(A3)&lt;=Capacity!$A$16,'Capacity calculation (hide)'!DK7,"")</f>
        <v/>
      </c>
      <c r="J14" s="218" t="str">
        <f t="shared" si="0"/>
        <v/>
      </c>
    </row>
    <row r="15" spans="1:11" x14ac:dyDescent="0.25">
      <c r="B15" s="218" t="str">
        <f>IF(Capacity!B20=0,"",Capacity!B20)</f>
        <v/>
      </c>
      <c r="C15" s="132"/>
      <c r="D15" s="132"/>
      <c r="E15" s="132"/>
      <c r="F15" s="215" t="str">
        <f>IF(ROW(A4)&lt;=Capacity!$A$16,Capacity!E20,"")</f>
        <v/>
      </c>
      <c r="G15" s="216" t="str">
        <f>IF(ROW(A4)&lt;=Capacity!$A$16,'Capacity calculation (hide)'!BH8,"")</f>
        <v/>
      </c>
      <c r="H15" s="215" t="str">
        <f>IF(ROW(A4)&lt;=Capacity!$A$16,Capacity!H20,"")</f>
        <v/>
      </c>
      <c r="I15" s="217" t="str">
        <f>IF(ROW(A4)&lt;=Capacity!$A$16,'Capacity calculation (hide)'!DK8,"")</f>
        <v/>
      </c>
      <c r="J15" s="218" t="str">
        <f t="shared" si="0"/>
        <v/>
      </c>
    </row>
    <row r="16" spans="1:11" x14ac:dyDescent="0.25">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(hide)'!DK9,"")</f>
        <v/>
      </c>
      <c r="J16" s="218" t="str">
        <f t="shared" si="0"/>
        <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Ad hoc clinic 1</v>
      </c>
      <c r="C118" s="132"/>
      <c r="D118" s="132"/>
      <c r="E118" s="132"/>
      <c r="F118" s="215">
        <f>IF(ROW(A1)&lt;=Capacity!$M$16,Capacity!Q17,"")</f>
        <v>0</v>
      </c>
      <c r="G118" s="321">
        <f>IF(ROW(A1)&lt;=Capacity!$M$16,'Capacity calculation (hide)'!BH112,"")</f>
        <v>5</v>
      </c>
      <c r="H118" s="215">
        <f>IF(ROW(A1)&lt;=Capacity!$M$16,Capacity!T17,"")</f>
        <v>0</v>
      </c>
      <c r="I118" s="217">
        <f>IF(ROW(A1)&lt;=Capacity!$M$16,'Capacity calculation (hide)'!DK111,"")</f>
        <v>0</v>
      </c>
      <c r="J118" s="218" t="str">
        <f>IFERROR(IF(G118-F118 &lt;0, "Under","Over"),"")</f>
        <v>Over</v>
      </c>
    </row>
    <row r="119" spans="2:10" hidden="1" x14ac:dyDescent="0.25">
      <c r="B119" s="218" t="str">
        <f>IF(Capacity!N18=0,"",Capacity!N18)</f>
        <v/>
      </c>
      <c r="C119" s="132"/>
      <c r="D119" s="132"/>
      <c r="E119" s="132"/>
      <c r="F119" s="215" t="str">
        <f>IF(ROW(A2)&lt;=Capacity!$M$16,Capacity!Q18,"")</f>
        <v/>
      </c>
      <c r="G119" s="321" t="str">
        <f>IF(ROW(A2)&lt;=Capacity!$M$16,'Capacity calculation (hide)'!BH113,"")</f>
        <v/>
      </c>
      <c r="H119" s="215" t="str">
        <f>IF(ROW(A2)&lt;=Capacity!$M$16,Capacity!T18,"")</f>
        <v/>
      </c>
      <c r="I119" s="217" t="str">
        <f>IF(ROW(A2)&lt;=Capacity!$M$16,'Capacity calculation (hide)'!DK112,"")</f>
        <v/>
      </c>
      <c r="J119" s="218" t="str">
        <f t="shared" ref="J119:J182" si="2">IFERROR(IF(G119-F119 &lt;0, "Under","Over"),"")</f>
        <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B28" sqref="B28"/>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(Points per year):</v>
      </c>
      <c r="C4" s="221">
        <f ca="1">'Capacity calculation (hide)'!DK4</f>
        <v>162408.46153846139</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404" t="s">
        <v>57</v>
      </c>
      <c r="D10" s="404"/>
      <c r="E10" s="404"/>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404" t="s">
        <v>57</v>
      </c>
      <c r="D11" s="404"/>
      <c r="E11" s="404"/>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1158</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23</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41" t="s">
        <v>1211</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2" t="s">
        <v>1212</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1213</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5" t="s">
        <v>1172</v>
      </c>
      <c r="C21" s="398" t="s">
        <v>486</v>
      </c>
      <c r="D21" s="399"/>
      <c r="E21" s="399" t="s">
        <v>483</v>
      </c>
      <c r="F21" s="402"/>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396"/>
      <c r="C22" s="400"/>
      <c r="D22" s="401"/>
      <c r="E22" s="401"/>
      <c r="F22" s="40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397"/>
      <c r="C23" s="304" t="s">
        <v>484</v>
      </c>
      <c r="D23" s="143" t="s">
        <v>485</v>
      </c>
      <c r="E23" s="143" t="s">
        <v>484</v>
      </c>
      <c r="F23" s="282" t="s">
        <v>485</v>
      </c>
      <c r="H23" s="348"/>
      <c r="I23" s="348"/>
      <c r="J23" s="348"/>
      <c r="K23" s="348"/>
      <c r="L23" s="348"/>
      <c r="M23" s="348"/>
      <c r="N23" s="348"/>
      <c r="O23" s="348"/>
      <c r="P23" s="348"/>
      <c r="Q23" s="348"/>
      <c r="R23" s="348"/>
      <c r="S23" s="348"/>
      <c r="T23" s="348"/>
      <c r="U23" s="348"/>
      <c r="V23" s="348"/>
      <c r="W23" s="348"/>
      <c r="X23" s="348"/>
      <c r="Y23" s="348"/>
      <c r="Z23" s="348"/>
      <c r="AA23" s="348"/>
      <c r="AB23" s="348"/>
      <c r="AC23" s="348"/>
      <c r="AD23" s="348"/>
      <c r="AE23" s="348"/>
      <c r="AF23" s="348"/>
      <c r="AG23" s="348"/>
      <c r="AH23" s="348"/>
      <c r="AI23" s="348"/>
      <c r="AJ23" s="348"/>
      <c r="AK23" s="348"/>
      <c r="AL23" s="348"/>
      <c r="AM23" s="348"/>
      <c r="AN23" s="348"/>
      <c r="AO23" s="348"/>
      <c r="AP23" s="348"/>
      <c r="AQ23" s="348"/>
      <c r="AR23" s="348"/>
      <c r="AS23" s="348"/>
      <c r="AT23" s="348"/>
      <c r="AU23" s="348"/>
      <c r="AV23" s="348"/>
      <c r="AW23" s="348"/>
      <c r="AX23" s="348"/>
      <c r="AY23" s="348"/>
      <c r="AZ23" s="348"/>
      <c r="BA23" s="348"/>
      <c r="BB23" s="348"/>
      <c r="BC23" s="348"/>
      <c r="BD23" s="348"/>
      <c r="BE23" s="348"/>
      <c r="BF23" s="348"/>
      <c r="BG23" s="348"/>
      <c r="BH23" s="125"/>
      <c r="BI23" s="125"/>
      <c r="BJ23" s="125"/>
      <c r="BK23" s="125"/>
      <c r="BL23" s="125"/>
    </row>
    <row r="24" spans="2:64" hidden="1" x14ac:dyDescent="0.25">
      <c r="B24" s="219" t="str">
        <f>IF(Capacity!N17="","",Capacity!N17)</f>
        <v>Ad hoc clinic 1</v>
      </c>
      <c r="C24" s="220">
        <f>IF(B24="","",Capacity!Q17)</f>
        <v>0</v>
      </c>
      <c r="D24" s="310">
        <f>IF(B24="","",Capacity!R17)</f>
        <v>0</v>
      </c>
      <c r="E24" s="220">
        <f>IF(B24="","",IF(COUNTBLANK(H24:BG24)=52,SUM('Capacity calculation (hide)'!H112:BG112),52-COUNTBLANK(H24:BG24)))</f>
        <v>5</v>
      </c>
      <c r="F24" s="311">
        <f>'Capacity calculation (hide)'!BI112</f>
        <v>0</v>
      </c>
      <c r="H24" s="349"/>
      <c r="I24" s="349"/>
      <c r="J24" s="349"/>
      <c r="K24" s="349"/>
      <c r="L24" s="349"/>
      <c r="M24" s="349"/>
      <c r="N24" s="349"/>
      <c r="O24" s="349"/>
      <c r="P24" s="349"/>
      <c r="Q24" s="349"/>
      <c r="R24" s="349"/>
      <c r="S24" s="349"/>
      <c r="T24" s="349">
        <v>10</v>
      </c>
      <c r="U24" s="349">
        <v>10</v>
      </c>
      <c r="V24" s="349">
        <v>10</v>
      </c>
      <c r="W24" s="349"/>
      <c r="X24" s="349">
        <v>10</v>
      </c>
      <c r="Y24" s="349">
        <v>10</v>
      </c>
      <c r="Z24" s="349"/>
      <c r="AA24" s="349"/>
      <c r="AB24" s="349"/>
      <c r="AC24" s="349"/>
      <c r="AD24" s="349"/>
      <c r="AE24" s="349"/>
      <c r="AF24" s="349"/>
      <c r="AG24" s="349"/>
      <c r="AH24" s="349"/>
      <c r="AI24" s="349"/>
      <c r="AJ24" s="349"/>
      <c r="AK24" s="349"/>
      <c r="AL24" s="349"/>
      <c r="AM24" s="349"/>
      <c r="AN24" s="349"/>
      <c r="AO24" s="349"/>
      <c r="AP24" s="349"/>
      <c r="AQ24" s="349"/>
      <c r="AR24" s="349"/>
      <c r="AS24" s="349"/>
      <c r="AT24" s="349"/>
      <c r="AU24" s="349"/>
      <c r="AV24" s="349"/>
      <c r="AW24" s="349"/>
      <c r="AX24" s="349"/>
      <c r="AY24" s="349"/>
      <c r="AZ24" s="349"/>
      <c r="BA24" s="349"/>
      <c r="BB24" s="349"/>
      <c r="BC24" s="349"/>
      <c r="BD24" s="349"/>
      <c r="BE24" s="349"/>
      <c r="BF24" s="349"/>
      <c r="BG24" s="349"/>
      <c r="BH24" s="66"/>
      <c r="BI24" s="66"/>
      <c r="BJ24" s="66"/>
      <c r="BK24" s="66"/>
      <c r="BL24" s="66"/>
    </row>
    <row r="25" spans="2:64" hidden="1" x14ac:dyDescent="0.25">
      <c r="B25" s="219" t="str">
        <f>IF(Capacity!N18="","",Capacity!N18)</f>
        <v/>
      </c>
      <c r="C25" s="220" t="str">
        <f>IF(B25="","",Capacity!Q18)</f>
        <v/>
      </c>
      <c r="D25" s="310" t="str">
        <f>IF(B25="","",Capacity!R18)</f>
        <v/>
      </c>
      <c r="E25" s="220" t="str">
        <f>IF(B25="","",IF(COUNTBLANK(H25:BG25)=52,SUM('Capacity calculation (hide)'!H113:BG113),52-COUNTBLANK(H25:BG25)))</f>
        <v/>
      </c>
      <c r="F25" s="311" t="str">
        <f>'Capacity calculation (hide)'!BI113</f>
        <v/>
      </c>
      <c r="H25" s="350"/>
      <c r="I25" s="349"/>
      <c r="J25" s="349"/>
      <c r="K25" s="349"/>
      <c r="L25" s="349"/>
      <c r="M25" s="349"/>
      <c r="N25" s="349"/>
      <c r="O25" s="349"/>
      <c r="P25" s="349"/>
      <c r="Q25" s="349"/>
      <c r="R25" s="349"/>
      <c r="S25" s="349"/>
      <c r="T25" s="349"/>
      <c r="U25" s="349"/>
      <c r="V25" s="349"/>
      <c r="W25" s="349"/>
      <c r="X25" s="349"/>
      <c r="Y25" s="349"/>
      <c r="Z25" s="349"/>
      <c r="AA25" s="349"/>
      <c r="AB25" s="349"/>
      <c r="AC25" s="349"/>
      <c r="AD25" s="349"/>
      <c r="AE25" s="349"/>
      <c r="AF25" s="349"/>
      <c r="AG25" s="349"/>
      <c r="AH25" s="349"/>
      <c r="AI25" s="349"/>
      <c r="AJ25" s="349"/>
      <c r="AK25" s="349"/>
      <c r="AL25" s="349"/>
      <c r="AM25" s="349"/>
      <c r="AN25" s="349"/>
      <c r="AO25" s="349"/>
      <c r="AP25" s="349"/>
      <c r="AQ25" s="349"/>
      <c r="AR25" s="349"/>
      <c r="AS25" s="349"/>
      <c r="AT25" s="349"/>
      <c r="AU25" s="349"/>
      <c r="AV25" s="349"/>
      <c r="AW25" s="349"/>
      <c r="AX25" s="349"/>
      <c r="AY25" s="349"/>
      <c r="AZ25" s="349"/>
      <c r="BA25" s="349"/>
      <c r="BB25" s="349"/>
      <c r="BC25" s="349"/>
      <c r="BD25" s="349"/>
      <c r="BE25" s="349"/>
      <c r="BF25" s="349"/>
      <c r="BG25" s="351"/>
      <c r="BH25" s="66"/>
      <c r="BI25" s="66"/>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49"/>
      <c r="I26" s="349"/>
      <c r="J26" s="349"/>
      <c r="K26" s="349"/>
      <c r="L26" s="349"/>
      <c r="M26" s="349"/>
      <c r="N26" s="349"/>
      <c r="O26" s="349"/>
      <c r="P26" s="349"/>
      <c r="Q26" s="349"/>
      <c r="R26" s="349"/>
      <c r="S26" s="349"/>
      <c r="T26" s="349"/>
      <c r="U26" s="349"/>
      <c r="V26" s="349"/>
      <c r="W26" s="349"/>
      <c r="X26" s="349"/>
      <c r="Y26" s="349"/>
      <c r="Z26" s="349"/>
      <c r="AA26" s="349"/>
      <c r="AB26" s="349"/>
      <c r="AC26" s="349"/>
      <c r="AD26" s="349"/>
      <c r="AE26" s="349"/>
      <c r="AF26" s="349"/>
      <c r="AG26" s="349"/>
      <c r="AH26" s="349"/>
      <c r="AI26" s="349"/>
      <c r="AJ26" s="349"/>
      <c r="AK26" s="349"/>
      <c r="AL26" s="349"/>
      <c r="AM26" s="349"/>
      <c r="AN26" s="349"/>
      <c r="AO26" s="349"/>
      <c r="AP26" s="349"/>
      <c r="AQ26" s="349"/>
      <c r="AR26" s="349"/>
      <c r="AS26" s="349"/>
      <c r="AT26" s="349"/>
      <c r="AU26" s="349"/>
      <c r="AV26" s="349"/>
      <c r="AW26" s="349"/>
      <c r="AX26" s="349"/>
      <c r="AY26" s="349"/>
      <c r="AZ26" s="349"/>
      <c r="BA26" s="349"/>
      <c r="BB26" s="349"/>
      <c r="BC26" s="349"/>
      <c r="BD26" s="349"/>
      <c r="BE26" s="349"/>
      <c r="BF26" s="349"/>
      <c r="BG26" s="349"/>
      <c r="BH26" s="129"/>
      <c r="BI26" s="66"/>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49"/>
      <c r="I27" s="349"/>
      <c r="J27" s="349"/>
      <c r="K27" s="349"/>
      <c r="L27" s="349"/>
      <c r="M27" s="349"/>
      <c r="N27" s="349"/>
      <c r="O27" s="349"/>
      <c r="P27" s="349"/>
      <c r="Q27" s="349"/>
      <c r="R27" s="349"/>
      <c r="S27" s="349"/>
      <c r="T27" s="349"/>
      <c r="U27" s="349"/>
      <c r="V27" s="349"/>
      <c r="W27" s="349"/>
      <c r="X27" s="349"/>
      <c r="Y27" s="349"/>
      <c r="Z27" s="349"/>
      <c r="AA27" s="349"/>
      <c r="AB27" s="349"/>
      <c r="AC27" s="349"/>
      <c r="AD27" s="347"/>
      <c r="AE27" s="347"/>
      <c r="AF27" s="347"/>
      <c r="AG27" s="347"/>
      <c r="AH27" s="347"/>
      <c r="AI27" s="347"/>
      <c r="AJ27" s="347"/>
      <c r="AK27" s="347"/>
      <c r="AL27" s="347"/>
      <c r="AM27" s="347"/>
      <c r="AN27" s="347"/>
      <c r="AO27" s="347"/>
      <c r="AP27" s="347"/>
      <c r="AQ27" s="347"/>
      <c r="AR27" s="347"/>
      <c r="AS27" s="347"/>
      <c r="AT27" s="347"/>
      <c r="AU27" s="347"/>
      <c r="AV27" s="347"/>
      <c r="AW27" s="347"/>
      <c r="AX27" s="347"/>
      <c r="AY27" s="347"/>
      <c r="AZ27" s="347"/>
      <c r="BA27" s="347"/>
      <c r="BB27" s="347"/>
      <c r="BC27" s="347"/>
      <c r="BD27" s="347"/>
      <c r="BE27" s="347"/>
      <c r="BF27" s="347"/>
      <c r="BG27" s="347"/>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49"/>
      <c r="I28" s="349"/>
      <c r="J28" s="349"/>
      <c r="K28" s="349"/>
      <c r="L28" s="349"/>
      <c r="M28" s="349"/>
      <c r="N28" s="349"/>
      <c r="O28" s="349"/>
      <c r="P28" s="349"/>
      <c r="Q28" s="349"/>
      <c r="R28" s="349"/>
      <c r="S28" s="349"/>
      <c r="T28" s="349"/>
      <c r="U28" s="349"/>
      <c r="V28" s="349"/>
      <c r="W28" s="349"/>
      <c r="X28" s="349"/>
      <c r="Y28" s="349"/>
      <c r="Z28" s="349"/>
      <c r="AA28" s="349"/>
      <c r="AB28" s="349"/>
      <c r="AC28" s="349"/>
      <c r="AD28" s="347"/>
      <c r="AE28" s="347"/>
      <c r="AF28" s="347"/>
      <c r="AG28" s="347"/>
      <c r="AH28" s="347"/>
      <c r="AI28" s="347"/>
      <c r="AJ28" s="347"/>
      <c r="AK28" s="347"/>
      <c r="AL28" s="347"/>
      <c r="AM28" s="347"/>
      <c r="AN28" s="347"/>
      <c r="AO28" s="347"/>
      <c r="AP28" s="347"/>
      <c r="AQ28" s="347"/>
      <c r="AR28" s="347"/>
      <c r="AS28" s="347"/>
      <c r="AT28" s="347"/>
      <c r="AU28" s="347"/>
      <c r="AV28" s="347"/>
      <c r="AW28" s="347"/>
      <c r="AX28" s="347"/>
      <c r="AY28" s="347"/>
      <c r="AZ28" s="347"/>
      <c r="BA28" s="347"/>
      <c r="BB28" s="347"/>
      <c r="BC28" s="347"/>
      <c r="BD28" s="347"/>
      <c r="BE28" s="347"/>
      <c r="BF28" s="347"/>
      <c r="BG28" s="347"/>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49"/>
      <c r="I29" s="349"/>
      <c r="J29" s="349"/>
      <c r="K29" s="349"/>
      <c r="L29" s="349"/>
      <c r="M29" s="349"/>
      <c r="N29" s="349"/>
      <c r="O29" s="349"/>
      <c r="P29" s="349"/>
      <c r="Q29" s="349"/>
      <c r="R29" s="349"/>
      <c r="S29" s="349"/>
      <c r="T29" s="349"/>
      <c r="U29" s="349"/>
      <c r="V29" s="349"/>
      <c r="W29" s="349"/>
      <c r="X29" s="349"/>
      <c r="Y29" s="349"/>
      <c r="Z29" s="349"/>
      <c r="AA29" s="349"/>
      <c r="AB29" s="349"/>
      <c r="AC29" s="349"/>
      <c r="AD29" s="347"/>
      <c r="AE29" s="347"/>
      <c r="AF29" s="347"/>
      <c r="AG29" s="347"/>
      <c r="AH29" s="347"/>
      <c r="AI29" s="347"/>
      <c r="AJ29" s="347"/>
      <c r="AK29" s="347"/>
      <c r="AL29" s="347"/>
      <c r="AM29" s="347"/>
      <c r="AN29" s="347"/>
      <c r="AO29" s="347"/>
      <c r="AP29" s="347"/>
      <c r="AQ29" s="347"/>
      <c r="AR29" s="347"/>
      <c r="AS29" s="347"/>
      <c r="AT29" s="347"/>
      <c r="AU29" s="347"/>
      <c r="AV29" s="347"/>
      <c r="AW29" s="347"/>
      <c r="AX29" s="347"/>
      <c r="AY29" s="347"/>
      <c r="AZ29" s="347"/>
      <c r="BA29" s="347"/>
      <c r="BB29" s="347"/>
      <c r="BC29" s="347"/>
      <c r="BD29" s="347"/>
      <c r="BE29" s="347"/>
      <c r="BF29" s="347"/>
      <c r="BG29" s="347"/>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49"/>
      <c r="I30" s="349"/>
      <c r="J30" s="349"/>
      <c r="K30" s="349"/>
      <c r="L30" s="349"/>
      <c r="M30" s="349"/>
      <c r="N30" s="349"/>
      <c r="O30" s="349"/>
      <c r="P30" s="349"/>
      <c r="Q30" s="349"/>
      <c r="R30" s="349"/>
      <c r="S30" s="349"/>
      <c r="T30" s="349"/>
      <c r="U30" s="349"/>
      <c r="V30" s="349"/>
      <c r="W30" s="349"/>
      <c r="X30" s="349"/>
      <c r="Y30" s="349"/>
      <c r="Z30" s="349"/>
      <c r="AA30" s="349"/>
      <c r="AB30" s="349"/>
      <c r="AC30" s="349"/>
      <c r="AD30" s="347"/>
      <c r="AE30" s="347"/>
      <c r="AF30" s="347"/>
      <c r="AG30" s="347"/>
      <c r="AH30" s="347"/>
      <c r="AI30" s="347"/>
      <c r="AJ30" s="347"/>
      <c r="AK30" s="347"/>
      <c r="AL30" s="347"/>
      <c r="AM30" s="347"/>
      <c r="AN30" s="347"/>
      <c r="AO30" s="347"/>
      <c r="AP30" s="347"/>
      <c r="AQ30" s="347"/>
      <c r="AR30" s="347"/>
      <c r="AS30" s="347"/>
      <c r="AT30" s="347"/>
      <c r="AU30" s="347"/>
      <c r="AV30" s="347"/>
      <c r="AW30" s="347"/>
      <c r="AX30" s="347"/>
      <c r="AY30" s="347"/>
      <c r="AZ30" s="347"/>
      <c r="BA30" s="347"/>
      <c r="BB30" s="347"/>
      <c r="BC30" s="347"/>
      <c r="BD30" s="347"/>
      <c r="BE30" s="347"/>
      <c r="BF30" s="347"/>
      <c r="BG30" s="347"/>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49"/>
      <c r="I31" s="349"/>
      <c r="J31" s="349"/>
      <c r="K31" s="349"/>
      <c r="L31" s="349"/>
      <c r="M31" s="349"/>
      <c r="N31" s="349"/>
      <c r="O31" s="349"/>
      <c r="P31" s="349"/>
      <c r="Q31" s="349"/>
      <c r="R31" s="349"/>
      <c r="S31" s="349"/>
      <c r="T31" s="349"/>
      <c r="U31" s="349"/>
      <c r="V31" s="349"/>
      <c r="W31" s="349"/>
      <c r="X31" s="349"/>
      <c r="Y31" s="349"/>
      <c r="Z31" s="349"/>
      <c r="AA31" s="349"/>
      <c r="AB31" s="349"/>
      <c r="AC31" s="349"/>
      <c r="AD31" s="347"/>
      <c r="AE31" s="347"/>
      <c r="AF31" s="347"/>
      <c r="AG31" s="347"/>
      <c r="AH31" s="347"/>
      <c r="AI31" s="347"/>
      <c r="AJ31" s="347"/>
      <c r="AK31" s="347"/>
      <c r="AL31" s="347"/>
      <c r="AM31" s="347"/>
      <c r="AN31" s="347"/>
      <c r="AO31" s="347"/>
      <c r="AP31" s="347"/>
      <c r="AQ31" s="347"/>
      <c r="AR31" s="347"/>
      <c r="AS31" s="347"/>
      <c r="AT31" s="347"/>
      <c r="AU31" s="347"/>
      <c r="AV31" s="347"/>
      <c r="AW31" s="347"/>
      <c r="AX31" s="347"/>
      <c r="AY31" s="347"/>
      <c r="AZ31" s="347"/>
      <c r="BA31" s="347"/>
      <c r="BB31" s="347"/>
      <c r="BC31" s="347"/>
      <c r="BD31" s="347"/>
      <c r="BE31" s="347"/>
      <c r="BF31" s="347"/>
      <c r="BG31" s="347"/>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49"/>
      <c r="I32" s="349"/>
      <c r="J32" s="349"/>
      <c r="K32" s="349"/>
      <c r="L32" s="349"/>
      <c r="M32" s="349"/>
      <c r="N32" s="349"/>
      <c r="O32" s="349"/>
      <c r="P32" s="349"/>
      <c r="Q32" s="349"/>
      <c r="R32" s="349"/>
      <c r="S32" s="349"/>
      <c r="T32" s="349"/>
      <c r="U32" s="349"/>
      <c r="V32" s="349"/>
      <c r="W32" s="349"/>
      <c r="X32" s="349"/>
      <c r="Y32" s="349"/>
      <c r="Z32" s="349"/>
      <c r="AA32" s="349"/>
      <c r="AB32" s="349"/>
      <c r="AC32" s="349"/>
      <c r="AD32" s="347"/>
      <c r="AE32" s="347"/>
      <c r="AF32" s="347"/>
      <c r="AG32" s="347"/>
      <c r="AH32" s="347"/>
      <c r="AI32" s="347"/>
      <c r="AJ32" s="347"/>
      <c r="AK32" s="347"/>
      <c r="AL32" s="347"/>
      <c r="AM32" s="347"/>
      <c r="AN32" s="347"/>
      <c r="AO32" s="347"/>
      <c r="AP32" s="347"/>
      <c r="AQ32" s="347"/>
      <c r="AR32" s="347"/>
      <c r="AS32" s="347"/>
      <c r="AT32" s="347"/>
      <c r="AU32" s="347"/>
      <c r="AV32" s="347"/>
      <c r="AW32" s="347"/>
      <c r="AX32" s="347"/>
      <c r="AY32" s="347"/>
      <c r="AZ32" s="347"/>
      <c r="BA32" s="347"/>
      <c r="BB32" s="347"/>
      <c r="BC32" s="347"/>
      <c r="BD32" s="347"/>
      <c r="BE32" s="347"/>
      <c r="BF32" s="347"/>
      <c r="BG32" s="347"/>
    </row>
    <row r="33" spans="2:59"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49"/>
      <c r="I33" s="349"/>
      <c r="J33" s="349"/>
      <c r="K33" s="349"/>
      <c r="L33" s="349"/>
      <c r="M33" s="349"/>
      <c r="N33" s="349"/>
      <c r="O33" s="349"/>
      <c r="P33" s="349"/>
      <c r="Q33" s="349"/>
      <c r="R33" s="349"/>
      <c r="S33" s="349"/>
      <c r="T33" s="349"/>
      <c r="U33" s="349"/>
      <c r="V33" s="349"/>
      <c r="W33" s="349"/>
      <c r="X33" s="349"/>
      <c r="Y33" s="349"/>
      <c r="Z33" s="349"/>
      <c r="AA33" s="349"/>
      <c r="AB33" s="349"/>
      <c r="AC33" s="349"/>
      <c r="AD33" s="347"/>
      <c r="AE33" s="347"/>
      <c r="AF33" s="347"/>
      <c r="AG33" s="347"/>
      <c r="AH33" s="347"/>
      <c r="AI33" s="347"/>
      <c r="AJ33" s="347"/>
      <c r="AK33" s="347"/>
      <c r="AL33" s="347"/>
      <c r="AM33" s="347"/>
      <c r="AN33" s="347"/>
      <c r="AO33" s="347"/>
      <c r="AP33" s="347"/>
      <c r="AQ33" s="347"/>
      <c r="AR33" s="347"/>
      <c r="AS33" s="347"/>
      <c r="AT33" s="347"/>
      <c r="AU33" s="347"/>
      <c r="AV33" s="347"/>
      <c r="AW33" s="347"/>
      <c r="AX33" s="347"/>
      <c r="AY33" s="347"/>
      <c r="AZ33" s="347"/>
      <c r="BA33" s="347"/>
      <c r="BB33" s="347"/>
      <c r="BC33" s="347"/>
      <c r="BD33" s="347"/>
      <c r="BE33" s="347"/>
      <c r="BF33" s="347"/>
      <c r="BG33" s="347"/>
    </row>
    <row r="34" spans="2:59"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47"/>
      <c r="I34" s="347"/>
      <c r="J34" s="352"/>
      <c r="K34" s="352"/>
      <c r="L34" s="352"/>
      <c r="M34" s="352"/>
      <c r="N34" s="352"/>
      <c r="O34" s="352"/>
      <c r="P34" s="352"/>
      <c r="Q34" s="352"/>
      <c r="R34" s="352"/>
      <c r="S34" s="352"/>
      <c r="T34" s="352"/>
      <c r="U34" s="352"/>
      <c r="V34" s="352"/>
      <c r="W34" s="352"/>
      <c r="X34" s="352"/>
      <c r="Y34" s="352"/>
      <c r="Z34" s="352"/>
      <c r="AA34" s="352"/>
      <c r="AB34" s="352"/>
      <c r="AC34" s="352"/>
      <c r="AD34" s="352"/>
      <c r="AE34" s="352"/>
      <c r="AF34" s="352"/>
      <c r="AG34" s="352"/>
      <c r="AH34" s="352"/>
      <c r="AI34" s="352"/>
      <c r="AJ34" s="352"/>
      <c r="AK34" s="352"/>
      <c r="AL34" s="352"/>
      <c r="AM34" s="352"/>
      <c r="AN34" s="352"/>
      <c r="AO34" s="352"/>
      <c r="AP34" s="352"/>
      <c r="AQ34" s="352"/>
      <c r="AR34" s="352"/>
      <c r="AS34" s="352"/>
      <c r="AT34" s="352"/>
      <c r="AU34" s="352"/>
      <c r="AV34" s="352"/>
      <c r="AW34" s="352"/>
      <c r="AX34" s="352"/>
      <c r="AY34" s="352"/>
      <c r="AZ34" s="352"/>
      <c r="BA34" s="352"/>
      <c r="BB34" s="352"/>
      <c r="BC34" s="352"/>
      <c r="BD34" s="352"/>
      <c r="BE34" s="352"/>
      <c r="BF34" s="352"/>
      <c r="BG34" s="347"/>
    </row>
    <row r="35" spans="2:59"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49"/>
      <c r="I35" s="349"/>
      <c r="J35" s="349"/>
      <c r="K35" s="349"/>
      <c r="L35" s="349"/>
      <c r="M35" s="349"/>
      <c r="N35" s="349"/>
      <c r="O35" s="349"/>
      <c r="P35" s="349"/>
      <c r="Q35" s="349"/>
      <c r="R35" s="349"/>
      <c r="S35" s="349"/>
      <c r="T35" s="349"/>
      <c r="U35" s="349"/>
      <c r="V35" s="349"/>
      <c r="W35" s="349"/>
      <c r="X35" s="349"/>
      <c r="Y35" s="349"/>
      <c r="Z35" s="349"/>
      <c r="AA35" s="349"/>
      <c r="AB35" s="349"/>
      <c r="AC35" s="349"/>
      <c r="AD35" s="349"/>
      <c r="AE35" s="349"/>
      <c r="AF35" s="349"/>
      <c r="AG35" s="349"/>
      <c r="AH35" s="349"/>
      <c r="AI35" s="349"/>
      <c r="AJ35" s="349"/>
      <c r="AK35" s="349"/>
      <c r="AL35" s="349"/>
      <c r="AM35" s="349"/>
      <c r="AN35" s="349"/>
      <c r="AO35" s="349"/>
      <c r="AP35" s="349"/>
      <c r="AQ35" s="349"/>
      <c r="AR35" s="349"/>
      <c r="AS35" s="349"/>
      <c r="AT35" s="349"/>
      <c r="AU35" s="349"/>
      <c r="AV35" s="349"/>
      <c r="AW35" s="349"/>
      <c r="AX35" s="349"/>
      <c r="AY35" s="349"/>
      <c r="AZ35" s="349"/>
      <c r="BA35" s="349"/>
      <c r="BB35" s="349"/>
      <c r="BC35" s="349"/>
      <c r="BD35" s="349"/>
      <c r="BE35" s="349"/>
      <c r="BF35" s="349"/>
      <c r="BG35" s="349"/>
    </row>
    <row r="36" spans="2:59"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49"/>
      <c r="I36" s="349"/>
      <c r="J36" s="349"/>
      <c r="K36" s="349"/>
      <c r="L36" s="349"/>
      <c r="M36" s="349"/>
      <c r="N36" s="349"/>
      <c r="O36" s="349"/>
      <c r="P36" s="349"/>
      <c r="Q36" s="349"/>
      <c r="R36" s="349"/>
      <c r="S36" s="349"/>
      <c r="T36" s="349"/>
      <c r="U36" s="349"/>
      <c r="V36" s="349"/>
      <c r="W36" s="349"/>
      <c r="X36" s="349"/>
      <c r="Y36" s="349"/>
      <c r="Z36" s="349"/>
      <c r="AA36" s="349"/>
      <c r="AB36" s="349"/>
      <c r="AC36" s="349"/>
      <c r="AD36" s="349"/>
      <c r="AE36" s="349"/>
      <c r="AF36" s="349"/>
      <c r="AG36" s="349"/>
      <c r="AH36" s="349"/>
      <c r="AI36" s="349"/>
      <c r="AJ36" s="349"/>
      <c r="AK36" s="349"/>
      <c r="AL36" s="349"/>
      <c r="AM36" s="349"/>
      <c r="AN36" s="349"/>
      <c r="AO36" s="349"/>
      <c r="AP36" s="349"/>
      <c r="AQ36" s="349"/>
      <c r="AR36" s="349"/>
      <c r="AS36" s="349"/>
      <c r="AT36" s="349"/>
      <c r="AU36" s="349"/>
      <c r="AV36" s="349"/>
      <c r="AW36" s="349"/>
      <c r="AX36" s="349"/>
      <c r="AY36" s="349"/>
      <c r="AZ36" s="349"/>
      <c r="BA36" s="349"/>
      <c r="BB36" s="349"/>
      <c r="BC36" s="349"/>
      <c r="BD36" s="349"/>
      <c r="BE36" s="349"/>
      <c r="BF36" s="349"/>
      <c r="BG36" s="349"/>
    </row>
    <row r="37" spans="2:59"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47"/>
      <c r="I37" s="347"/>
      <c r="J37" s="347"/>
      <c r="K37" s="347"/>
      <c r="L37" s="347"/>
      <c r="M37" s="347"/>
      <c r="N37" s="347"/>
      <c r="O37" s="347"/>
      <c r="P37" s="347"/>
      <c r="Q37" s="347"/>
      <c r="R37" s="347"/>
      <c r="S37" s="347"/>
      <c r="T37" s="347"/>
      <c r="U37" s="347"/>
      <c r="V37" s="347"/>
      <c r="W37" s="347"/>
      <c r="X37" s="347"/>
      <c r="Y37" s="347"/>
      <c r="Z37" s="347"/>
      <c r="AA37" s="347"/>
      <c r="AB37" s="347"/>
      <c r="AC37" s="347"/>
      <c r="AD37" s="347"/>
      <c r="AE37" s="347"/>
      <c r="AF37" s="347"/>
      <c r="AG37" s="347"/>
      <c r="AH37" s="347"/>
      <c r="AI37" s="347"/>
      <c r="AJ37" s="347"/>
      <c r="AK37" s="347"/>
      <c r="AL37" s="347"/>
      <c r="AM37" s="347"/>
      <c r="AN37" s="347"/>
      <c r="AO37" s="347"/>
      <c r="AP37" s="347"/>
      <c r="AQ37" s="347"/>
      <c r="AR37" s="347"/>
      <c r="AS37" s="347"/>
      <c r="AT37" s="347"/>
      <c r="AU37" s="347"/>
      <c r="AV37" s="347"/>
      <c r="AW37" s="347"/>
      <c r="AX37" s="347"/>
      <c r="AY37" s="347"/>
      <c r="AZ37" s="347"/>
      <c r="BA37" s="347"/>
      <c r="BB37" s="347"/>
      <c r="BC37" s="347"/>
      <c r="BD37" s="347"/>
      <c r="BE37" s="347"/>
      <c r="BF37" s="347"/>
      <c r="BG37" s="347"/>
    </row>
    <row r="38" spans="2:59"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47"/>
      <c r="I38" s="347"/>
      <c r="J38" s="347"/>
      <c r="K38" s="347"/>
      <c r="L38" s="347"/>
      <c r="M38" s="347"/>
      <c r="N38" s="347"/>
      <c r="O38" s="347"/>
      <c r="P38" s="347"/>
      <c r="Q38" s="347"/>
      <c r="R38" s="347"/>
      <c r="S38" s="347"/>
      <c r="T38" s="347"/>
      <c r="U38" s="347"/>
      <c r="V38" s="347"/>
      <c r="W38" s="347"/>
      <c r="X38" s="347"/>
      <c r="Y38" s="347"/>
      <c r="Z38" s="347"/>
      <c r="AA38" s="347"/>
      <c r="AB38" s="347"/>
      <c r="AC38" s="347"/>
      <c r="AD38" s="347"/>
      <c r="AE38" s="347"/>
      <c r="AF38" s="347"/>
      <c r="AG38" s="347"/>
      <c r="AH38" s="347"/>
      <c r="AI38" s="347"/>
      <c r="AJ38" s="347"/>
      <c r="AK38" s="347"/>
      <c r="AL38" s="347"/>
      <c r="AM38" s="347"/>
      <c r="AN38" s="347"/>
      <c r="AO38" s="347"/>
      <c r="AP38" s="347"/>
      <c r="AQ38" s="347"/>
      <c r="AR38" s="347"/>
      <c r="AS38" s="347"/>
      <c r="AT38" s="347"/>
      <c r="AU38" s="347"/>
      <c r="AV38" s="347"/>
      <c r="AW38" s="347"/>
      <c r="AX38" s="347"/>
      <c r="AY38" s="347"/>
      <c r="AZ38" s="347"/>
      <c r="BA38" s="347"/>
      <c r="BB38" s="347"/>
      <c r="BC38" s="347"/>
      <c r="BD38" s="347"/>
      <c r="BE38" s="347"/>
      <c r="BF38" s="347"/>
      <c r="BG38" s="347"/>
    </row>
    <row r="39" spans="2:59"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47"/>
      <c r="I39" s="347"/>
      <c r="J39" s="347"/>
      <c r="K39" s="347"/>
      <c r="L39" s="347"/>
      <c r="M39" s="347"/>
      <c r="N39" s="347"/>
      <c r="O39" s="347"/>
      <c r="P39" s="347"/>
      <c r="Q39" s="347"/>
      <c r="R39" s="347"/>
      <c r="S39" s="347"/>
      <c r="T39" s="347"/>
      <c r="U39" s="347"/>
      <c r="V39" s="347"/>
      <c r="W39" s="347"/>
      <c r="X39" s="347"/>
      <c r="Y39" s="347"/>
      <c r="Z39" s="347"/>
      <c r="AA39" s="347"/>
      <c r="AB39" s="347"/>
      <c r="AC39" s="347"/>
      <c r="AD39" s="347"/>
      <c r="AE39" s="347"/>
      <c r="AF39" s="347"/>
      <c r="AG39" s="347"/>
      <c r="AH39" s="347"/>
      <c r="AI39" s="347"/>
      <c r="AJ39" s="347"/>
      <c r="AK39" s="347"/>
      <c r="AL39" s="347"/>
      <c r="AM39" s="347"/>
      <c r="AN39" s="347"/>
      <c r="AO39" s="347"/>
      <c r="AP39" s="347"/>
      <c r="AQ39" s="347"/>
      <c r="AR39" s="347"/>
      <c r="AS39" s="347"/>
      <c r="AT39" s="347"/>
      <c r="AU39" s="347"/>
      <c r="AV39" s="347"/>
      <c r="AW39" s="347"/>
      <c r="AX39" s="347"/>
      <c r="AY39" s="347"/>
      <c r="AZ39" s="347"/>
      <c r="BA39" s="347"/>
      <c r="BB39" s="347"/>
      <c r="BC39" s="347"/>
      <c r="BD39" s="347"/>
      <c r="BE39" s="347"/>
      <c r="BF39" s="347"/>
      <c r="BG39" s="347"/>
    </row>
    <row r="40" spans="2:59"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47"/>
      <c r="I40" s="347"/>
      <c r="J40" s="347"/>
      <c r="K40" s="347"/>
      <c r="L40" s="347"/>
      <c r="M40" s="347"/>
      <c r="N40" s="347"/>
      <c r="O40" s="347"/>
      <c r="P40" s="347"/>
      <c r="Q40" s="347"/>
      <c r="R40" s="347"/>
      <c r="S40" s="347"/>
      <c r="T40" s="347"/>
      <c r="U40" s="347"/>
      <c r="V40" s="347"/>
      <c r="W40" s="347"/>
      <c r="X40" s="347"/>
      <c r="Y40" s="347"/>
      <c r="Z40" s="347"/>
      <c r="AA40" s="347"/>
      <c r="AB40" s="347"/>
      <c r="AC40" s="347"/>
      <c r="AD40" s="347"/>
      <c r="AE40" s="347"/>
      <c r="AF40" s="347"/>
      <c r="AG40" s="347"/>
      <c r="AH40" s="347"/>
      <c r="AI40" s="347"/>
      <c r="AJ40" s="347"/>
      <c r="AK40" s="347"/>
      <c r="AL40" s="347"/>
      <c r="AM40" s="347"/>
      <c r="AN40" s="347"/>
      <c r="AO40" s="347"/>
      <c r="AP40" s="347"/>
      <c r="AQ40" s="347"/>
      <c r="AR40" s="347"/>
      <c r="AS40" s="347"/>
      <c r="AT40" s="347"/>
      <c r="AU40" s="347"/>
      <c r="AV40" s="347"/>
      <c r="AW40" s="347"/>
      <c r="AX40" s="347"/>
      <c r="AY40" s="347"/>
      <c r="AZ40" s="347"/>
      <c r="BA40" s="347"/>
      <c r="BB40" s="347"/>
      <c r="BC40" s="347"/>
      <c r="BD40" s="347"/>
      <c r="BE40" s="347"/>
      <c r="BF40" s="347"/>
      <c r="BG40" s="347"/>
    </row>
    <row r="41" spans="2:59"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47"/>
      <c r="I41" s="347"/>
      <c r="J41" s="347"/>
      <c r="K41" s="347"/>
      <c r="L41" s="347"/>
      <c r="M41" s="347"/>
      <c r="N41" s="347"/>
      <c r="O41" s="347"/>
      <c r="P41" s="347"/>
      <c r="Q41" s="347"/>
      <c r="R41" s="347"/>
      <c r="S41" s="347"/>
      <c r="T41" s="347"/>
      <c r="U41" s="347"/>
      <c r="V41" s="347"/>
      <c r="W41" s="347"/>
      <c r="X41" s="347"/>
      <c r="Y41" s="347"/>
      <c r="Z41" s="347"/>
      <c r="AA41" s="347"/>
      <c r="AB41" s="347"/>
      <c r="AC41" s="347"/>
      <c r="AD41" s="347"/>
      <c r="AE41" s="347"/>
      <c r="AF41" s="347"/>
      <c r="AG41" s="347"/>
      <c r="AH41" s="347"/>
      <c r="AI41" s="347"/>
      <c r="AJ41" s="347"/>
      <c r="AK41" s="347"/>
      <c r="AL41" s="347"/>
      <c r="AM41" s="347"/>
      <c r="AN41" s="347"/>
      <c r="AO41" s="347"/>
      <c r="AP41" s="347"/>
      <c r="AQ41" s="347"/>
      <c r="AR41" s="347"/>
      <c r="AS41" s="347"/>
      <c r="AT41" s="347"/>
      <c r="AU41" s="347"/>
      <c r="AV41" s="347"/>
      <c r="AW41" s="347"/>
      <c r="AX41" s="347"/>
      <c r="AY41" s="347"/>
      <c r="AZ41" s="347"/>
      <c r="BA41" s="347"/>
      <c r="BB41" s="347"/>
      <c r="BC41" s="347"/>
      <c r="BD41" s="347"/>
      <c r="BE41" s="347"/>
      <c r="BF41" s="347"/>
      <c r="BG41" s="347"/>
    </row>
    <row r="42" spans="2:59"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47"/>
      <c r="I42" s="347"/>
      <c r="J42" s="347"/>
      <c r="K42" s="347"/>
      <c r="L42" s="347"/>
      <c r="M42" s="347"/>
      <c r="N42" s="347"/>
      <c r="O42" s="347"/>
      <c r="P42" s="347"/>
      <c r="Q42" s="347"/>
      <c r="R42" s="347"/>
      <c r="S42" s="347"/>
      <c r="T42" s="347"/>
      <c r="U42" s="347"/>
      <c r="V42" s="347"/>
      <c r="W42" s="347"/>
      <c r="X42" s="347"/>
      <c r="Y42" s="347"/>
      <c r="Z42" s="347"/>
      <c r="AA42" s="347"/>
      <c r="AB42" s="347"/>
      <c r="AC42" s="347"/>
      <c r="AD42" s="347"/>
      <c r="AE42" s="347"/>
      <c r="AF42" s="347"/>
      <c r="AG42" s="347"/>
      <c r="AH42" s="347"/>
      <c r="AI42" s="347"/>
      <c r="AJ42" s="347"/>
      <c r="AK42" s="347"/>
      <c r="AL42" s="347"/>
      <c r="AM42" s="347"/>
      <c r="AN42" s="347"/>
      <c r="AO42" s="347"/>
      <c r="AP42" s="347"/>
      <c r="AQ42" s="347"/>
      <c r="AR42" s="347"/>
      <c r="AS42" s="347"/>
      <c r="AT42" s="347"/>
      <c r="AU42" s="347"/>
      <c r="AV42" s="347"/>
      <c r="AW42" s="347"/>
      <c r="AX42" s="347"/>
      <c r="AY42" s="347"/>
      <c r="AZ42" s="347"/>
      <c r="BA42" s="347"/>
      <c r="BB42" s="347"/>
      <c r="BC42" s="347"/>
      <c r="BD42" s="347"/>
      <c r="BE42" s="347"/>
      <c r="BF42" s="347"/>
      <c r="BG42" s="347"/>
    </row>
    <row r="43" spans="2:59"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47"/>
      <c r="I43" s="347"/>
      <c r="J43" s="347"/>
      <c r="K43" s="347"/>
      <c r="L43" s="347"/>
      <c r="M43" s="347"/>
      <c r="N43" s="347"/>
      <c r="O43" s="347"/>
      <c r="P43" s="347"/>
      <c r="Q43" s="347"/>
      <c r="R43" s="347"/>
      <c r="S43" s="347"/>
      <c r="T43" s="347"/>
      <c r="U43" s="347"/>
      <c r="V43" s="347"/>
      <c r="W43" s="347"/>
      <c r="X43" s="347"/>
      <c r="Y43" s="347"/>
      <c r="Z43" s="347"/>
      <c r="AA43" s="347"/>
      <c r="AB43" s="347"/>
      <c r="AC43" s="347"/>
      <c r="AD43" s="347"/>
      <c r="AE43" s="347"/>
      <c r="AF43" s="347"/>
      <c r="AG43" s="347"/>
      <c r="AH43" s="347"/>
      <c r="AI43" s="347"/>
      <c r="AJ43" s="347"/>
      <c r="AK43" s="347"/>
      <c r="AL43" s="347"/>
      <c r="AM43" s="347"/>
      <c r="AN43" s="347"/>
      <c r="AO43" s="347"/>
      <c r="AP43" s="347"/>
      <c r="AQ43" s="347"/>
      <c r="AR43" s="347"/>
      <c r="AS43" s="347"/>
      <c r="AT43" s="347"/>
      <c r="AU43" s="347"/>
      <c r="AV43" s="347"/>
      <c r="AW43" s="347"/>
      <c r="AX43" s="347"/>
      <c r="AY43" s="347"/>
      <c r="AZ43" s="347"/>
      <c r="BA43" s="347"/>
      <c r="BB43" s="347"/>
      <c r="BC43" s="347"/>
      <c r="BD43" s="347"/>
      <c r="BE43" s="347"/>
      <c r="BF43" s="347"/>
      <c r="BG43" s="347"/>
    </row>
    <row r="44" spans="2:59"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47"/>
      <c r="I44" s="347"/>
      <c r="J44" s="347"/>
      <c r="K44" s="347"/>
      <c r="L44" s="347"/>
      <c r="M44" s="347"/>
      <c r="N44" s="347"/>
      <c r="O44" s="347"/>
      <c r="P44" s="347"/>
      <c r="Q44" s="347"/>
      <c r="R44" s="347"/>
      <c r="S44" s="347"/>
      <c r="T44" s="347"/>
      <c r="U44" s="347"/>
      <c r="V44" s="347"/>
      <c r="W44" s="347"/>
      <c r="X44" s="347"/>
      <c r="Y44" s="347"/>
      <c r="Z44" s="347"/>
      <c r="AA44" s="347"/>
      <c r="AB44" s="347"/>
      <c r="AC44" s="347"/>
      <c r="AD44" s="347"/>
      <c r="AE44" s="347"/>
      <c r="AF44" s="347"/>
      <c r="AG44" s="347"/>
      <c r="AH44" s="347"/>
      <c r="AI44" s="347"/>
      <c r="AJ44" s="347"/>
      <c r="AK44" s="347"/>
      <c r="AL44" s="347"/>
      <c r="AM44" s="347"/>
      <c r="AN44" s="347"/>
      <c r="AO44" s="347"/>
      <c r="AP44" s="347"/>
      <c r="AQ44" s="347"/>
      <c r="AR44" s="347"/>
      <c r="AS44" s="347"/>
      <c r="AT44" s="347"/>
      <c r="AU44" s="347"/>
      <c r="AV44" s="347"/>
      <c r="AW44" s="347"/>
      <c r="AX44" s="347"/>
      <c r="AY44" s="347"/>
      <c r="AZ44" s="347"/>
      <c r="BA44" s="347"/>
      <c r="BB44" s="347"/>
      <c r="BC44" s="347"/>
      <c r="BD44" s="347"/>
      <c r="BE44" s="347"/>
      <c r="BF44" s="347"/>
      <c r="BG44" s="347"/>
    </row>
    <row r="45" spans="2:59"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47"/>
      <c r="I45" s="347"/>
      <c r="J45" s="347"/>
      <c r="K45" s="347"/>
      <c r="L45" s="347"/>
      <c r="M45" s="347"/>
      <c r="N45" s="347"/>
      <c r="O45" s="347"/>
      <c r="P45" s="347"/>
      <c r="Q45" s="347"/>
      <c r="R45" s="347"/>
      <c r="S45" s="347"/>
      <c r="T45" s="347"/>
      <c r="U45" s="347"/>
      <c r="V45" s="347"/>
      <c r="W45" s="347"/>
      <c r="X45" s="347"/>
      <c r="Y45" s="347"/>
      <c r="Z45" s="347"/>
      <c r="AA45" s="347"/>
      <c r="AB45" s="347"/>
      <c r="AC45" s="347"/>
      <c r="AD45" s="347"/>
      <c r="AE45" s="347"/>
      <c r="AF45" s="347"/>
      <c r="AG45" s="347"/>
      <c r="AH45" s="347"/>
      <c r="AI45" s="347"/>
      <c r="AJ45" s="347"/>
      <c r="AK45" s="347"/>
      <c r="AL45" s="347"/>
      <c r="AM45" s="347"/>
      <c r="AN45" s="347"/>
      <c r="AO45" s="347"/>
      <c r="AP45" s="347"/>
      <c r="AQ45" s="347"/>
      <c r="AR45" s="347"/>
      <c r="AS45" s="347"/>
      <c r="AT45" s="347"/>
      <c r="AU45" s="347"/>
      <c r="AV45" s="347"/>
      <c r="AW45" s="347"/>
      <c r="AX45" s="347"/>
      <c r="AY45" s="347"/>
      <c r="AZ45" s="347"/>
      <c r="BA45" s="347"/>
      <c r="BB45" s="347"/>
      <c r="BC45" s="347"/>
      <c r="BD45" s="347"/>
      <c r="BE45" s="347"/>
      <c r="BF45" s="347"/>
      <c r="BG45" s="347"/>
    </row>
    <row r="46" spans="2:59"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47"/>
      <c r="I46" s="347"/>
      <c r="J46" s="347"/>
      <c r="K46" s="347"/>
      <c r="L46" s="347"/>
      <c r="M46" s="347"/>
      <c r="N46" s="347"/>
      <c r="O46" s="347"/>
      <c r="P46" s="347"/>
      <c r="Q46" s="347"/>
      <c r="R46" s="347"/>
      <c r="S46" s="347"/>
      <c r="T46" s="347"/>
      <c r="U46" s="347"/>
      <c r="V46" s="347"/>
      <c r="W46" s="347"/>
      <c r="X46" s="347"/>
      <c r="Y46" s="347"/>
      <c r="Z46" s="347"/>
      <c r="AA46" s="347"/>
      <c r="AB46" s="347"/>
      <c r="AC46" s="347"/>
      <c r="AD46" s="347"/>
      <c r="AE46" s="347"/>
      <c r="AF46" s="347"/>
      <c r="AG46" s="347"/>
      <c r="AH46" s="347"/>
      <c r="AI46" s="347"/>
      <c r="AJ46" s="347"/>
      <c r="AK46" s="347"/>
      <c r="AL46" s="347"/>
      <c r="AM46" s="347"/>
      <c r="AN46" s="347"/>
      <c r="AO46" s="347"/>
      <c r="AP46" s="347"/>
      <c r="AQ46" s="347"/>
      <c r="AR46" s="347"/>
      <c r="AS46" s="347"/>
      <c r="AT46" s="347"/>
      <c r="AU46" s="347"/>
      <c r="AV46" s="347"/>
      <c r="AW46" s="347"/>
      <c r="AX46" s="347"/>
      <c r="AY46" s="347"/>
      <c r="AZ46" s="347"/>
      <c r="BA46" s="347"/>
      <c r="BB46" s="347"/>
      <c r="BC46" s="347"/>
      <c r="BD46" s="347"/>
      <c r="BE46" s="347"/>
      <c r="BF46" s="347"/>
      <c r="BG46" s="347"/>
    </row>
    <row r="47" spans="2:59"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47"/>
      <c r="I47" s="347"/>
      <c r="J47" s="347"/>
      <c r="K47" s="347"/>
      <c r="L47" s="347"/>
      <c r="M47" s="347"/>
      <c r="N47" s="347"/>
      <c r="O47" s="347"/>
      <c r="P47" s="347"/>
      <c r="Q47" s="347"/>
      <c r="R47" s="347"/>
      <c r="S47" s="347"/>
      <c r="T47" s="347"/>
      <c r="U47" s="347"/>
      <c r="V47" s="347"/>
      <c r="W47" s="347"/>
      <c r="X47" s="347"/>
      <c r="Y47" s="347"/>
      <c r="Z47" s="347"/>
      <c r="AA47" s="347"/>
      <c r="AB47" s="347"/>
      <c r="AC47" s="347"/>
      <c r="AD47" s="347"/>
      <c r="AE47" s="347"/>
      <c r="AF47" s="347"/>
      <c r="AG47" s="347"/>
      <c r="AH47" s="347"/>
      <c r="AI47" s="347"/>
      <c r="AJ47" s="347"/>
      <c r="AK47" s="347"/>
      <c r="AL47" s="347"/>
      <c r="AM47" s="347"/>
      <c r="AN47" s="347"/>
      <c r="AO47" s="347"/>
      <c r="AP47" s="347"/>
      <c r="AQ47" s="347"/>
      <c r="AR47" s="347"/>
      <c r="AS47" s="347"/>
      <c r="AT47" s="347"/>
      <c r="AU47" s="347"/>
      <c r="AV47" s="347"/>
      <c r="AW47" s="347"/>
      <c r="AX47" s="347"/>
      <c r="AY47" s="347"/>
      <c r="AZ47" s="347"/>
      <c r="BA47" s="347"/>
      <c r="BB47" s="347"/>
      <c r="BC47" s="347"/>
      <c r="BD47" s="347"/>
      <c r="BE47" s="347"/>
      <c r="BF47" s="347"/>
      <c r="BG47" s="347"/>
    </row>
    <row r="48" spans="2:59"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47"/>
      <c r="I48" s="347"/>
      <c r="J48" s="347"/>
      <c r="K48" s="347"/>
      <c r="L48" s="347"/>
      <c r="M48" s="347"/>
      <c r="N48" s="347"/>
      <c r="O48" s="347"/>
      <c r="P48" s="347"/>
      <c r="Q48" s="347"/>
      <c r="R48" s="347"/>
      <c r="S48" s="347"/>
      <c r="T48" s="347"/>
      <c r="U48" s="347"/>
      <c r="V48" s="347"/>
      <c r="W48" s="347"/>
      <c r="X48" s="347"/>
      <c r="Y48" s="347"/>
      <c r="Z48" s="347"/>
      <c r="AA48" s="347"/>
      <c r="AB48" s="347"/>
      <c r="AC48" s="347"/>
      <c r="AD48" s="347"/>
      <c r="AE48" s="347"/>
      <c r="AF48" s="347"/>
      <c r="AG48" s="347"/>
      <c r="AH48" s="347"/>
      <c r="AI48" s="347"/>
      <c r="AJ48" s="347"/>
      <c r="AK48" s="347"/>
      <c r="AL48" s="347"/>
      <c r="AM48" s="347"/>
      <c r="AN48" s="347"/>
      <c r="AO48" s="347"/>
      <c r="AP48" s="347"/>
      <c r="AQ48" s="347"/>
      <c r="AR48" s="347"/>
      <c r="AS48" s="347"/>
      <c r="AT48" s="347"/>
      <c r="AU48" s="347"/>
      <c r="AV48" s="347"/>
      <c r="AW48" s="347"/>
      <c r="AX48" s="347"/>
      <c r="AY48" s="347"/>
      <c r="AZ48" s="347"/>
      <c r="BA48" s="347"/>
      <c r="BB48" s="347"/>
      <c r="BC48" s="347"/>
      <c r="BD48" s="347"/>
      <c r="BE48" s="347"/>
      <c r="BF48" s="347"/>
      <c r="BG48" s="347"/>
    </row>
    <row r="49" spans="2:59"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47"/>
      <c r="I49" s="347"/>
      <c r="J49" s="347"/>
      <c r="K49" s="347"/>
      <c r="L49" s="347"/>
      <c r="M49" s="347"/>
      <c r="N49" s="347"/>
      <c r="O49" s="347"/>
      <c r="P49" s="347"/>
      <c r="Q49" s="347"/>
      <c r="R49" s="347"/>
      <c r="S49" s="347"/>
      <c r="T49" s="347"/>
      <c r="U49" s="347"/>
      <c r="V49" s="347"/>
      <c r="W49" s="347"/>
      <c r="X49" s="347"/>
      <c r="Y49" s="347"/>
      <c r="Z49" s="347"/>
      <c r="AA49" s="347"/>
      <c r="AB49" s="347"/>
      <c r="AC49" s="347"/>
      <c r="AD49" s="347"/>
      <c r="AE49" s="347"/>
      <c r="AF49" s="347"/>
      <c r="AG49" s="347"/>
      <c r="AH49" s="347"/>
      <c r="AI49" s="347"/>
      <c r="AJ49" s="347"/>
      <c r="AK49" s="347"/>
      <c r="AL49" s="347"/>
      <c r="AM49" s="347"/>
      <c r="AN49" s="347"/>
      <c r="AO49" s="347"/>
      <c r="AP49" s="347"/>
      <c r="AQ49" s="347"/>
      <c r="AR49" s="347"/>
      <c r="AS49" s="347"/>
      <c r="AT49" s="347"/>
      <c r="AU49" s="347"/>
      <c r="AV49" s="347"/>
      <c r="AW49" s="347"/>
      <c r="AX49" s="347"/>
      <c r="AY49" s="347"/>
      <c r="AZ49" s="347"/>
      <c r="BA49" s="347"/>
      <c r="BB49" s="347"/>
      <c r="BC49" s="347"/>
      <c r="BD49" s="347"/>
      <c r="BE49" s="347"/>
      <c r="BF49" s="347"/>
      <c r="BG49" s="347"/>
    </row>
    <row r="50" spans="2:59"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47"/>
      <c r="I50" s="347"/>
      <c r="J50" s="347"/>
      <c r="K50" s="347"/>
      <c r="L50" s="347"/>
      <c r="M50" s="347"/>
      <c r="N50" s="347"/>
      <c r="O50" s="347"/>
      <c r="P50" s="347"/>
      <c r="Q50" s="347"/>
      <c r="R50" s="347"/>
      <c r="S50" s="347"/>
      <c r="T50" s="347"/>
      <c r="U50" s="347"/>
      <c r="V50" s="347"/>
      <c r="W50" s="347"/>
      <c r="X50" s="347"/>
      <c r="Y50" s="347"/>
      <c r="Z50" s="347"/>
      <c r="AA50" s="347"/>
      <c r="AB50" s="347"/>
      <c r="AC50" s="347"/>
      <c r="AD50" s="347"/>
      <c r="AE50" s="347"/>
      <c r="AF50" s="347"/>
      <c r="AG50" s="347"/>
      <c r="AH50" s="347"/>
      <c r="AI50" s="347"/>
      <c r="AJ50" s="347"/>
      <c r="AK50" s="347"/>
      <c r="AL50" s="347"/>
      <c r="AM50" s="347"/>
      <c r="AN50" s="347"/>
      <c r="AO50" s="347"/>
      <c r="AP50" s="347"/>
      <c r="AQ50" s="347"/>
      <c r="AR50" s="347"/>
      <c r="AS50" s="347"/>
      <c r="AT50" s="347"/>
      <c r="AU50" s="347"/>
      <c r="AV50" s="347"/>
      <c r="AW50" s="347"/>
      <c r="AX50" s="347"/>
      <c r="AY50" s="347"/>
      <c r="AZ50" s="347"/>
      <c r="BA50" s="347"/>
      <c r="BB50" s="347"/>
      <c r="BC50" s="347"/>
      <c r="BD50" s="347"/>
      <c r="BE50" s="347"/>
      <c r="BF50" s="347"/>
      <c r="BG50" s="347"/>
    </row>
    <row r="51" spans="2:59"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47"/>
      <c r="I51" s="347"/>
      <c r="J51" s="347"/>
      <c r="K51" s="347"/>
      <c r="L51" s="347"/>
      <c r="M51" s="347"/>
      <c r="N51" s="347"/>
      <c r="O51" s="347"/>
      <c r="P51" s="347"/>
      <c r="Q51" s="347"/>
      <c r="R51" s="347"/>
      <c r="S51" s="347"/>
      <c r="T51" s="347"/>
      <c r="U51" s="347"/>
      <c r="V51" s="347"/>
      <c r="W51" s="347"/>
      <c r="X51" s="347"/>
      <c r="Y51" s="347"/>
      <c r="Z51" s="347"/>
      <c r="AA51" s="347"/>
      <c r="AB51" s="347"/>
      <c r="AC51" s="347"/>
      <c r="AD51" s="347"/>
      <c r="AE51" s="347"/>
      <c r="AF51" s="347"/>
      <c r="AG51" s="347"/>
      <c r="AH51" s="347"/>
      <c r="AI51" s="347"/>
      <c r="AJ51" s="347"/>
      <c r="AK51" s="347"/>
      <c r="AL51" s="347"/>
      <c r="AM51" s="347"/>
      <c r="AN51" s="347"/>
      <c r="AO51" s="347"/>
      <c r="AP51" s="347"/>
      <c r="AQ51" s="347"/>
      <c r="AR51" s="347"/>
      <c r="AS51" s="347"/>
      <c r="AT51" s="347"/>
      <c r="AU51" s="347"/>
      <c r="AV51" s="347"/>
      <c r="AW51" s="347"/>
      <c r="AX51" s="347"/>
      <c r="AY51" s="347"/>
      <c r="AZ51" s="347"/>
      <c r="BA51" s="347"/>
      <c r="BB51" s="347"/>
      <c r="BC51" s="347"/>
      <c r="BD51" s="347"/>
      <c r="BE51" s="347"/>
      <c r="BF51" s="347"/>
      <c r="BG51" s="347"/>
    </row>
    <row r="52" spans="2:59"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47"/>
      <c r="I52" s="347"/>
      <c r="J52" s="347"/>
      <c r="K52" s="347"/>
      <c r="L52" s="347"/>
      <c r="M52" s="347"/>
      <c r="N52" s="347"/>
      <c r="O52" s="347"/>
      <c r="P52" s="347"/>
      <c r="Q52" s="347"/>
      <c r="R52" s="347"/>
      <c r="S52" s="347"/>
      <c r="T52" s="347"/>
      <c r="U52" s="347"/>
      <c r="V52" s="347"/>
      <c r="W52" s="347"/>
      <c r="X52" s="347"/>
      <c r="Y52" s="347"/>
      <c r="Z52" s="347"/>
      <c r="AA52" s="347"/>
      <c r="AB52" s="347"/>
      <c r="AC52" s="347"/>
      <c r="AD52" s="347"/>
      <c r="AE52" s="347"/>
      <c r="AF52" s="347"/>
      <c r="AG52" s="347"/>
      <c r="AH52" s="347"/>
      <c r="AI52" s="347"/>
      <c r="AJ52" s="347"/>
      <c r="AK52" s="347"/>
      <c r="AL52" s="347"/>
      <c r="AM52" s="347"/>
      <c r="AN52" s="347"/>
      <c r="AO52" s="347"/>
      <c r="AP52" s="347"/>
      <c r="AQ52" s="347"/>
      <c r="AR52" s="347"/>
      <c r="AS52" s="347"/>
      <c r="AT52" s="347"/>
      <c r="AU52" s="347"/>
      <c r="AV52" s="347"/>
      <c r="AW52" s="347"/>
      <c r="AX52" s="347"/>
      <c r="AY52" s="347"/>
      <c r="AZ52" s="347"/>
      <c r="BA52" s="347"/>
      <c r="BB52" s="347"/>
      <c r="BC52" s="347"/>
      <c r="BD52" s="347"/>
      <c r="BE52" s="347"/>
      <c r="BF52" s="347"/>
      <c r="BG52" s="347"/>
    </row>
    <row r="53" spans="2:59"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47"/>
      <c r="I53" s="347"/>
      <c r="J53" s="347"/>
      <c r="K53" s="347"/>
      <c r="L53" s="347"/>
      <c r="M53" s="347"/>
      <c r="N53" s="347"/>
      <c r="O53" s="347"/>
      <c r="P53" s="347"/>
      <c r="Q53" s="347"/>
      <c r="R53" s="347"/>
      <c r="S53" s="347"/>
      <c r="T53" s="347"/>
      <c r="U53" s="347"/>
      <c r="V53" s="347"/>
      <c r="W53" s="347"/>
      <c r="X53" s="347"/>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47"/>
      <c r="BC53" s="347"/>
      <c r="BD53" s="347"/>
      <c r="BE53" s="347"/>
      <c r="BF53" s="347"/>
      <c r="BG53" s="347"/>
    </row>
    <row r="54" spans="2:59"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47"/>
      <c r="I54" s="347"/>
      <c r="J54" s="347"/>
      <c r="K54" s="347"/>
      <c r="L54" s="347"/>
      <c r="M54" s="347"/>
      <c r="N54" s="347"/>
      <c r="O54" s="347"/>
      <c r="P54" s="347"/>
      <c r="Q54" s="347"/>
      <c r="R54" s="347"/>
      <c r="S54" s="347"/>
      <c r="T54" s="347"/>
      <c r="U54" s="347"/>
      <c r="V54" s="347"/>
      <c r="W54" s="347"/>
      <c r="X54" s="347"/>
      <c r="Y54" s="347"/>
      <c r="Z54" s="347"/>
      <c r="AA54" s="347"/>
      <c r="AB54" s="347"/>
      <c r="AC54" s="347"/>
      <c r="AD54" s="347"/>
      <c r="AE54" s="347"/>
      <c r="AF54" s="347"/>
      <c r="AG54" s="347"/>
      <c r="AH54" s="347"/>
      <c r="AI54" s="347"/>
      <c r="AJ54" s="347"/>
      <c r="AK54" s="347"/>
      <c r="AL54" s="347"/>
      <c r="AM54" s="347"/>
      <c r="AN54" s="347"/>
      <c r="AO54" s="347"/>
      <c r="AP54" s="347"/>
      <c r="AQ54" s="347"/>
      <c r="AR54" s="347"/>
      <c r="AS54" s="347"/>
      <c r="AT54" s="347"/>
      <c r="AU54" s="347"/>
      <c r="AV54" s="347"/>
      <c r="AW54" s="347"/>
      <c r="AX54" s="347"/>
      <c r="AY54" s="347"/>
      <c r="AZ54" s="347"/>
      <c r="BA54" s="347"/>
      <c r="BB54" s="347"/>
      <c r="BC54" s="347"/>
      <c r="BD54" s="347"/>
      <c r="BE54" s="347"/>
      <c r="BF54" s="347"/>
      <c r="BG54" s="347"/>
    </row>
    <row r="55" spans="2:59"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47"/>
      <c r="I55" s="347"/>
      <c r="J55" s="347"/>
      <c r="K55" s="347"/>
      <c r="L55" s="347"/>
      <c r="M55" s="347"/>
      <c r="N55" s="347"/>
      <c r="O55" s="347"/>
      <c r="P55" s="347"/>
      <c r="Q55" s="347"/>
      <c r="R55" s="347"/>
      <c r="S55" s="347"/>
      <c r="T55" s="347"/>
      <c r="U55" s="347"/>
      <c r="V55" s="347"/>
      <c r="W55" s="347"/>
      <c r="X55" s="347"/>
      <c r="Y55" s="347"/>
      <c r="Z55" s="347"/>
      <c r="AA55" s="347"/>
      <c r="AB55" s="347"/>
      <c r="AC55" s="347"/>
      <c r="AD55" s="347"/>
      <c r="AE55" s="347"/>
      <c r="AF55" s="347"/>
      <c r="AG55" s="347"/>
      <c r="AH55" s="347"/>
      <c r="AI55" s="347"/>
      <c r="AJ55" s="347"/>
      <c r="AK55" s="347"/>
      <c r="AL55" s="347"/>
      <c r="AM55" s="347"/>
      <c r="AN55" s="347"/>
      <c r="AO55" s="347"/>
      <c r="AP55" s="347"/>
      <c r="AQ55" s="347"/>
      <c r="AR55" s="347"/>
      <c r="AS55" s="347"/>
      <c r="AT55" s="347"/>
      <c r="AU55" s="347"/>
      <c r="AV55" s="347"/>
      <c r="AW55" s="347"/>
      <c r="AX55" s="347"/>
      <c r="AY55" s="347"/>
      <c r="AZ55" s="347"/>
      <c r="BA55" s="347"/>
      <c r="BB55" s="347"/>
      <c r="BC55" s="347"/>
      <c r="BD55" s="347"/>
      <c r="BE55" s="347"/>
      <c r="BF55" s="347"/>
      <c r="BG55" s="347"/>
    </row>
    <row r="56" spans="2:59"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47"/>
      <c r="I56" s="347"/>
      <c r="J56" s="347"/>
      <c r="K56" s="347"/>
      <c r="L56" s="347"/>
      <c r="M56" s="347"/>
      <c r="N56" s="347"/>
      <c r="O56" s="347"/>
      <c r="P56" s="347"/>
      <c r="Q56" s="347"/>
      <c r="R56" s="347"/>
      <c r="S56" s="347"/>
      <c r="T56" s="347"/>
      <c r="U56" s="347"/>
      <c r="V56" s="347"/>
      <c r="W56" s="347"/>
      <c r="X56" s="347"/>
      <c r="Y56" s="347"/>
      <c r="Z56" s="347"/>
      <c r="AA56" s="347"/>
      <c r="AB56" s="347"/>
      <c r="AC56" s="347"/>
      <c r="AD56" s="347"/>
      <c r="AE56" s="347"/>
      <c r="AF56" s="347"/>
      <c r="AG56" s="347"/>
      <c r="AH56" s="347"/>
      <c r="AI56" s="347"/>
      <c r="AJ56" s="347"/>
      <c r="AK56" s="347"/>
      <c r="AL56" s="347"/>
      <c r="AM56" s="347"/>
      <c r="AN56" s="347"/>
      <c r="AO56" s="347"/>
      <c r="AP56" s="347"/>
      <c r="AQ56" s="347"/>
      <c r="AR56" s="347"/>
      <c r="AS56" s="347"/>
      <c r="AT56" s="347"/>
      <c r="AU56" s="347"/>
      <c r="AV56" s="347"/>
      <c r="AW56" s="347"/>
      <c r="AX56" s="347"/>
      <c r="AY56" s="347"/>
      <c r="AZ56" s="347"/>
      <c r="BA56" s="347"/>
      <c r="BB56" s="347"/>
      <c r="BC56" s="347"/>
      <c r="BD56" s="347"/>
      <c r="BE56" s="347"/>
      <c r="BF56" s="347"/>
      <c r="BG56" s="347"/>
    </row>
    <row r="57" spans="2:59"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47"/>
      <c r="I57" s="347"/>
      <c r="J57" s="347"/>
      <c r="K57" s="347"/>
      <c r="L57" s="347"/>
      <c r="M57" s="347"/>
      <c r="N57" s="347"/>
      <c r="O57" s="347"/>
      <c r="P57" s="347"/>
      <c r="Q57" s="347"/>
      <c r="R57" s="347"/>
      <c r="S57" s="347"/>
      <c r="T57" s="347"/>
      <c r="U57" s="347"/>
      <c r="V57" s="347"/>
      <c r="W57" s="347"/>
      <c r="X57" s="347"/>
      <c r="Y57" s="347"/>
      <c r="Z57" s="347"/>
      <c r="AA57" s="347"/>
      <c r="AB57" s="347"/>
      <c r="AC57" s="347"/>
      <c r="AD57" s="347"/>
      <c r="AE57" s="347"/>
      <c r="AF57" s="347"/>
      <c r="AG57" s="347"/>
      <c r="AH57" s="347"/>
      <c r="AI57" s="347"/>
      <c r="AJ57" s="347"/>
      <c r="AK57" s="347"/>
      <c r="AL57" s="347"/>
      <c r="AM57" s="347"/>
      <c r="AN57" s="347"/>
      <c r="AO57" s="347"/>
      <c r="AP57" s="347"/>
      <c r="AQ57" s="347"/>
      <c r="AR57" s="347"/>
      <c r="AS57" s="347"/>
      <c r="AT57" s="347"/>
      <c r="AU57" s="347"/>
      <c r="AV57" s="347"/>
      <c r="AW57" s="347"/>
      <c r="AX57" s="347"/>
      <c r="AY57" s="347"/>
      <c r="AZ57" s="347"/>
      <c r="BA57" s="347"/>
      <c r="BB57" s="347"/>
      <c r="BC57" s="347"/>
      <c r="BD57" s="347"/>
      <c r="BE57" s="347"/>
      <c r="BF57" s="347"/>
      <c r="BG57" s="347"/>
    </row>
    <row r="58" spans="2:59"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47"/>
      <c r="I58" s="347"/>
      <c r="J58" s="347"/>
      <c r="K58" s="347"/>
      <c r="L58" s="347"/>
      <c r="M58" s="347"/>
      <c r="N58" s="347"/>
      <c r="O58" s="347"/>
      <c r="P58" s="347"/>
      <c r="Q58" s="347"/>
      <c r="R58" s="347"/>
      <c r="S58" s="347"/>
      <c r="T58" s="347"/>
      <c r="U58" s="347"/>
      <c r="V58" s="347"/>
      <c r="W58" s="347"/>
      <c r="X58" s="347"/>
      <c r="Y58" s="347"/>
      <c r="Z58" s="347"/>
      <c r="AA58" s="347"/>
      <c r="AB58" s="347"/>
      <c r="AC58" s="347"/>
      <c r="AD58" s="347"/>
      <c r="AE58" s="347"/>
      <c r="AF58" s="347"/>
      <c r="AG58" s="347"/>
      <c r="AH58" s="347"/>
      <c r="AI58" s="347"/>
      <c r="AJ58" s="347"/>
      <c r="AK58" s="347"/>
      <c r="AL58" s="347"/>
      <c r="AM58" s="347"/>
      <c r="AN58" s="347"/>
      <c r="AO58" s="347"/>
      <c r="AP58" s="347"/>
      <c r="AQ58" s="347"/>
      <c r="AR58" s="347"/>
      <c r="AS58" s="347"/>
      <c r="AT58" s="347"/>
      <c r="AU58" s="347"/>
      <c r="AV58" s="347"/>
      <c r="AW58" s="347"/>
      <c r="AX58" s="347"/>
      <c r="AY58" s="347"/>
      <c r="AZ58" s="347"/>
      <c r="BA58" s="347"/>
      <c r="BB58" s="347"/>
      <c r="BC58" s="347"/>
      <c r="BD58" s="347"/>
      <c r="BE58" s="347"/>
      <c r="BF58" s="347"/>
      <c r="BG58" s="347"/>
    </row>
    <row r="59" spans="2:59"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47"/>
      <c r="I59" s="347"/>
      <c r="J59" s="347"/>
      <c r="K59" s="347"/>
      <c r="L59" s="347"/>
      <c r="M59" s="347"/>
      <c r="N59" s="347"/>
      <c r="O59" s="347"/>
      <c r="P59" s="347"/>
      <c r="Q59" s="347"/>
      <c r="R59" s="347"/>
      <c r="S59" s="347"/>
      <c r="T59" s="347"/>
      <c r="U59" s="347"/>
      <c r="V59" s="347"/>
      <c r="W59" s="347"/>
      <c r="X59" s="347"/>
      <c r="Y59" s="347"/>
      <c r="Z59" s="347"/>
      <c r="AA59" s="347"/>
      <c r="AB59" s="347"/>
      <c r="AC59" s="347"/>
      <c r="AD59" s="347"/>
      <c r="AE59" s="347"/>
      <c r="AF59" s="347"/>
      <c r="AG59" s="347"/>
      <c r="AH59" s="347"/>
      <c r="AI59" s="347"/>
      <c r="AJ59" s="347"/>
      <c r="AK59" s="347"/>
      <c r="AL59" s="347"/>
      <c r="AM59" s="347"/>
      <c r="AN59" s="347"/>
      <c r="AO59" s="347"/>
      <c r="AP59" s="347"/>
      <c r="AQ59" s="347"/>
      <c r="AR59" s="347"/>
      <c r="AS59" s="347"/>
      <c r="AT59" s="347"/>
      <c r="AU59" s="347"/>
      <c r="AV59" s="347"/>
      <c r="AW59" s="347"/>
      <c r="AX59" s="347"/>
      <c r="AY59" s="347"/>
      <c r="AZ59" s="347"/>
      <c r="BA59" s="347"/>
      <c r="BB59" s="347"/>
      <c r="BC59" s="347"/>
      <c r="BD59" s="347"/>
      <c r="BE59" s="347"/>
      <c r="BF59" s="347"/>
      <c r="BG59" s="347"/>
    </row>
    <row r="60" spans="2:59"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47"/>
      <c r="I60" s="347"/>
      <c r="J60" s="347"/>
      <c r="K60" s="347"/>
      <c r="L60" s="347"/>
      <c r="M60" s="347"/>
      <c r="N60" s="347"/>
      <c r="O60" s="347"/>
      <c r="P60" s="347"/>
      <c r="Q60" s="347"/>
      <c r="R60" s="347"/>
      <c r="S60" s="347"/>
      <c r="T60" s="347"/>
      <c r="U60" s="347"/>
      <c r="V60" s="347"/>
      <c r="W60" s="347"/>
      <c r="X60" s="347"/>
      <c r="Y60" s="347"/>
      <c r="Z60" s="347"/>
      <c r="AA60" s="347"/>
      <c r="AB60" s="347"/>
      <c r="AC60" s="347"/>
      <c r="AD60" s="347"/>
      <c r="AE60" s="347"/>
      <c r="AF60" s="347"/>
      <c r="AG60" s="347"/>
      <c r="AH60" s="347"/>
      <c r="AI60" s="347"/>
      <c r="AJ60" s="347"/>
      <c r="AK60" s="347"/>
      <c r="AL60" s="347"/>
      <c r="AM60" s="347"/>
      <c r="AN60" s="347"/>
      <c r="AO60" s="347"/>
      <c r="AP60" s="347"/>
      <c r="AQ60" s="347"/>
      <c r="AR60" s="347"/>
      <c r="AS60" s="347"/>
      <c r="AT60" s="347"/>
      <c r="AU60" s="347"/>
      <c r="AV60" s="347"/>
      <c r="AW60" s="347"/>
      <c r="AX60" s="347"/>
      <c r="AY60" s="347"/>
      <c r="AZ60" s="347"/>
      <c r="BA60" s="347"/>
      <c r="BB60" s="347"/>
      <c r="BC60" s="347"/>
      <c r="BD60" s="347"/>
      <c r="BE60" s="347"/>
      <c r="BF60" s="347"/>
      <c r="BG60" s="347"/>
    </row>
    <row r="61" spans="2:59"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47"/>
      <c r="I61" s="347"/>
      <c r="J61" s="347"/>
      <c r="K61" s="347"/>
      <c r="L61" s="347"/>
      <c r="M61" s="347"/>
      <c r="N61" s="347"/>
      <c r="O61" s="347"/>
      <c r="P61" s="347"/>
      <c r="Q61" s="347"/>
      <c r="R61" s="347"/>
      <c r="S61" s="347"/>
      <c r="T61" s="347"/>
      <c r="U61" s="347"/>
      <c r="V61" s="347"/>
      <c r="W61" s="347"/>
      <c r="X61" s="347"/>
      <c r="Y61" s="347"/>
      <c r="Z61" s="347"/>
      <c r="AA61" s="347"/>
      <c r="AB61" s="347"/>
      <c r="AC61" s="347"/>
      <c r="AD61" s="347"/>
      <c r="AE61" s="347"/>
      <c r="AF61" s="347"/>
      <c r="AG61" s="347"/>
      <c r="AH61" s="347"/>
      <c r="AI61" s="347"/>
      <c r="AJ61" s="347"/>
      <c r="AK61" s="347"/>
      <c r="AL61" s="347"/>
      <c r="AM61" s="347"/>
      <c r="AN61" s="347"/>
      <c r="AO61" s="347"/>
      <c r="AP61" s="347"/>
      <c r="AQ61" s="347"/>
      <c r="AR61" s="347"/>
      <c r="AS61" s="347"/>
      <c r="AT61" s="347"/>
      <c r="AU61" s="347"/>
      <c r="AV61" s="347"/>
      <c r="AW61" s="347"/>
      <c r="AX61" s="347"/>
      <c r="AY61" s="347"/>
      <c r="AZ61" s="347"/>
      <c r="BA61" s="347"/>
      <c r="BB61" s="347"/>
      <c r="BC61" s="347"/>
      <c r="BD61" s="347"/>
      <c r="BE61" s="347"/>
      <c r="BF61" s="347"/>
      <c r="BG61" s="347"/>
    </row>
    <row r="62" spans="2:59"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47"/>
      <c r="I62" s="347"/>
      <c r="J62" s="347"/>
      <c r="K62" s="347"/>
      <c r="L62" s="347"/>
      <c r="M62" s="347"/>
      <c r="N62" s="347"/>
      <c r="O62" s="347"/>
      <c r="P62" s="347"/>
      <c r="Q62" s="347"/>
      <c r="R62" s="347"/>
      <c r="S62" s="347"/>
      <c r="T62" s="347"/>
      <c r="U62" s="347"/>
      <c r="V62" s="347"/>
      <c r="W62" s="347"/>
      <c r="X62" s="347"/>
      <c r="Y62" s="347"/>
      <c r="Z62" s="347"/>
      <c r="AA62" s="347"/>
      <c r="AB62" s="347"/>
      <c r="AC62" s="347"/>
      <c r="AD62" s="347"/>
      <c r="AE62" s="347"/>
      <c r="AF62" s="347"/>
      <c r="AG62" s="347"/>
      <c r="AH62" s="347"/>
      <c r="AI62" s="347"/>
      <c r="AJ62" s="347"/>
      <c r="AK62" s="347"/>
      <c r="AL62" s="347"/>
      <c r="AM62" s="347"/>
      <c r="AN62" s="347"/>
      <c r="AO62" s="347"/>
      <c r="AP62" s="347"/>
      <c r="AQ62" s="347"/>
      <c r="AR62" s="347"/>
      <c r="AS62" s="347"/>
      <c r="AT62" s="347"/>
      <c r="AU62" s="347"/>
      <c r="AV62" s="347"/>
      <c r="AW62" s="347"/>
      <c r="AX62" s="347"/>
      <c r="AY62" s="347"/>
      <c r="AZ62" s="347"/>
      <c r="BA62" s="347"/>
      <c r="BB62" s="347"/>
      <c r="BC62" s="347"/>
      <c r="BD62" s="347"/>
      <c r="BE62" s="347"/>
      <c r="BF62" s="347"/>
      <c r="BG62" s="347"/>
    </row>
    <row r="63" spans="2:59"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47"/>
      <c r="I63" s="347"/>
      <c r="J63" s="347"/>
      <c r="K63" s="347"/>
      <c r="L63" s="347"/>
      <c r="M63" s="347"/>
      <c r="N63" s="347"/>
      <c r="O63" s="347"/>
      <c r="P63" s="347"/>
      <c r="Q63" s="347"/>
      <c r="R63" s="347"/>
      <c r="S63" s="347"/>
      <c r="T63" s="347"/>
      <c r="U63" s="347"/>
      <c r="V63" s="347"/>
      <c r="W63" s="347"/>
      <c r="X63" s="347"/>
      <c r="Y63" s="347"/>
      <c r="Z63" s="347"/>
      <c r="AA63" s="347"/>
      <c r="AB63" s="347"/>
      <c r="AC63" s="347"/>
      <c r="AD63" s="347"/>
      <c r="AE63" s="347"/>
      <c r="AF63" s="347"/>
      <c r="AG63" s="347"/>
      <c r="AH63" s="347"/>
      <c r="AI63" s="347"/>
      <c r="AJ63" s="347"/>
      <c r="AK63" s="347"/>
      <c r="AL63" s="347"/>
      <c r="AM63" s="347"/>
      <c r="AN63" s="347"/>
      <c r="AO63" s="347"/>
      <c r="AP63" s="347"/>
      <c r="AQ63" s="347"/>
      <c r="AR63" s="347"/>
      <c r="AS63" s="347"/>
      <c r="AT63" s="347"/>
      <c r="AU63" s="347"/>
      <c r="AV63" s="347"/>
      <c r="AW63" s="347"/>
      <c r="AX63" s="347"/>
      <c r="AY63" s="347"/>
      <c r="AZ63" s="347"/>
      <c r="BA63" s="347"/>
      <c r="BB63" s="347"/>
      <c r="BC63" s="347"/>
      <c r="BD63" s="347"/>
      <c r="BE63" s="347"/>
      <c r="BF63" s="347"/>
      <c r="BG63" s="347"/>
    </row>
    <row r="64" spans="2:59"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47"/>
      <c r="I64" s="347"/>
      <c r="J64" s="347"/>
      <c r="K64" s="347"/>
      <c r="L64" s="347"/>
      <c r="M64" s="347"/>
      <c r="N64" s="347"/>
      <c r="O64" s="347"/>
      <c r="P64" s="347"/>
      <c r="Q64" s="347"/>
      <c r="R64" s="347"/>
      <c r="S64" s="347"/>
      <c r="T64" s="347"/>
      <c r="U64" s="347"/>
      <c r="V64" s="347"/>
      <c r="W64" s="347"/>
      <c r="X64" s="347"/>
      <c r="Y64" s="347"/>
      <c r="Z64" s="347"/>
      <c r="AA64" s="347"/>
      <c r="AB64" s="347"/>
      <c r="AC64" s="347"/>
      <c r="AD64" s="347"/>
      <c r="AE64" s="347"/>
      <c r="AF64" s="347"/>
      <c r="AG64" s="347"/>
      <c r="AH64" s="347"/>
      <c r="AI64" s="347"/>
      <c r="AJ64" s="347"/>
      <c r="AK64" s="347"/>
      <c r="AL64" s="347"/>
      <c r="AM64" s="347"/>
      <c r="AN64" s="347"/>
      <c r="AO64" s="347"/>
      <c r="AP64" s="347"/>
      <c r="AQ64" s="347"/>
      <c r="AR64" s="347"/>
      <c r="AS64" s="347"/>
      <c r="AT64" s="347"/>
      <c r="AU64" s="347"/>
      <c r="AV64" s="347"/>
      <c r="AW64" s="347"/>
      <c r="AX64" s="347"/>
      <c r="AY64" s="347"/>
      <c r="AZ64" s="347"/>
      <c r="BA64" s="347"/>
      <c r="BB64" s="347"/>
      <c r="BC64" s="347"/>
      <c r="BD64" s="347"/>
      <c r="BE64" s="347"/>
      <c r="BF64" s="347"/>
      <c r="BG64" s="347"/>
    </row>
    <row r="65" spans="2:59"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47"/>
      <c r="I65" s="347"/>
      <c r="J65" s="347"/>
      <c r="K65" s="347"/>
      <c r="L65" s="347"/>
      <c r="M65" s="347"/>
      <c r="N65" s="347"/>
      <c r="O65" s="347"/>
      <c r="P65" s="347"/>
      <c r="Q65" s="347"/>
      <c r="R65" s="347"/>
      <c r="S65" s="347"/>
      <c r="T65" s="347"/>
      <c r="U65" s="347"/>
      <c r="V65" s="347"/>
      <c r="W65" s="347"/>
      <c r="X65" s="347"/>
      <c r="Y65" s="347"/>
      <c r="Z65" s="347"/>
      <c r="AA65" s="347"/>
      <c r="AB65" s="347"/>
      <c r="AC65" s="347"/>
      <c r="AD65" s="347"/>
      <c r="AE65" s="347"/>
      <c r="AF65" s="347"/>
      <c r="AG65" s="347"/>
      <c r="AH65" s="347"/>
      <c r="AI65" s="347"/>
      <c r="AJ65" s="347"/>
      <c r="AK65" s="347"/>
      <c r="AL65" s="347"/>
      <c r="AM65" s="347"/>
      <c r="AN65" s="347"/>
      <c r="AO65" s="347"/>
      <c r="AP65" s="347"/>
      <c r="AQ65" s="347"/>
      <c r="AR65" s="347"/>
      <c r="AS65" s="347"/>
      <c r="AT65" s="347"/>
      <c r="AU65" s="347"/>
      <c r="AV65" s="347"/>
      <c r="AW65" s="347"/>
      <c r="AX65" s="347"/>
      <c r="AY65" s="347"/>
      <c r="AZ65" s="347"/>
      <c r="BA65" s="347"/>
      <c r="BB65" s="347"/>
      <c r="BC65" s="347"/>
      <c r="BD65" s="347"/>
      <c r="BE65" s="347"/>
      <c r="BF65" s="347"/>
      <c r="BG65" s="347"/>
    </row>
    <row r="66" spans="2:59"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47"/>
      <c r="I66" s="347"/>
      <c r="J66" s="347"/>
      <c r="K66" s="347"/>
      <c r="L66" s="347"/>
      <c r="M66" s="347"/>
      <c r="N66" s="347"/>
      <c r="O66" s="347"/>
      <c r="P66" s="347"/>
      <c r="Q66" s="347"/>
      <c r="R66" s="347"/>
      <c r="S66" s="347"/>
      <c r="T66" s="347"/>
      <c r="U66" s="347"/>
      <c r="V66" s="347"/>
      <c r="W66" s="347"/>
      <c r="X66" s="347"/>
      <c r="Y66" s="347"/>
      <c r="Z66" s="347"/>
      <c r="AA66" s="347"/>
      <c r="AB66" s="347"/>
      <c r="AC66" s="347"/>
      <c r="AD66" s="347"/>
      <c r="AE66" s="347"/>
      <c r="AF66" s="347"/>
      <c r="AG66" s="347"/>
      <c r="AH66" s="347"/>
      <c r="AI66" s="347"/>
      <c r="AJ66" s="347"/>
      <c r="AK66" s="347"/>
      <c r="AL66" s="347"/>
      <c r="AM66" s="347"/>
      <c r="AN66" s="347"/>
      <c r="AO66" s="347"/>
      <c r="AP66" s="347"/>
      <c r="AQ66" s="347"/>
      <c r="AR66" s="347"/>
      <c r="AS66" s="347"/>
      <c r="AT66" s="347"/>
      <c r="AU66" s="347"/>
      <c r="AV66" s="347"/>
      <c r="AW66" s="347"/>
      <c r="AX66" s="347"/>
      <c r="AY66" s="347"/>
      <c r="AZ66" s="347"/>
      <c r="BA66" s="347"/>
      <c r="BB66" s="347"/>
      <c r="BC66" s="347"/>
      <c r="BD66" s="347"/>
      <c r="BE66" s="347"/>
      <c r="BF66" s="347"/>
      <c r="BG66" s="347"/>
    </row>
    <row r="67" spans="2:59"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47"/>
      <c r="I67" s="347"/>
      <c r="J67" s="347"/>
      <c r="K67" s="347"/>
      <c r="L67" s="347"/>
      <c r="M67" s="347"/>
      <c r="N67" s="347"/>
      <c r="O67" s="347"/>
      <c r="P67" s="347"/>
      <c r="Q67" s="347"/>
      <c r="R67" s="347"/>
      <c r="S67" s="347"/>
      <c r="T67" s="347"/>
      <c r="U67" s="347"/>
      <c r="V67" s="347"/>
      <c r="W67" s="347"/>
      <c r="X67" s="347"/>
      <c r="Y67" s="347"/>
      <c r="Z67" s="347"/>
      <c r="AA67" s="347"/>
      <c r="AB67" s="347"/>
      <c r="AC67" s="347"/>
      <c r="AD67" s="347"/>
      <c r="AE67" s="347"/>
      <c r="AF67" s="347"/>
      <c r="AG67" s="347"/>
      <c r="AH67" s="347"/>
      <c r="AI67" s="347"/>
      <c r="AJ67" s="347"/>
      <c r="AK67" s="347"/>
      <c r="AL67" s="347"/>
      <c r="AM67" s="347"/>
      <c r="AN67" s="347"/>
      <c r="AO67" s="347"/>
      <c r="AP67" s="347"/>
      <c r="AQ67" s="347"/>
      <c r="AR67" s="347"/>
      <c r="AS67" s="347"/>
      <c r="AT67" s="347"/>
      <c r="AU67" s="347"/>
      <c r="AV67" s="347"/>
      <c r="AW67" s="347"/>
      <c r="AX67" s="347"/>
      <c r="AY67" s="347"/>
      <c r="AZ67" s="347"/>
      <c r="BA67" s="347"/>
      <c r="BB67" s="347"/>
      <c r="BC67" s="347"/>
      <c r="BD67" s="347"/>
      <c r="BE67" s="347"/>
      <c r="BF67" s="347"/>
      <c r="BG67" s="347"/>
    </row>
    <row r="68" spans="2:59"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47"/>
      <c r="I68" s="347"/>
      <c r="J68" s="347"/>
      <c r="K68" s="347"/>
      <c r="L68" s="347"/>
      <c r="M68" s="347"/>
      <c r="N68" s="347"/>
      <c r="O68" s="347"/>
      <c r="P68" s="347"/>
      <c r="Q68" s="347"/>
      <c r="R68" s="347"/>
      <c r="S68" s="347"/>
      <c r="T68" s="347"/>
      <c r="U68" s="347"/>
      <c r="V68" s="347"/>
      <c r="W68" s="347"/>
      <c r="X68" s="347"/>
      <c r="Y68" s="347"/>
      <c r="Z68" s="347"/>
      <c r="AA68" s="347"/>
      <c r="AB68" s="347"/>
      <c r="AC68" s="347"/>
      <c r="AD68" s="347"/>
      <c r="AE68" s="347"/>
      <c r="AF68" s="347"/>
      <c r="AG68" s="347"/>
      <c r="AH68" s="347"/>
      <c r="AI68" s="347"/>
      <c r="AJ68" s="347"/>
      <c r="AK68" s="347"/>
      <c r="AL68" s="347"/>
      <c r="AM68" s="347"/>
      <c r="AN68" s="347"/>
      <c r="AO68" s="347"/>
      <c r="AP68" s="347"/>
      <c r="AQ68" s="347"/>
      <c r="AR68" s="347"/>
      <c r="AS68" s="347"/>
      <c r="AT68" s="347"/>
      <c r="AU68" s="347"/>
      <c r="AV68" s="347"/>
      <c r="AW68" s="347"/>
      <c r="AX68" s="347"/>
      <c r="AY68" s="347"/>
      <c r="AZ68" s="347"/>
      <c r="BA68" s="347"/>
      <c r="BB68" s="347"/>
      <c r="BC68" s="347"/>
      <c r="BD68" s="347"/>
      <c r="BE68" s="347"/>
      <c r="BF68" s="347"/>
      <c r="BG68" s="347"/>
    </row>
    <row r="69" spans="2:59"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47"/>
      <c r="I69" s="347"/>
      <c r="J69" s="347"/>
      <c r="K69" s="347"/>
      <c r="L69" s="347"/>
      <c r="M69" s="347"/>
      <c r="N69" s="347"/>
      <c r="O69" s="347"/>
      <c r="P69" s="347"/>
      <c r="Q69" s="347"/>
      <c r="R69" s="347"/>
      <c r="S69" s="347"/>
      <c r="T69" s="347"/>
      <c r="U69" s="347"/>
      <c r="V69" s="347"/>
      <c r="W69" s="347"/>
      <c r="X69" s="347"/>
      <c r="Y69" s="347"/>
      <c r="Z69" s="347"/>
      <c r="AA69" s="347"/>
      <c r="AB69" s="347"/>
      <c r="AC69" s="347"/>
      <c r="AD69" s="347"/>
      <c r="AE69" s="347"/>
      <c r="AF69" s="347"/>
      <c r="AG69" s="347"/>
      <c r="AH69" s="347"/>
      <c r="AI69" s="347"/>
      <c r="AJ69" s="347"/>
      <c r="AK69" s="347"/>
      <c r="AL69" s="347"/>
      <c r="AM69" s="347"/>
      <c r="AN69" s="347"/>
      <c r="AO69" s="347"/>
      <c r="AP69" s="347"/>
      <c r="AQ69" s="347"/>
      <c r="AR69" s="347"/>
      <c r="AS69" s="347"/>
      <c r="AT69" s="347"/>
      <c r="AU69" s="347"/>
      <c r="AV69" s="347"/>
      <c r="AW69" s="347"/>
      <c r="AX69" s="347"/>
      <c r="AY69" s="347"/>
      <c r="AZ69" s="347"/>
      <c r="BA69" s="347"/>
      <c r="BB69" s="347"/>
      <c r="BC69" s="347"/>
      <c r="BD69" s="347"/>
      <c r="BE69" s="347"/>
      <c r="BF69" s="347"/>
      <c r="BG69" s="347"/>
    </row>
    <row r="70" spans="2:59"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47"/>
      <c r="I70" s="347"/>
      <c r="J70" s="347"/>
      <c r="K70" s="347"/>
      <c r="L70" s="347"/>
      <c r="M70" s="347"/>
      <c r="N70" s="347"/>
      <c r="O70" s="347"/>
      <c r="P70" s="347"/>
      <c r="Q70" s="347"/>
      <c r="R70" s="347"/>
      <c r="S70" s="347"/>
      <c r="T70" s="347"/>
      <c r="U70" s="347"/>
      <c r="V70" s="347"/>
      <c r="W70" s="347"/>
      <c r="X70" s="347"/>
      <c r="Y70" s="347"/>
      <c r="Z70" s="347"/>
      <c r="AA70" s="347"/>
      <c r="AB70" s="347"/>
      <c r="AC70" s="347"/>
      <c r="AD70" s="347"/>
      <c r="AE70" s="347"/>
      <c r="AF70" s="347"/>
      <c r="AG70" s="347"/>
      <c r="AH70" s="347"/>
      <c r="AI70" s="347"/>
      <c r="AJ70" s="347"/>
      <c r="AK70" s="347"/>
      <c r="AL70" s="347"/>
      <c r="AM70" s="347"/>
      <c r="AN70" s="347"/>
      <c r="AO70" s="347"/>
      <c r="AP70" s="347"/>
      <c r="AQ70" s="347"/>
      <c r="AR70" s="347"/>
      <c r="AS70" s="347"/>
      <c r="AT70" s="347"/>
      <c r="AU70" s="347"/>
      <c r="AV70" s="347"/>
      <c r="AW70" s="347"/>
      <c r="AX70" s="347"/>
      <c r="AY70" s="347"/>
      <c r="AZ70" s="347"/>
      <c r="BA70" s="347"/>
      <c r="BB70" s="347"/>
      <c r="BC70" s="347"/>
      <c r="BD70" s="347"/>
      <c r="BE70" s="347"/>
      <c r="BF70" s="347"/>
      <c r="BG70" s="347"/>
    </row>
    <row r="71" spans="2:59"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47"/>
      <c r="I71" s="347"/>
      <c r="J71" s="347"/>
      <c r="K71" s="347"/>
      <c r="L71" s="347"/>
      <c r="M71" s="347"/>
      <c r="N71" s="347"/>
      <c r="O71" s="347"/>
      <c r="P71" s="347"/>
      <c r="Q71" s="347"/>
      <c r="R71" s="347"/>
      <c r="S71" s="347"/>
      <c r="T71" s="347"/>
      <c r="U71" s="347"/>
      <c r="V71" s="347"/>
      <c r="W71" s="347"/>
      <c r="X71" s="347"/>
      <c r="Y71" s="347"/>
      <c r="Z71" s="347"/>
      <c r="AA71" s="347"/>
      <c r="AB71" s="347"/>
      <c r="AC71" s="347"/>
      <c r="AD71" s="347"/>
      <c r="AE71" s="347"/>
      <c r="AF71" s="347"/>
      <c r="AG71" s="347"/>
      <c r="AH71" s="347"/>
      <c r="AI71" s="347"/>
      <c r="AJ71" s="347"/>
      <c r="AK71" s="347"/>
      <c r="AL71" s="347"/>
      <c r="AM71" s="347"/>
      <c r="AN71" s="347"/>
      <c r="AO71" s="347"/>
      <c r="AP71" s="347"/>
      <c r="AQ71" s="347"/>
      <c r="AR71" s="347"/>
      <c r="AS71" s="347"/>
      <c r="AT71" s="347"/>
      <c r="AU71" s="347"/>
      <c r="AV71" s="347"/>
      <c r="AW71" s="347"/>
      <c r="AX71" s="347"/>
      <c r="AY71" s="347"/>
      <c r="AZ71" s="347"/>
      <c r="BA71" s="347"/>
      <c r="BB71" s="347"/>
      <c r="BC71" s="347"/>
      <c r="BD71" s="347"/>
      <c r="BE71" s="347"/>
      <c r="BF71" s="347"/>
      <c r="BG71" s="347"/>
    </row>
    <row r="72" spans="2:59"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47"/>
      <c r="I72" s="347"/>
      <c r="J72" s="347"/>
      <c r="K72" s="347"/>
      <c r="L72" s="347"/>
      <c r="M72" s="347"/>
      <c r="N72" s="347"/>
      <c r="O72" s="347"/>
      <c r="P72" s="347"/>
      <c r="Q72" s="347"/>
      <c r="R72" s="347"/>
      <c r="S72" s="347"/>
      <c r="T72" s="347"/>
      <c r="U72" s="347"/>
      <c r="V72" s="347"/>
      <c r="W72" s="347"/>
      <c r="X72" s="347"/>
      <c r="Y72" s="347"/>
      <c r="Z72" s="347"/>
      <c r="AA72" s="347"/>
      <c r="AB72" s="347"/>
      <c r="AC72" s="347"/>
      <c r="AD72" s="347"/>
      <c r="AE72" s="347"/>
      <c r="AF72" s="347"/>
      <c r="AG72" s="347"/>
      <c r="AH72" s="347"/>
      <c r="AI72" s="347"/>
      <c r="AJ72" s="347"/>
      <c r="AK72" s="347"/>
      <c r="AL72" s="347"/>
      <c r="AM72" s="347"/>
      <c r="AN72" s="347"/>
      <c r="AO72" s="347"/>
      <c r="AP72" s="347"/>
      <c r="AQ72" s="347"/>
      <c r="AR72" s="347"/>
      <c r="AS72" s="347"/>
      <c r="AT72" s="347"/>
      <c r="AU72" s="347"/>
      <c r="AV72" s="347"/>
      <c r="AW72" s="347"/>
      <c r="AX72" s="347"/>
      <c r="AY72" s="347"/>
      <c r="AZ72" s="347"/>
      <c r="BA72" s="347"/>
      <c r="BB72" s="347"/>
      <c r="BC72" s="347"/>
      <c r="BD72" s="347"/>
      <c r="BE72" s="347"/>
      <c r="BF72" s="347"/>
      <c r="BG72" s="347"/>
    </row>
    <row r="73" spans="2:59"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47"/>
      <c r="I73" s="347"/>
      <c r="J73" s="347"/>
      <c r="K73" s="347"/>
      <c r="L73" s="347"/>
      <c r="M73" s="347"/>
      <c r="N73" s="347"/>
      <c r="O73" s="347"/>
      <c r="P73" s="347"/>
      <c r="Q73" s="347"/>
      <c r="R73" s="347"/>
      <c r="S73" s="347"/>
      <c r="T73" s="347"/>
      <c r="U73" s="347"/>
      <c r="V73" s="347"/>
      <c r="W73" s="347"/>
      <c r="X73" s="347"/>
      <c r="Y73" s="347"/>
      <c r="Z73" s="347"/>
      <c r="AA73" s="347"/>
      <c r="AB73" s="347"/>
      <c r="AC73" s="347"/>
      <c r="AD73" s="347"/>
      <c r="AE73" s="347"/>
      <c r="AF73" s="347"/>
      <c r="AG73" s="347"/>
      <c r="AH73" s="347"/>
      <c r="AI73" s="347"/>
      <c r="AJ73" s="347"/>
      <c r="AK73" s="347"/>
      <c r="AL73" s="347"/>
      <c r="AM73" s="347"/>
      <c r="AN73" s="347"/>
      <c r="AO73" s="347"/>
      <c r="AP73" s="347"/>
      <c r="AQ73" s="347"/>
      <c r="AR73" s="347"/>
      <c r="AS73" s="347"/>
      <c r="AT73" s="347"/>
      <c r="AU73" s="347"/>
      <c r="AV73" s="347"/>
      <c r="AW73" s="347"/>
      <c r="AX73" s="347"/>
      <c r="AY73" s="347"/>
      <c r="AZ73" s="347"/>
      <c r="BA73" s="347"/>
      <c r="BB73" s="347"/>
      <c r="BC73" s="347"/>
      <c r="BD73" s="347"/>
      <c r="BE73" s="347"/>
      <c r="BF73" s="347"/>
      <c r="BG73" s="347"/>
    </row>
    <row r="74" spans="2:59"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47"/>
      <c r="I74" s="347"/>
      <c r="J74" s="347"/>
      <c r="K74" s="347"/>
      <c r="L74" s="347"/>
      <c r="M74" s="347"/>
      <c r="N74" s="347"/>
      <c r="O74" s="347"/>
      <c r="P74" s="347"/>
      <c r="Q74" s="347"/>
      <c r="R74" s="347"/>
      <c r="S74" s="347"/>
      <c r="T74" s="347"/>
      <c r="U74" s="347"/>
      <c r="V74" s="347"/>
      <c r="W74" s="347"/>
      <c r="X74" s="347"/>
      <c r="Y74" s="347"/>
      <c r="Z74" s="347"/>
      <c r="AA74" s="347"/>
      <c r="AB74" s="347"/>
      <c r="AC74" s="347"/>
      <c r="AD74" s="347"/>
      <c r="AE74" s="347"/>
      <c r="AF74" s="347"/>
      <c r="AG74" s="347"/>
      <c r="AH74" s="347"/>
      <c r="AI74" s="347"/>
      <c r="AJ74" s="347"/>
      <c r="AK74" s="347"/>
      <c r="AL74" s="347"/>
      <c r="AM74" s="347"/>
      <c r="AN74" s="347"/>
      <c r="AO74" s="347"/>
      <c r="AP74" s="347"/>
      <c r="AQ74" s="347"/>
      <c r="AR74" s="347"/>
      <c r="AS74" s="347"/>
      <c r="AT74" s="347"/>
      <c r="AU74" s="347"/>
      <c r="AV74" s="347"/>
      <c r="AW74" s="347"/>
      <c r="AX74" s="347"/>
      <c r="AY74" s="347"/>
      <c r="AZ74" s="347"/>
      <c r="BA74" s="347"/>
      <c r="BB74" s="347"/>
      <c r="BC74" s="347"/>
      <c r="BD74" s="347"/>
      <c r="BE74" s="347"/>
      <c r="BF74" s="347"/>
      <c r="BG74" s="347"/>
    </row>
    <row r="75" spans="2:59"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47"/>
      <c r="I75" s="347"/>
      <c r="J75" s="347"/>
      <c r="K75" s="347"/>
      <c r="L75" s="347"/>
      <c r="M75" s="347"/>
      <c r="N75" s="347"/>
      <c r="O75" s="347"/>
      <c r="P75" s="347"/>
      <c r="Q75" s="347"/>
      <c r="R75" s="347"/>
      <c r="S75" s="347"/>
      <c r="T75" s="347"/>
      <c r="U75" s="347"/>
      <c r="V75" s="347"/>
      <c r="W75" s="347"/>
      <c r="X75" s="347"/>
      <c r="Y75" s="347"/>
      <c r="Z75" s="347"/>
      <c r="AA75" s="347"/>
      <c r="AB75" s="347"/>
      <c r="AC75" s="347"/>
      <c r="AD75" s="347"/>
      <c r="AE75" s="347"/>
      <c r="AF75" s="347"/>
      <c r="AG75" s="347"/>
      <c r="AH75" s="347"/>
      <c r="AI75" s="347"/>
      <c r="AJ75" s="347"/>
      <c r="AK75" s="347"/>
      <c r="AL75" s="347"/>
      <c r="AM75" s="347"/>
      <c r="AN75" s="347"/>
      <c r="AO75" s="347"/>
      <c r="AP75" s="347"/>
      <c r="AQ75" s="347"/>
      <c r="AR75" s="347"/>
      <c r="AS75" s="347"/>
      <c r="AT75" s="347"/>
      <c r="AU75" s="347"/>
      <c r="AV75" s="347"/>
      <c r="AW75" s="347"/>
      <c r="AX75" s="347"/>
      <c r="AY75" s="347"/>
      <c r="AZ75" s="347"/>
      <c r="BA75" s="347"/>
      <c r="BB75" s="347"/>
      <c r="BC75" s="347"/>
      <c r="BD75" s="347"/>
      <c r="BE75" s="347"/>
      <c r="BF75" s="347"/>
      <c r="BG75" s="347"/>
    </row>
    <row r="76" spans="2:59"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47"/>
      <c r="I76" s="347"/>
      <c r="J76" s="347"/>
      <c r="K76" s="347"/>
      <c r="L76" s="347"/>
      <c r="M76" s="347"/>
      <c r="N76" s="347"/>
      <c r="O76" s="347"/>
      <c r="P76" s="347"/>
      <c r="Q76" s="347"/>
      <c r="R76" s="347"/>
      <c r="S76" s="347"/>
      <c r="T76" s="347"/>
      <c r="U76" s="347"/>
      <c r="V76" s="347"/>
      <c r="W76" s="347"/>
      <c r="X76" s="347"/>
      <c r="Y76" s="347"/>
      <c r="Z76" s="347"/>
      <c r="AA76" s="347"/>
      <c r="AB76" s="347"/>
      <c r="AC76" s="347"/>
      <c r="AD76" s="347"/>
      <c r="AE76" s="347"/>
      <c r="AF76" s="347"/>
      <c r="AG76" s="347"/>
      <c r="AH76" s="347"/>
      <c r="AI76" s="347"/>
      <c r="AJ76" s="347"/>
      <c r="AK76" s="347"/>
      <c r="AL76" s="347"/>
      <c r="AM76" s="347"/>
      <c r="AN76" s="347"/>
      <c r="AO76" s="347"/>
      <c r="AP76" s="347"/>
      <c r="AQ76" s="347"/>
      <c r="AR76" s="347"/>
      <c r="AS76" s="347"/>
      <c r="AT76" s="347"/>
      <c r="AU76" s="347"/>
      <c r="AV76" s="347"/>
      <c r="AW76" s="347"/>
      <c r="AX76" s="347"/>
      <c r="AY76" s="347"/>
      <c r="AZ76" s="347"/>
      <c r="BA76" s="347"/>
      <c r="BB76" s="347"/>
      <c r="BC76" s="347"/>
      <c r="BD76" s="347"/>
      <c r="BE76" s="347"/>
      <c r="BF76" s="347"/>
      <c r="BG76" s="347"/>
    </row>
    <row r="77" spans="2:59"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47"/>
      <c r="I77" s="347"/>
      <c r="J77" s="347"/>
      <c r="K77" s="347"/>
      <c r="L77" s="347"/>
      <c r="M77" s="347"/>
      <c r="N77" s="347"/>
      <c r="O77" s="347"/>
      <c r="P77" s="347"/>
      <c r="Q77" s="347"/>
      <c r="R77" s="347"/>
      <c r="S77" s="347"/>
      <c r="T77" s="347"/>
      <c r="U77" s="347"/>
      <c r="V77" s="347"/>
      <c r="W77" s="347"/>
      <c r="X77" s="347"/>
      <c r="Y77" s="347"/>
      <c r="Z77" s="347"/>
      <c r="AA77" s="347"/>
      <c r="AB77" s="347"/>
      <c r="AC77" s="347"/>
      <c r="AD77" s="347"/>
      <c r="AE77" s="347"/>
      <c r="AF77" s="347"/>
      <c r="AG77" s="347"/>
      <c r="AH77" s="347"/>
      <c r="AI77" s="347"/>
      <c r="AJ77" s="347"/>
      <c r="AK77" s="347"/>
      <c r="AL77" s="347"/>
      <c r="AM77" s="347"/>
      <c r="AN77" s="347"/>
      <c r="AO77" s="347"/>
      <c r="AP77" s="347"/>
      <c r="AQ77" s="347"/>
      <c r="AR77" s="347"/>
      <c r="AS77" s="347"/>
      <c r="AT77" s="347"/>
      <c r="AU77" s="347"/>
      <c r="AV77" s="347"/>
      <c r="AW77" s="347"/>
      <c r="AX77" s="347"/>
      <c r="AY77" s="347"/>
      <c r="AZ77" s="347"/>
      <c r="BA77" s="347"/>
      <c r="BB77" s="347"/>
      <c r="BC77" s="347"/>
      <c r="BD77" s="347"/>
      <c r="BE77" s="347"/>
      <c r="BF77" s="347"/>
      <c r="BG77" s="347"/>
    </row>
    <row r="78" spans="2:59"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47"/>
      <c r="I78" s="347"/>
      <c r="J78" s="347"/>
      <c r="K78" s="347"/>
      <c r="L78" s="347"/>
      <c r="M78" s="347"/>
      <c r="N78" s="347"/>
      <c r="O78" s="347"/>
      <c r="P78" s="347"/>
      <c r="Q78" s="347"/>
      <c r="R78" s="347"/>
      <c r="S78" s="347"/>
      <c r="T78" s="347"/>
      <c r="U78" s="347"/>
      <c r="V78" s="347"/>
      <c r="W78" s="347"/>
      <c r="X78" s="347"/>
      <c r="Y78" s="347"/>
      <c r="Z78" s="347"/>
      <c r="AA78" s="347"/>
      <c r="AB78" s="347"/>
      <c r="AC78" s="347"/>
      <c r="AD78" s="347"/>
      <c r="AE78" s="347"/>
      <c r="AF78" s="347"/>
      <c r="AG78" s="347"/>
      <c r="AH78" s="347"/>
      <c r="AI78" s="347"/>
      <c r="AJ78" s="347"/>
      <c r="AK78" s="347"/>
      <c r="AL78" s="347"/>
      <c r="AM78" s="347"/>
      <c r="AN78" s="347"/>
      <c r="AO78" s="347"/>
      <c r="AP78" s="347"/>
      <c r="AQ78" s="347"/>
      <c r="AR78" s="347"/>
      <c r="AS78" s="347"/>
      <c r="AT78" s="347"/>
      <c r="AU78" s="347"/>
      <c r="AV78" s="347"/>
      <c r="AW78" s="347"/>
      <c r="AX78" s="347"/>
      <c r="AY78" s="347"/>
      <c r="AZ78" s="347"/>
      <c r="BA78" s="347"/>
      <c r="BB78" s="347"/>
      <c r="BC78" s="347"/>
      <c r="BD78" s="347"/>
      <c r="BE78" s="347"/>
      <c r="BF78" s="347"/>
      <c r="BG78" s="347"/>
    </row>
    <row r="79" spans="2:59"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47"/>
      <c r="I79" s="347"/>
      <c r="J79" s="347"/>
      <c r="K79" s="347"/>
      <c r="L79" s="347"/>
      <c r="M79" s="347"/>
      <c r="N79" s="347"/>
      <c r="O79" s="347"/>
      <c r="P79" s="347"/>
      <c r="Q79" s="347"/>
      <c r="R79" s="347"/>
      <c r="S79" s="347"/>
      <c r="T79" s="347"/>
      <c r="U79" s="347"/>
      <c r="V79" s="347"/>
      <c r="W79" s="347"/>
      <c r="X79" s="347"/>
      <c r="Y79" s="347"/>
      <c r="Z79" s="347"/>
      <c r="AA79" s="347"/>
      <c r="AB79" s="347"/>
      <c r="AC79" s="347"/>
      <c r="AD79" s="347"/>
      <c r="AE79" s="347"/>
      <c r="AF79" s="347"/>
      <c r="AG79" s="347"/>
      <c r="AH79" s="347"/>
      <c r="AI79" s="347"/>
      <c r="AJ79" s="347"/>
      <c r="AK79" s="347"/>
      <c r="AL79" s="347"/>
      <c r="AM79" s="347"/>
      <c r="AN79" s="347"/>
      <c r="AO79" s="347"/>
      <c r="AP79" s="347"/>
      <c r="AQ79" s="347"/>
      <c r="AR79" s="347"/>
      <c r="AS79" s="347"/>
      <c r="AT79" s="347"/>
      <c r="AU79" s="347"/>
      <c r="AV79" s="347"/>
      <c r="AW79" s="347"/>
      <c r="AX79" s="347"/>
      <c r="AY79" s="347"/>
      <c r="AZ79" s="347"/>
      <c r="BA79" s="347"/>
      <c r="BB79" s="347"/>
      <c r="BC79" s="347"/>
      <c r="BD79" s="347"/>
      <c r="BE79" s="347"/>
      <c r="BF79" s="347"/>
      <c r="BG79" s="347"/>
    </row>
    <row r="80" spans="2:59"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47"/>
      <c r="I80" s="347"/>
      <c r="J80" s="347"/>
      <c r="K80" s="347"/>
      <c r="L80" s="347"/>
      <c r="M80" s="347"/>
      <c r="N80" s="347"/>
      <c r="O80" s="347"/>
      <c r="P80" s="347"/>
      <c r="Q80" s="347"/>
      <c r="R80" s="347"/>
      <c r="S80" s="347"/>
      <c r="T80" s="347"/>
      <c r="U80" s="347"/>
      <c r="V80" s="347"/>
      <c r="W80" s="347"/>
      <c r="X80" s="347"/>
      <c r="Y80" s="347"/>
      <c r="Z80" s="347"/>
      <c r="AA80" s="347"/>
      <c r="AB80" s="347"/>
      <c r="AC80" s="347"/>
      <c r="AD80" s="347"/>
      <c r="AE80" s="347"/>
      <c r="AF80" s="347"/>
      <c r="AG80" s="347"/>
      <c r="AH80" s="347"/>
      <c r="AI80" s="347"/>
      <c r="AJ80" s="347"/>
      <c r="AK80" s="347"/>
      <c r="AL80" s="347"/>
      <c r="AM80" s="347"/>
      <c r="AN80" s="347"/>
      <c r="AO80" s="347"/>
      <c r="AP80" s="347"/>
      <c r="AQ80" s="347"/>
      <c r="AR80" s="347"/>
      <c r="AS80" s="347"/>
      <c r="AT80" s="347"/>
      <c r="AU80" s="347"/>
      <c r="AV80" s="347"/>
      <c r="AW80" s="347"/>
      <c r="AX80" s="347"/>
      <c r="AY80" s="347"/>
      <c r="AZ80" s="347"/>
      <c r="BA80" s="347"/>
      <c r="BB80" s="347"/>
      <c r="BC80" s="347"/>
      <c r="BD80" s="347"/>
      <c r="BE80" s="347"/>
      <c r="BF80" s="347"/>
      <c r="BG80" s="347"/>
    </row>
    <row r="81" spans="2:59"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47"/>
      <c r="I81" s="347"/>
      <c r="J81" s="347"/>
      <c r="K81" s="347"/>
      <c r="L81" s="347"/>
      <c r="M81" s="347"/>
      <c r="N81" s="347"/>
      <c r="O81" s="347"/>
      <c r="P81" s="347"/>
      <c r="Q81" s="347"/>
      <c r="R81" s="347"/>
      <c r="S81" s="347"/>
      <c r="T81" s="347"/>
      <c r="U81" s="347"/>
      <c r="V81" s="347"/>
      <c r="W81" s="347"/>
      <c r="X81" s="347"/>
      <c r="Y81" s="347"/>
      <c r="Z81" s="347"/>
      <c r="AA81" s="347"/>
      <c r="AB81" s="347"/>
      <c r="AC81" s="347"/>
      <c r="AD81" s="347"/>
      <c r="AE81" s="347"/>
      <c r="AF81" s="347"/>
      <c r="AG81" s="347"/>
      <c r="AH81" s="347"/>
      <c r="AI81" s="347"/>
      <c r="AJ81" s="347"/>
      <c r="AK81" s="347"/>
      <c r="AL81" s="347"/>
      <c r="AM81" s="347"/>
      <c r="AN81" s="347"/>
      <c r="AO81" s="347"/>
      <c r="AP81" s="347"/>
      <c r="AQ81" s="347"/>
      <c r="AR81" s="347"/>
      <c r="AS81" s="347"/>
      <c r="AT81" s="347"/>
      <c r="AU81" s="347"/>
      <c r="AV81" s="347"/>
      <c r="AW81" s="347"/>
      <c r="AX81" s="347"/>
      <c r="AY81" s="347"/>
      <c r="AZ81" s="347"/>
      <c r="BA81" s="347"/>
      <c r="BB81" s="347"/>
      <c r="BC81" s="347"/>
      <c r="BD81" s="347"/>
      <c r="BE81" s="347"/>
      <c r="BF81" s="347"/>
      <c r="BG81" s="347"/>
    </row>
    <row r="82" spans="2:59"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47"/>
      <c r="I82" s="347"/>
      <c r="J82" s="347"/>
      <c r="K82" s="347"/>
      <c r="L82" s="347"/>
      <c r="M82" s="347"/>
      <c r="N82" s="347"/>
      <c r="O82" s="347"/>
      <c r="P82" s="347"/>
      <c r="Q82" s="347"/>
      <c r="R82" s="347"/>
      <c r="S82" s="347"/>
      <c r="T82" s="347"/>
      <c r="U82" s="347"/>
      <c r="V82" s="347"/>
      <c r="W82" s="347"/>
      <c r="X82" s="347"/>
      <c r="Y82" s="347"/>
      <c r="Z82" s="347"/>
      <c r="AA82" s="347"/>
      <c r="AB82" s="347"/>
      <c r="AC82" s="347"/>
      <c r="AD82" s="347"/>
      <c r="AE82" s="347"/>
      <c r="AF82" s="347"/>
      <c r="AG82" s="347"/>
      <c r="AH82" s="347"/>
      <c r="AI82" s="347"/>
      <c r="AJ82" s="347"/>
      <c r="AK82" s="347"/>
      <c r="AL82" s="347"/>
      <c r="AM82" s="347"/>
      <c r="AN82" s="347"/>
      <c r="AO82" s="347"/>
      <c r="AP82" s="347"/>
      <c r="AQ82" s="347"/>
      <c r="AR82" s="347"/>
      <c r="AS82" s="347"/>
      <c r="AT82" s="347"/>
      <c r="AU82" s="347"/>
      <c r="AV82" s="347"/>
      <c r="AW82" s="347"/>
      <c r="AX82" s="347"/>
      <c r="AY82" s="347"/>
      <c r="AZ82" s="347"/>
      <c r="BA82" s="347"/>
      <c r="BB82" s="347"/>
      <c r="BC82" s="347"/>
      <c r="BD82" s="347"/>
      <c r="BE82" s="347"/>
      <c r="BF82" s="347"/>
      <c r="BG82" s="347"/>
    </row>
    <row r="83" spans="2:59"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47"/>
      <c r="I83" s="347"/>
      <c r="J83" s="347"/>
      <c r="K83" s="347"/>
      <c r="L83" s="347"/>
      <c r="M83" s="347"/>
      <c r="N83" s="347"/>
      <c r="O83" s="347"/>
      <c r="P83" s="347"/>
      <c r="Q83" s="347"/>
      <c r="R83" s="347"/>
      <c r="S83" s="347"/>
      <c r="T83" s="347"/>
      <c r="U83" s="347"/>
      <c r="V83" s="347"/>
      <c r="W83" s="347"/>
      <c r="X83" s="347"/>
      <c r="Y83" s="347"/>
      <c r="Z83" s="347"/>
      <c r="AA83" s="347"/>
      <c r="AB83" s="347"/>
      <c r="AC83" s="347"/>
      <c r="AD83" s="347"/>
      <c r="AE83" s="347"/>
      <c r="AF83" s="347"/>
      <c r="AG83" s="347"/>
      <c r="AH83" s="347"/>
      <c r="AI83" s="347"/>
      <c r="AJ83" s="347"/>
      <c r="AK83" s="347"/>
      <c r="AL83" s="347"/>
      <c r="AM83" s="347"/>
      <c r="AN83" s="347"/>
      <c r="AO83" s="347"/>
      <c r="AP83" s="347"/>
      <c r="AQ83" s="347"/>
      <c r="AR83" s="347"/>
      <c r="AS83" s="347"/>
      <c r="AT83" s="347"/>
      <c r="AU83" s="347"/>
      <c r="AV83" s="347"/>
      <c r="AW83" s="347"/>
      <c r="AX83" s="347"/>
      <c r="AY83" s="347"/>
      <c r="AZ83" s="347"/>
      <c r="BA83" s="347"/>
      <c r="BB83" s="347"/>
      <c r="BC83" s="347"/>
      <c r="BD83" s="347"/>
      <c r="BE83" s="347"/>
      <c r="BF83" s="347"/>
      <c r="BG83" s="347"/>
    </row>
    <row r="84" spans="2:59"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47"/>
      <c r="I84" s="347"/>
      <c r="J84" s="347"/>
      <c r="K84" s="347"/>
      <c r="L84" s="347"/>
      <c r="M84" s="347"/>
      <c r="N84" s="347"/>
      <c r="O84" s="347"/>
      <c r="P84" s="347"/>
      <c r="Q84" s="347"/>
      <c r="R84" s="347"/>
      <c r="S84" s="347"/>
      <c r="T84" s="347"/>
      <c r="U84" s="347"/>
      <c r="V84" s="347"/>
      <c r="W84" s="347"/>
      <c r="X84" s="347"/>
      <c r="Y84" s="347"/>
      <c r="Z84" s="347"/>
      <c r="AA84" s="347"/>
      <c r="AB84" s="347"/>
      <c r="AC84" s="347"/>
      <c r="AD84" s="347"/>
      <c r="AE84" s="347"/>
      <c r="AF84" s="347"/>
      <c r="AG84" s="347"/>
      <c r="AH84" s="347"/>
      <c r="AI84" s="347"/>
      <c r="AJ84" s="347"/>
      <c r="AK84" s="347"/>
      <c r="AL84" s="347"/>
      <c r="AM84" s="347"/>
      <c r="AN84" s="347"/>
      <c r="AO84" s="347"/>
      <c r="AP84" s="347"/>
      <c r="AQ84" s="347"/>
      <c r="AR84" s="347"/>
      <c r="AS84" s="347"/>
      <c r="AT84" s="347"/>
      <c r="AU84" s="347"/>
      <c r="AV84" s="347"/>
      <c r="AW84" s="347"/>
      <c r="AX84" s="347"/>
      <c r="AY84" s="347"/>
      <c r="AZ84" s="347"/>
      <c r="BA84" s="347"/>
      <c r="BB84" s="347"/>
      <c r="BC84" s="347"/>
      <c r="BD84" s="347"/>
      <c r="BE84" s="347"/>
      <c r="BF84" s="347"/>
      <c r="BG84" s="347"/>
    </row>
    <row r="85" spans="2:59"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47"/>
      <c r="I85" s="347"/>
      <c r="J85" s="347"/>
      <c r="K85" s="347"/>
      <c r="L85" s="347"/>
      <c r="M85" s="347"/>
      <c r="N85" s="347"/>
      <c r="O85" s="347"/>
      <c r="P85" s="347"/>
      <c r="Q85" s="347"/>
      <c r="R85" s="347"/>
      <c r="S85" s="347"/>
      <c r="T85" s="347"/>
      <c r="U85" s="347"/>
      <c r="V85" s="347"/>
      <c r="W85" s="347"/>
      <c r="X85" s="347"/>
      <c r="Y85" s="347"/>
      <c r="Z85" s="347"/>
      <c r="AA85" s="347"/>
      <c r="AB85" s="347"/>
      <c r="AC85" s="347"/>
      <c r="AD85" s="347"/>
      <c r="AE85" s="347"/>
      <c r="AF85" s="347"/>
      <c r="AG85" s="347"/>
      <c r="AH85" s="347"/>
      <c r="AI85" s="347"/>
      <c r="AJ85" s="347"/>
      <c r="AK85" s="347"/>
      <c r="AL85" s="347"/>
      <c r="AM85" s="347"/>
      <c r="AN85" s="347"/>
      <c r="AO85" s="347"/>
      <c r="AP85" s="347"/>
      <c r="AQ85" s="347"/>
      <c r="AR85" s="347"/>
      <c r="AS85" s="347"/>
      <c r="AT85" s="347"/>
      <c r="AU85" s="347"/>
      <c r="AV85" s="347"/>
      <c r="AW85" s="347"/>
      <c r="AX85" s="347"/>
      <c r="AY85" s="347"/>
      <c r="AZ85" s="347"/>
      <c r="BA85" s="347"/>
      <c r="BB85" s="347"/>
      <c r="BC85" s="347"/>
      <c r="BD85" s="347"/>
      <c r="BE85" s="347"/>
      <c r="BF85" s="347"/>
      <c r="BG85" s="347"/>
    </row>
    <row r="86" spans="2:59"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47"/>
      <c r="I86" s="347"/>
      <c r="J86" s="347"/>
      <c r="K86" s="347"/>
      <c r="L86" s="347"/>
      <c r="M86" s="347"/>
      <c r="N86" s="347"/>
      <c r="O86" s="347"/>
      <c r="P86" s="347"/>
      <c r="Q86" s="347"/>
      <c r="R86" s="347"/>
      <c r="S86" s="347"/>
      <c r="T86" s="347"/>
      <c r="U86" s="347"/>
      <c r="V86" s="347"/>
      <c r="W86" s="347"/>
      <c r="X86" s="347"/>
      <c r="Y86" s="347"/>
      <c r="Z86" s="347"/>
      <c r="AA86" s="347"/>
      <c r="AB86" s="347"/>
      <c r="AC86" s="347"/>
      <c r="AD86" s="347"/>
      <c r="AE86" s="347"/>
      <c r="AF86" s="347"/>
      <c r="AG86" s="347"/>
      <c r="AH86" s="347"/>
      <c r="AI86" s="347"/>
      <c r="AJ86" s="347"/>
      <c r="AK86" s="347"/>
      <c r="AL86" s="347"/>
      <c r="AM86" s="347"/>
      <c r="AN86" s="347"/>
      <c r="AO86" s="347"/>
      <c r="AP86" s="347"/>
      <c r="AQ86" s="347"/>
      <c r="AR86" s="347"/>
      <c r="AS86" s="347"/>
      <c r="AT86" s="347"/>
      <c r="AU86" s="347"/>
      <c r="AV86" s="347"/>
      <c r="AW86" s="347"/>
      <c r="AX86" s="347"/>
      <c r="AY86" s="347"/>
      <c r="AZ86" s="347"/>
      <c r="BA86" s="347"/>
      <c r="BB86" s="347"/>
      <c r="BC86" s="347"/>
      <c r="BD86" s="347"/>
      <c r="BE86" s="347"/>
      <c r="BF86" s="347"/>
      <c r="BG86" s="347"/>
    </row>
    <row r="87" spans="2:59"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47"/>
      <c r="I87" s="347"/>
      <c r="J87" s="347"/>
      <c r="K87" s="347"/>
      <c r="L87" s="347"/>
      <c r="M87" s="347"/>
      <c r="N87" s="347"/>
      <c r="O87" s="347"/>
      <c r="P87" s="347"/>
      <c r="Q87" s="347"/>
      <c r="R87" s="347"/>
      <c r="S87" s="347"/>
      <c r="T87" s="347"/>
      <c r="U87" s="347"/>
      <c r="V87" s="347"/>
      <c r="W87" s="347"/>
      <c r="X87" s="347"/>
      <c r="Y87" s="347"/>
      <c r="Z87" s="347"/>
      <c r="AA87" s="347"/>
      <c r="AB87" s="347"/>
      <c r="AC87" s="347"/>
      <c r="AD87" s="347"/>
      <c r="AE87" s="347"/>
      <c r="AF87" s="347"/>
      <c r="AG87" s="347"/>
      <c r="AH87" s="347"/>
      <c r="AI87" s="347"/>
      <c r="AJ87" s="347"/>
      <c r="AK87" s="347"/>
      <c r="AL87" s="347"/>
      <c r="AM87" s="347"/>
      <c r="AN87" s="347"/>
      <c r="AO87" s="347"/>
      <c r="AP87" s="347"/>
      <c r="AQ87" s="347"/>
      <c r="AR87" s="347"/>
      <c r="AS87" s="347"/>
      <c r="AT87" s="347"/>
      <c r="AU87" s="347"/>
      <c r="AV87" s="347"/>
      <c r="AW87" s="347"/>
      <c r="AX87" s="347"/>
      <c r="AY87" s="347"/>
      <c r="AZ87" s="347"/>
      <c r="BA87" s="347"/>
      <c r="BB87" s="347"/>
      <c r="BC87" s="347"/>
      <c r="BD87" s="347"/>
      <c r="BE87" s="347"/>
      <c r="BF87" s="347"/>
      <c r="BG87" s="347"/>
    </row>
    <row r="88" spans="2:59"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47"/>
      <c r="I88" s="347"/>
      <c r="J88" s="347"/>
      <c r="K88" s="347"/>
      <c r="L88" s="347"/>
      <c r="M88" s="347"/>
      <c r="N88" s="347"/>
      <c r="O88" s="347"/>
      <c r="P88" s="347"/>
      <c r="Q88" s="347"/>
      <c r="R88" s="347"/>
      <c r="S88" s="347"/>
      <c r="T88" s="347"/>
      <c r="U88" s="347"/>
      <c r="V88" s="347"/>
      <c r="W88" s="347"/>
      <c r="X88" s="347"/>
      <c r="Y88" s="347"/>
      <c r="Z88" s="347"/>
      <c r="AA88" s="347"/>
      <c r="AB88" s="347"/>
      <c r="AC88" s="347"/>
      <c r="AD88" s="347"/>
      <c r="AE88" s="347"/>
      <c r="AF88" s="347"/>
      <c r="AG88" s="347"/>
      <c r="AH88" s="347"/>
      <c r="AI88" s="347"/>
      <c r="AJ88" s="347"/>
      <c r="AK88" s="347"/>
      <c r="AL88" s="347"/>
      <c r="AM88" s="347"/>
      <c r="AN88" s="347"/>
      <c r="AO88" s="347"/>
      <c r="AP88" s="347"/>
      <c r="AQ88" s="347"/>
      <c r="AR88" s="347"/>
      <c r="AS88" s="347"/>
      <c r="AT88" s="347"/>
      <c r="AU88" s="347"/>
      <c r="AV88" s="347"/>
      <c r="AW88" s="347"/>
      <c r="AX88" s="347"/>
      <c r="AY88" s="347"/>
      <c r="AZ88" s="347"/>
      <c r="BA88" s="347"/>
      <c r="BB88" s="347"/>
      <c r="BC88" s="347"/>
      <c r="BD88" s="347"/>
      <c r="BE88" s="347"/>
      <c r="BF88" s="347"/>
      <c r="BG88" s="347"/>
    </row>
    <row r="89" spans="2:59"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47"/>
      <c r="I89" s="347"/>
      <c r="J89" s="347"/>
      <c r="K89" s="347"/>
      <c r="L89" s="347"/>
      <c r="M89" s="347"/>
      <c r="N89" s="347"/>
      <c r="O89" s="347"/>
      <c r="P89" s="347"/>
      <c r="Q89" s="347"/>
      <c r="R89" s="347"/>
      <c r="S89" s="347"/>
      <c r="T89" s="347"/>
      <c r="U89" s="347"/>
      <c r="V89" s="347"/>
      <c r="W89" s="347"/>
      <c r="X89" s="347"/>
      <c r="Y89" s="347"/>
      <c r="Z89" s="347"/>
      <c r="AA89" s="347"/>
      <c r="AB89" s="347"/>
      <c r="AC89" s="347"/>
      <c r="AD89" s="347"/>
      <c r="AE89" s="347"/>
      <c r="AF89" s="347"/>
      <c r="AG89" s="347"/>
      <c r="AH89" s="347"/>
      <c r="AI89" s="347"/>
      <c r="AJ89" s="347"/>
      <c r="AK89" s="347"/>
      <c r="AL89" s="347"/>
      <c r="AM89" s="347"/>
      <c r="AN89" s="347"/>
      <c r="AO89" s="347"/>
      <c r="AP89" s="347"/>
      <c r="AQ89" s="347"/>
      <c r="AR89" s="347"/>
      <c r="AS89" s="347"/>
      <c r="AT89" s="347"/>
      <c r="AU89" s="347"/>
      <c r="AV89" s="347"/>
      <c r="AW89" s="347"/>
      <c r="AX89" s="347"/>
      <c r="AY89" s="347"/>
      <c r="AZ89" s="347"/>
      <c r="BA89" s="347"/>
      <c r="BB89" s="347"/>
      <c r="BC89" s="347"/>
      <c r="BD89" s="347"/>
      <c r="BE89" s="347"/>
      <c r="BF89" s="347"/>
      <c r="BG89" s="347"/>
    </row>
    <row r="90" spans="2:59"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47"/>
      <c r="I90" s="347"/>
      <c r="J90" s="347"/>
      <c r="K90" s="347"/>
      <c r="L90" s="347"/>
      <c r="M90" s="347"/>
      <c r="N90" s="347"/>
      <c r="O90" s="347"/>
      <c r="P90" s="347"/>
      <c r="Q90" s="347"/>
      <c r="R90" s="347"/>
      <c r="S90" s="347"/>
      <c r="T90" s="347"/>
      <c r="U90" s="347"/>
      <c r="V90" s="347"/>
      <c r="W90" s="347"/>
      <c r="X90" s="347"/>
      <c r="Y90" s="347"/>
      <c r="Z90" s="347"/>
      <c r="AA90" s="347"/>
      <c r="AB90" s="347"/>
      <c r="AC90" s="347"/>
      <c r="AD90" s="347"/>
      <c r="AE90" s="347"/>
      <c r="AF90" s="347"/>
      <c r="AG90" s="347"/>
      <c r="AH90" s="347"/>
      <c r="AI90" s="347"/>
      <c r="AJ90" s="347"/>
      <c r="AK90" s="347"/>
      <c r="AL90" s="347"/>
      <c r="AM90" s="347"/>
      <c r="AN90" s="347"/>
      <c r="AO90" s="347"/>
      <c r="AP90" s="347"/>
      <c r="AQ90" s="347"/>
      <c r="AR90" s="347"/>
      <c r="AS90" s="347"/>
      <c r="AT90" s="347"/>
      <c r="AU90" s="347"/>
      <c r="AV90" s="347"/>
      <c r="AW90" s="347"/>
      <c r="AX90" s="347"/>
      <c r="AY90" s="347"/>
      <c r="AZ90" s="347"/>
      <c r="BA90" s="347"/>
      <c r="BB90" s="347"/>
      <c r="BC90" s="347"/>
      <c r="BD90" s="347"/>
      <c r="BE90" s="347"/>
      <c r="BF90" s="347"/>
      <c r="BG90" s="347"/>
    </row>
    <row r="91" spans="2:59"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47"/>
      <c r="I91" s="347"/>
      <c r="J91" s="347"/>
      <c r="K91" s="347"/>
      <c r="L91" s="347"/>
      <c r="M91" s="347"/>
      <c r="N91" s="347"/>
      <c r="O91" s="347"/>
      <c r="P91" s="347"/>
      <c r="Q91" s="347"/>
      <c r="R91" s="347"/>
      <c r="S91" s="347"/>
      <c r="T91" s="347"/>
      <c r="U91" s="347"/>
      <c r="V91" s="347"/>
      <c r="W91" s="347"/>
      <c r="X91" s="347"/>
      <c r="Y91" s="347"/>
      <c r="Z91" s="347"/>
      <c r="AA91" s="347"/>
      <c r="AB91" s="347"/>
      <c r="AC91" s="347"/>
      <c r="AD91" s="347"/>
      <c r="AE91" s="347"/>
      <c r="AF91" s="347"/>
      <c r="AG91" s="347"/>
      <c r="AH91" s="347"/>
      <c r="AI91" s="347"/>
      <c r="AJ91" s="347"/>
      <c r="AK91" s="347"/>
      <c r="AL91" s="347"/>
      <c r="AM91" s="347"/>
      <c r="AN91" s="347"/>
      <c r="AO91" s="347"/>
      <c r="AP91" s="347"/>
      <c r="AQ91" s="347"/>
      <c r="AR91" s="347"/>
      <c r="AS91" s="347"/>
      <c r="AT91" s="347"/>
      <c r="AU91" s="347"/>
      <c r="AV91" s="347"/>
      <c r="AW91" s="347"/>
      <c r="AX91" s="347"/>
      <c r="AY91" s="347"/>
      <c r="AZ91" s="347"/>
      <c r="BA91" s="347"/>
      <c r="BB91" s="347"/>
      <c r="BC91" s="347"/>
      <c r="BD91" s="347"/>
      <c r="BE91" s="347"/>
      <c r="BF91" s="347"/>
      <c r="BG91" s="347"/>
    </row>
    <row r="92" spans="2:59"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47"/>
      <c r="I92" s="347"/>
      <c r="J92" s="347"/>
      <c r="K92" s="347"/>
      <c r="L92" s="347"/>
      <c r="M92" s="347"/>
      <c r="N92" s="347"/>
      <c r="O92" s="347"/>
      <c r="P92" s="347"/>
      <c r="Q92" s="347"/>
      <c r="R92" s="347"/>
      <c r="S92" s="347"/>
      <c r="T92" s="347"/>
      <c r="U92" s="347"/>
      <c r="V92" s="347"/>
      <c r="W92" s="347"/>
      <c r="X92" s="347"/>
      <c r="Y92" s="347"/>
      <c r="Z92" s="347"/>
      <c r="AA92" s="347"/>
      <c r="AB92" s="347"/>
      <c r="AC92" s="347"/>
      <c r="AD92" s="347"/>
      <c r="AE92" s="347"/>
      <c r="AF92" s="347"/>
      <c r="AG92" s="347"/>
      <c r="AH92" s="347"/>
      <c r="AI92" s="347"/>
      <c r="AJ92" s="347"/>
      <c r="AK92" s="347"/>
      <c r="AL92" s="347"/>
      <c r="AM92" s="347"/>
      <c r="AN92" s="347"/>
      <c r="AO92" s="347"/>
      <c r="AP92" s="347"/>
      <c r="AQ92" s="347"/>
      <c r="AR92" s="347"/>
      <c r="AS92" s="347"/>
      <c r="AT92" s="347"/>
      <c r="AU92" s="347"/>
      <c r="AV92" s="347"/>
      <c r="AW92" s="347"/>
      <c r="AX92" s="347"/>
      <c r="AY92" s="347"/>
      <c r="AZ92" s="347"/>
      <c r="BA92" s="347"/>
      <c r="BB92" s="347"/>
      <c r="BC92" s="347"/>
      <c r="BD92" s="347"/>
      <c r="BE92" s="347"/>
      <c r="BF92" s="347"/>
      <c r="BG92" s="347"/>
    </row>
    <row r="93" spans="2:59"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47"/>
      <c r="I93" s="347"/>
      <c r="J93" s="347"/>
      <c r="K93" s="347"/>
      <c r="L93" s="347"/>
      <c r="M93" s="347"/>
      <c r="N93" s="347"/>
      <c r="O93" s="347"/>
      <c r="P93" s="347"/>
      <c r="Q93" s="347"/>
      <c r="R93" s="347"/>
      <c r="S93" s="347"/>
      <c r="T93" s="347"/>
      <c r="U93" s="347"/>
      <c r="V93" s="347"/>
      <c r="W93" s="347"/>
      <c r="X93" s="347"/>
      <c r="Y93" s="347"/>
      <c r="Z93" s="347"/>
      <c r="AA93" s="347"/>
      <c r="AB93" s="347"/>
      <c r="AC93" s="347"/>
      <c r="AD93" s="347"/>
      <c r="AE93" s="347"/>
      <c r="AF93" s="347"/>
      <c r="AG93" s="347"/>
      <c r="AH93" s="347"/>
      <c r="AI93" s="347"/>
      <c r="AJ93" s="347"/>
      <c r="AK93" s="347"/>
      <c r="AL93" s="347"/>
      <c r="AM93" s="347"/>
      <c r="AN93" s="347"/>
      <c r="AO93" s="347"/>
      <c r="AP93" s="347"/>
      <c r="AQ93" s="347"/>
      <c r="AR93" s="347"/>
      <c r="AS93" s="347"/>
      <c r="AT93" s="347"/>
      <c r="AU93" s="347"/>
      <c r="AV93" s="347"/>
      <c r="AW93" s="347"/>
      <c r="AX93" s="347"/>
      <c r="AY93" s="347"/>
      <c r="AZ93" s="347"/>
      <c r="BA93" s="347"/>
      <c r="BB93" s="347"/>
      <c r="BC93" s="347"/>
      <c r="BD93" s="347"/>
      <c r="BE93" s="347"/>
      <c r="BF93" s="347"/>
      <c r="BG93" s="347"/>
    </row>
    <row r="94" spans="2:59"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47"/>
      <c r="I94" s="347"/>
      <c r="J94" s="347"/>
      <c r="K94" s="347"/>
      <c r="L94" s="347"/>
      <c r="M94" s="347"/>
      <c r="N94" s="347"/>
      <c r="O94" s="347"/>
      <c r="P94" s="347"/>
      <c r="Q94" s="347"/>
      <c r="R94" s="347"/>
      <c r="S94" s="347"/>
      <c r="T94" s="347"/>
      <c r="U94" s="347"/>
      <c r="V94" s="347"/>
      <c r="W94" s="347"/>
      <c r="X94" s="347"/>
      <c r="Y94" s="347"/>
      <c r="Z94" s="347"/>
      <c r="AA94" s="347"/>
      <c r="AB94" s="347"/>
      <c r="AC94" s="347"/>
      <c r="AD94" s="347"/>
      <c r="AE94" s="347"/>
      <c r="AF94" s="347"/>
      <c r="AG94" s="347"/>
      <c r="AH94" s="347"/>
      <c r="AI94" s="347"/>
      <c r="AJ94" s="347"/>
      <c r="AK94" s="347"/>
      <c r="AL94" s="347"/>
      <c r="AM94" s="347"/>
      <c r="AN94" s="347"/>
      <c r="AO94" s="347"/>
      <c r="AP94" s="347"/>
      <c r="AQ94" s="347"/>
      <c r="AR94" s="347"/>
      <c r="AS94" s="347"/>
      <c r="AT94" s="347"/>
      <c r="AU94" s="347"/>
      <c r="AV94" s="347"/>
      <c r="AW94" s="347"/>
      <c r="AX94" s="347"/>
      <c r="AY94" s="347"/>
      <c r="AZ94" s="347"/>
      <c r="BA94" s="347"/>
      <c r="BB94" s="347"/>
      <c r="BC94" s="347"/>
      <c r="BD94" s="347"/>
      <c r="BE94" s="347"/>
      <c r="BF94" s="347"/>
      <c r="BG94" s="347"/>
    </row>
    <row r="95" spans="2:59"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47"/>
      <c r="I95" s="347"/>
      <c r="J95" s="347"/>
      <c r="K95" s="347"/>
      <c r="L95" s="347"/>
      <c r="M95" s="347"/>
      <c r="N95" s="347"/>
      <c r="O95" s="347"/>
      <c r="P95" s="347"/>
      <c r="Q95" s="347"/>
      <c r="R95" s="347"/>
      <c r="S95" s="347"/>
      <c r="T95" s="347"/>
      <c r="U95" s="347"/>
      <c r="V95" s="347"/>
      <c r="W95" s="347"/>
      <c r="X95" s="347"/>
      <c r="Y95" s="347"/>
      <c r="Z95" s="347"/>
      <c r="AA95" s="347"/>
      <c r="AB95" s="347"/>
      <c r="AC95" s="347"/>
      <c r="AD95" s="347"/>
      <c r="AE95" s="347"/>
      <c r="AF95" s="347"/>
      <c r="AG95" s="347"/>
      <c r="AH95" s="347"/>
      <c r="AI95" s="347"/>
      <c r="AJ95" s="347"/>
      <c r="AK95" s="347"/>
      <c r="AL95" s="347"/>
      <c r="AM95" s="347"/>
      <c r="AN95" s="347"/>
      <c r="AO95" s="347"/>
      <c r="AP95" s="347"/>
      <c r="AQ95" s="347"/>
      <c r="AR95" s="347"/>
      <c r="AS95" s="347"/>
      <c r="AT95" s="347"/>
      <c r="AU95" s="347"/>
      <c r="AV95" s="347"/>
      <c r="AW95" s="347"/>
      <c r="AX95" s="347"/>
      <c r="AY95" s="347"/>
      <c r="AZ95" s="347"/>
      <c r="BA95" s="347"/>
      <c r="BB95" s="347"/>
      <c r="BC95" s="347"/>
      <c r="BD95" s="347"/>
      <c r="BE95" s="347"/>
      <c r="BF95" s="347"/>
      <c r="BG95" s="347"/>
    </row>
    <row r="96" spans="2:59"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47"/>
      <c r="I96" s="347"/>
      <c r="J96" s="347"/>
      <c r="K96" s="347"/>
      <c r="L96" s="347"/>
      <c r="M96" s="347"/>
      <c r="N96" s="347"/>
      <c r="O96" s="347"/>
      <c r="P96" s="347"/>
      <c r="Q96" s="347"/>
      <c r="R96" s="347"/>
      <c r="S96" s="347"/>
      <c r="T96" s="347"/>
      <c r="U96" s="347"/>
      <c r="V96" s="347"/>
      <c r="W96" s="347"/>
      <c r="X96" s="347"/>
      <c r="Y96" s="347"/>
      <c r="Z96" s="347"/>
      <c r="AA96" s="347"/>
      <c r="AB96" s="347"/>
      <c r="AC96" s="347"/>
      <c r="AD96" s="347"/>
      <c r="AE96" s="347"/>
      <c r="AF96" s="347"/>
      <c r="AG96" s="347"/>
      <c r="AH96" s="347"/>
      <c r="AI96" s="347"/>
      <c r="AJ96" s="347"/>
      <c r="AK96" s="347"/>
      <c r="AL96" s="347"/>
      <c r="AM96" s="347"/>
      <c r="AN96" s="347"/>
      <c r="AO96" s="347"/>
      <c r="AP96" s="347"/>
      <c r="AQ96" s="347"/>
      <c r="AR96" s="347"/>
      <c r="AS96" s="347"/>
      <c r="AT96" s="347"/>
      <c r="AU96" s="347"/>
      <c r="AV96" s="347"/>
      <c r="AW96" s="347"/>
      <c r="AX96" s="347"/>
      <c r="AY96" s="347"/>
      <c r="AZ96" s="347"/>
      <c r="BA96" s="347"/>
      <c r="BB96" s="347"/>
      <c r="BC96" s="347"/>
      <c r="BD96" s="347"/>
      <c r="BE96" s="347"/>
      <c r="BF96" s="347"/>
      <c r="BG96" s="347"/>
    </row>
    <row r="97" spans="2:59"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47"/>
      <c r="I97" s="347"/>
      <c r="J97" s="347"/>
      <c r="K97" s="347"/>
      <c r="L97" s="347"/>
      <c r="M97" s="347"/>
      <c r="N97" s="347"/>
      <c r="O97" s="347"/>
      <c r="P97" s="347"/>
      <c r="Q97" s="347"/>
      <c r="R97" s="347"/>
      <c r="S97" s="347"/>
      <c r="T97" s="347"/>
      <c r="U97" s="347"/>
      <c r="V97" s="347"/>
      <c r="W97" s="347"/>
      <c r="X97" s="347"/>
      <c r="Y97" s="347"/>
      <c r="Z97" s="347"/>
      <c r="AA97" s="347"/>
      <c r="AB97" s="347"/>
      <c r="AC97" s="347"/>
      <c r="AD97" s="347"/>
      <c r="AE97" s="347"/>
      <c r="AF97" s="347"/>
      <c r="AG97" s="347"/>
      <c r="AH97" s="347"/>
      <c r="AI97" s="347"/>
      <c r="AJ97" s="347"/>
      <c r="AK97" s="347"/>
      <c r="AL97" s="347"/>
      <c r="AM97" s="347"/>
      <c r="AN97" s="347"/>
      <c r="AO97" s="347"/>
      <c r="AP97" s="347"/>
      <c r="AQ97" s="347"/>
      <c r="AR97" s="347"/>
      <c r="AS97" s="347"/>
      <c r="AT97" s="347"/>
      <c r="AU97" s="347"/>
      <c r="AV97" s="347"/>
      <c r="AW97" s="347"/>
      <c r="AX97" s="347"/>
      <c r="AY97" s="347"/>
      <c r="AZ97" s="347"/>
      <c r="BA97" s="347"/>
      <c r="BB97" s="347"/>
      <c r="BC97" s="347"/>
      <c r="BD97" s="347"/>
      <c r="BE97" s="347"/>
      <c r="BF97" s="347"/>
      <c r="BG97" s="347"/>
    </row>
    <row r="98" spans="2:59"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47"/>
      <c r="I98" s="347"/>
      <c r="J98" s="347"/>
      <c r="K98" s="347"/>
      <c r="L98" s="347"/>
      <c r="M98" s="347"/>
      <c r="N98" s="347"/>
      <c r="O98" s="347"/>
      <c r="P98" s="347"/>
      <c r="Q98" s="347"/>
      <c r="R98" s="347"/>
      <c r="S98" s="347"/>
      <c r="T98" s="347"/>
      <c r="U98" s="347"/>
      <c r="V98" s="347"/>
      <c r="W98" s="347"/>
      <c r="X98" s="347"/>
      <c r="Y98" s="347"/>
      <c r="Z98" s="347"/>
      <c r="AA98" s="347"/>
      <c r="AB98" s="347"/>
      <c r="AC98" s="347"/>
      <c r="AD98" s="347"/>
      <c r="AE98" s="347"/>
      <c r="AF98" s="347"/>
      <c r="AG98" s="347"/>
      <c r="AH98" s="347"/>
      <c r="AI98" s="347"/>
      <c r="AJ98" s="347"/>
      <c r="AK98" s="347"/>
      <c r="AL98" s="347"/>
      <c r="AM98" s="347"/>
      <c r="AN98" s="347"/>
      <c r="AO98" s="347"/>
      <c r="AP98" s="347"/>
      <c r="AQ98" s="347"/>
      <c r="AR98" s="347"/>
      <c r="AS98" s="347"/>
      <c r="AT98" s="347"/>
      <c r="AU98" s="347"/>
      <c r="AV98" s="347"/>
      <c r="AW98" s="347"/>
      <c r="AX98" s="347"/>
      <c r="AY98" s="347"/>
      <c r="AZ98" s="347"/>
      <c r="BA98" s="347"/>
      <c r="BB98" s="347"/>
      <c r="BC98" s="347"/>
      <c r="BD98" s="347"/>
      <c r="BE98" s="347"/>
      <c r="BF98" s="347"/>
      <c r="BG98" s="347"/>
    </row>
    <row r="99" spans="2:59"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47"/>
      <c r="I99" s="347"/>
      <c r="J99" s="347"/>
      <c r="K99" s="347"/>
      <c r="L99" s="347"/>
      <c r="M99" s="347"/>
      <c r="N99" s="347"/>
      <c r="O99" s="347"/>
      <c r="P99" s="347"/>
      <c r="Q99" s="347"/>
      <c r="R99" s="347"/>
      <c r="S99" s="347"/>
      <c r="T99" s="347"/>
      <c r="U99" s="347"/>
      <c r="V99" s="347"/>
      <c r="W99" s="347"/>
      <c r="X99" s="347"/>
      <c r="Y99" s="347"/>
      <c r="Z99" s="347"/>
      <c r="AA99" s="347"/>
      <c r="AB99" s="347"/>
      <c r="AC99" s="347"/>
      <c r="AD99" s="347"/>
      <c r="AE99" s="347"/>
      <c r="AF99" s="347"/>
      <c r="AG99" s="347"/>
      <c r="AH99" s="347"/>
      <c r="AI99" s="347"/>
      <c r="AJ99" s="347"/>
      <c r="AK99" s="347"/>
      <c r="AL99" s="347"/>
      <c r="AM99" s="347"/>
      <c r="AN99" s="347"/>
      <c r="AO99" s="347"/>
      <c r="AP99" s="347"/>
      <c r="AQ99" s="347"/>
      <c r="AR99" s="347"/>
      <c r="AS99" s="347"/>
      <c r="AT99" s="347"/>
      <c r="AU99" s="347"/>
      <c r="AV99" s="347"/>
      <c r="AW99" s="347"/>
      <c r="AX99" s="347"/>
      <c r="AY99" s="347"/>
      <c r="AZ99" s="347"/>
      <c r="BA99" s="347"/>
      <c r="BB99" s="347"/>
      <c r="BC99" s="347"/>
      <c r="BD99" s="347"/>
      <c r="BE99" s="347"/>
      <c r="BF99" s="347"/>
      <c r="BG99" s="347"/>
    </row>
    <row r="100" spans="2:59"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47"/>
      <c r="I100" s="347"/>
      <c r="J100" s="347"/>
      <c r="K100" s="347"/>
      <c r="L100" s="347"/>
      <c r="M100" s="347"/>
      <c r="N100" s="347"/>
      <c r="O100" s="347"/>
      <c r="P100" s="347"/>
      <c r="Q100" s="347"/>
      <c r="R100" s="347"/>
      <c r="S100" s="347"/>
      <c r="T100" s="347"/>
      <c r="U100" s="347"/>
      <c r="V100" s="347"/>
      <c r="W100" s="347"/>
      <c r="X100" s="347"/>
      <c r="Y100" s="347"/>
      <c r="Z100" s="347"/>
      <c r="AA100" s="347"/>
      <c r="AB100" s="347"/>
      <c r="AC100" s="347"/>
      <c r="AD100" s="347"/>
      <c r="AE100" s="347"/>
      <c r="AF100" s="347"/>
      <c r="AG100" s="347"/>
      <c r="AH100" s="347"/>
      <c r="AI100" s="347"/>
      <c r="AJ100" s="347"/>
      <c r="AK100" s="347"/>
      <c r="AL100" s="347"/>
      <c r="AM100" s="347"/>
      <c r="AN100" s="347"/>
      <c r="AO100" s="347"/>
      <c r="AP100" s="347"/>
      <c r="AQ100" s="347"/>
      <c r="AR100" s="347"/>
      <c r="AS100" s="347"/>
      <c r="AT100" s="347"/>
      <c r="AU100" s="347"/>
      <c r="AV100" s="347"/>
      <c r="AW100" s="347"/>
      <c r="AX100" s="347"/>
      <c r="AY100" s="347"/>
      <c r="AZ100" s="347"/>
      <c r="BA100" s="347"/>
      <c r="BB100" s="347"/>
      <c r="BC100" s="347"/>
      <c r="BD100" s="347"/>
      <c r="BE100" s="347"/>
      <c r="BF100" s="347"/>
      <c r="BG100" s="347"/>
    </row>
    <row r="101" spans="2:59"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47"/>
      <c r="I101" s="347"/>
      <c r="J101" s="347"/>
      <c r="K101" s="347"/>
      <c r="L101" s="347"/>
      <c r="M101" s="347"/>
      <c r="N101" s="347"/>
      <c r="O101" s="347"/>
      <c r="P101" s="347"/>
      <c r="Q101" s="347"/>
      <c r="R101" s="347"/>
      <c r="S101" s="347"/>
      <c r="T101" s="347"/>
      <c r="U101" s="347"/>
      <c r="V101" s="347"/>
      <c r="W101" s="347"/>
      <c r="X101" s="347"/>
      <c r="Y101" s="347"/>
      <c r="Z101" s="347"/>
      <c r="AA101" s="347"/>
      <c r="AB101" s="347"/>
      <c r="AC101" s="347"/>
      <c r="AD101" s="347"/>
      <c r="AE101" s="347"/>
      <c r="AF101" s="347"/>
      <c r="AG101" s="347"/>
      <c r="AH101" s="347"/>
      <c r="AI101" s="347"/>
      <c r="AJ101" s="347"/>
      <c r="AK101" s="347"/>
      <c r="AL101" s="347"/>
      <c r="AM101" s="347"/>
      <c r="AN101" s="347"/>
      <c r="AO101" s="347"/>
      <c r="AP101" s="347"/>
      <c r="AQ101" s="347"/>
      <c r="AR101" s="347"/>
      <c r="AS101" s="347"/>
      <c r="AT101" s="347"/>
      <c r="AU101" s="347"/>
      <c r="AV101" s="347"/>
      <c r="AW101" s="347"/>
      <c r="AX101" s="347"/>
      <c r="AY101" s="347"/>
      <c r="AZ101" s="347"/>
      <c r="BA101" s="347"/>
      <c r="BB101" s="347"/>
      <c r="BC101" s="347"/>
      <c r="BD101" s="347"/>
      <c r="BE101" s="347"/>
      <c r="BF101" s="347"/>
      <c r="BG101" s="347"/>
    </row>
    <row r="102" spans="2:59"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47"/>
      <c r="I102" s="347"/>
      <c r="J102" s="347"/>
      <c r="K102" s="347"/>
      <c r="L102" s="347"/>
      <c r="M102" s="347"/>
      <c r="N102" s="347"/>
      <c r="O102" s="347"/>
      <c r="P102" s="347"/>
      <c r="Q102" s="347"/>
      <c r="R102" s="347"/>
      <c r="S102" s="347"/>
      <c r="T102" s="347"/>
      <c r="U102" s="347"/>
      <c r="V102" s="347"/>
      <c r="W102" s="347"/>
      <c r="X102" s="347"/>
      <c r="Y102" s="347"/>
      <c r="Z102" s="347"/>
      <c r="AA102" s="347"/>
      <c r="AB102" s="347"/>
      <c r="AC102" s="347"/>
      <c r="AD102" s="347"/>
      <c r="AE102" s="347"/>
      <c r="AF102" s="347"/>
      <c r="AG102" s="347"/>
      <c r="AH102" s="347"/>
      <c r="AI102" s="347"/>
      <c r="AJ102" s="347"/>
      <c r="AK102" s="347"/>
      <c r="AL102" s="347"/>
      <c r="AM102" s="347"/>
      <c r="AN102" s="347"/>
      <c r="AO102" s="347"/>
      <c r="AP102" s="347"/>
      <c r="AQ102" s="347"/>
      <c r="AR102" s="347"/>
      <c r="AS102" s="347"/>
      <c r="AT102" s="347"/>
      <c r="AU102" s="347"/>
      <c r="AV102" s="347"/>
      <c r="AW102" s="347"/>
      <c r="AX102" s="347"/>
      <c r="AY102" s="347"/>
      <c r="AZ102" s="347"/>
      <c r="BA102" s="347"/>
      <c r="BB102" s="347"/>
      <c r="BC102" s="347"/>
      <c r="BD102" s="347"/>
      <c r="BE102" s="347"/>
      <c r="BF102" s="347"/>
      <c r="BG102" s="347"/>
    </row>
    <row r="103" spans="2:59"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47"/>
      <c r="I103" s="347"/>
      <c r="J103" s="347"/>
      <c r="K103" s="347"/>
      <c r="L103" s="347"/>
      <c r="M103" s="347"/>
      <c r="N103" s="347"/>
      <c r="O103" s="347"/>
      <c r="P103" s="347"/>
      <c r="Q103" s="347"/>
      <c r="R103" s="347"/>
      <c r="S103" s="347"/>
      <c r="T103" s="347"/>
      <c r="U103" s="347"/>
      <c r="V103" s="347"/>
      <c r="W103" s="347"/>
      <c r="X103" s="347"/>
      <c r="Y103" s="347"/>
      <c r="Z103" s="347"/>
      <c r="AA103" s="347"/>
      <c r="AB103" s="347"/>
      <c r="AC103" s="347"/>
      <c r="AD103" s="347"/>
      <c r="AE103" s="347"/>
      <c r="AF103" s="347"/>
      <c r="AG103" s="347"/>
      <c r="AH103" s="347"/>
      <c r="AI103" s="347"/>
      <c r="AJ103" s="347"/>
      <c r="AK103" s="347"/>
      <c r="AL103" s="347"/>
      <c r="AM103" s="347"/>
      <c r="AN103" s="347"/>
      <c r="AO103" s="347"/>
      <c r="AP103" s="347"/>
      <c r="AQ103" s="347"/>
      <c r="AR103" s="347"/>
      <c r="AS103" s="347"/>
      <c r="AT103" s="347"/>
      <c r="AU103" s="347"/>
      <c r="AV103" s="347"/>
      <c r="AW103" s="347"/>
      <c r="AX103" s="347"/>
      <c r="AY103" s="347"/>
      <c r="AZ103" s="347"/>
      <c r="BA103" s="347"/>
      <c r="BB103" s="347"/>
      <c r="BC103" s="347"/>
      <c r="BD103" s="347"/>
      <c r="BE103" s="347"/>
      <c r="BF103" s="347"/>
      <c r="BG103" s="347"/>
    </row>
    <row r="104" spans="2:59"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47"/>
      <c r="I104" s="347"/>
      <c r="J104" s="347"/>
      <c r="K104" s="347"/>
      <c r="L104" s="347"/>
      <c r="M104" s="347"/>
      <c r="N104" s="347"/>
      <c r="O104" s="347"/>
      <c r="P104" s="347"/>
      <c r="Q104" s="347"/>
      <c r="R104" s="347"/>
      <c r="S104" s="347"/>
      <c r="T104" s="347"/>
      <c r="U104" s="347"/>
      <c r="V104" s="347"/>
      <c r="W104" s="347"/>
      <c r="X104" s="347"/>
      <c r="Y104" s="347"/>
      <c r="Z104" s="347"/>
      <c r="AA104" s="347"/>
      <c r="AB104" s="347"/>
      <c r="AC104" s="347"/>
      <c r="AD104" s="347"/>
      <c r="AE104" s="347"/>
      <c r="AF104" s="347"/>
      <c r="AG104" s="347"/>
      <c r="AH104" s="347"/>
      <c r="AI104" s="347"/>
      <c r="AJ104" s="347"/>
      <c r="AK104" s="347"/>
      <c r="AL104" s="347"/>
      <c r="AM104" s="347"/>
      <c r="AN104" s="347"/>
      <c r="AO104" s="347"/>
      <c r="AP104" s="347"/>
      <c r="AQ104" s="347"/>
      <c r="AR104" s="347"/>
      <c r="AS104" s="347"/>
      <c r="AT104" s="347"/>
      <c r="AU104" s="347"/>
      <c r="AV104" s="347"/>
      <c r="AW104" s="347"/>
      <c r="AX104" s="347"/>
      <c r="AY104" s="347"/>
      <c r="AZ104" s="347"/>
      <c r="BA104" s="347"/>
      <c r="BB104" s="347"/>
      <c r="BC104" s="347"/>
      <c r="BD104" s="347"/>
      <c r="BE104" s="347"/>
      <c r="BF104" s="347"/>
      <c r="BG104" s="347"/>
    </row>
    <row r="105" spans="2:59"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47"/>
      <c r="I105" s="347"/>
      <c r="J105" s="347"/>
      <c r="K105" s="347"/>
      <c r="L105" s="347"/>
      <c r="M105" s="347"/>
      <c r="N105" s="347"/>
      <c r="O105" s="347"/>
      <c r="P105" s="347"/>
      <c r="Q105" s="347"/>
      <c r="R105" s="347"/>
      <c r="S105" s="347"/>
      <c r="T105" s="347"/>
      <c r="U105" s="347"/>
      <c r="V105" s="347"/>
      <c r="W105" s="347"/>
      <c r="X105" s="347"/>
      <c r="Y105" s="347"/>
      <c r="Z105" s="347"/>
      <c r="AA105" s="347"/>
      <c r="AB105" s="347"/>
      <c r="AC105" s="347"/>
      <c r="AD105" s="347"/>
      <c r="AE105" s="347"/>
      <c r="AF105" s="347"/>
      <c r="AG105" s="347"/>
      <c r="AH105" s="347"/>
      <c r="AI105" s="347"/>
      <c r="AJ105" s="347"/>
      <c r="AK105" s="347"/>
      <c r="AL105" s="347"/>
      <c r="AM105" s="347"/>
      <c r="AN105" s="347"/>
      <c r="AO105" s="347"/>
      <c r="AP105" s="347"/>
      <c r="AQ105" s="347"/>
      <c r="AR105" s="347"/>
      <c r="AS105" s="347"/>
      <c r="AT105" s="347"/>
      <c r="AU105" s="347"/>
      <c r="AV105" s="347"/>
      <c r="AW105" s="347"/>
      <c r="AX105" s="347"/>
      <c r="AY105" s="347"/>
      <c r="AZ105" s="347"/>
      <c r="BA105" s="347"/>
      <c r="BB105" s="347"/>
      <c r="BC105" s="347"/>
      <c r="BD105" s="347"/>
      <c r="BE105" s="347"/>
      <c r="BF105" s="347"/>
      <c r="BG105" s="347"/>
    </row>
    <row r="106" spans="2:59"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47"/>
      <c r="I106" s="347"/>
      <c r="J106" s="347"/>
      <c r="K106" s="347"/>
      <c r="L106" s="347"/>
      <c r="M106" s="347"/>
      <c r="N106" s="347"/>
      <c r="O106" s="347"/>
      <c r="P106" s="347"/>
      <c r="Q106" s="347"/>
      <c r="R106" s="347"/>
      <c r="S106" s="347"/>
      <c r="T106" s="347"/>
      <c r="U106" s="347"/>
      <c r="V106" s="347"/>
      <c r="W106" s="347"/>
      <c r="X106" s="347"/>
      <c r="Y106" s="347"/>
      <c r="Z106" s="347"/>
      <c r="AA106" s="347"/>
      <c r="AB106" s="347"/>
      <c r="AC106" s="347"/>
      <c r="AD106" s="347"/>
      <c r="AE106" s="347"/>
      <c r="AF106" s="347"/>
      <c r="AG106" s="347"/>
      <c r="AH106" s="347"/>
      <c r="AI106" s="347"/>
      <c r="AJ106" s="347"/>
      <c r="AK106" s="347"/>
      <c r="AL106" s="347"/>
      <c r="AM106" s="347"/>
      <c r="AN106" s="347"/>
      <c r="AO106" s="347"/>
      <c r="AP106" s="347"/>
      <c r="AQ106" s="347"/>
      <c r="AR106" s="347"/>
      <c r="AS106" s="347"/>
      <c r="AT106" s="347"/>
      <c r="AU106" s="347"/>
      <c r="AV106" s="347"/>
      <c r="AW106" s="347"/>
      <c r="AX106" s="347"/>
      <c r="AY106" s="347"/>
      <c r="AZ106" s="347"/>
      <c r="BA106" s="347"/>
      <c r="BB106" s="347"/>
      <c r="BC106" s="347"/>
      <c r="BD106" s="347"/>
      <c r="BE106" s="347"/>
      <c r="BF106" s="347"/>
      <c r="BG106" s="347"/>
    </row>
    <row r="107" spans="2:59"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47"/>
      <c r="I107" s="347"/>
      <c r="J107" s="347"/>
      <c r="K107" s="347"/>
      <c r="L107" s="347"/>
      <c r="M107" s="347"/>
      <c r="N107" s="347"/>
      <c r="O107" s="347"/>
      <c r="P107" s="347"/>
      <c r="Q107" s="347"/>
      <c r="R107" s="347"/>
      <c r="S107" s="347"/>
      <c r="T107" s="347"/>
      <c r="U107" s="347"/>
      <c r="V107" s="347"/>
      <c r="W107" s="347"/>
      <c r="X107" s="347"/>
      <c r="Y107" s="347"/>
      <c r="Z107" s="347"/>
      <c r="AA107" s="347"/>
      <c r="AB107" s="347"/>
      <c r="AC107" s="347"/>
      <c r="AD107" s="347"/>
      <c r="AE107" s="347"/>
      <c r="AF107" s="347"/>
      <c r="AG107" s="347"/>
      <c r="AH107" s="347"/>
      <c r="AI107" s="347"/>
      <c r="AJ107" s="347"/>
      <c r="AK107" s="347"/>
      <c r="AL107" s="347"/>
      <c r="AM107" s="347"/>
      <c r="AN107" s="347"/>
      <c r="AO107" s="347"/>
      <c r="AP107" s="347"/>
      <c r="AQ107" s="347"/>
      <c r="AR107" s="347"/>
      <c r="AS107" s="347"/>
      <c r="AT107" s="347"/>
      <c r="AU107" s="347"/>
      <c r="AV107" s="347"/>
      <c r="AW107" s="347"/>
      <c r="AX107" s="347"/>
      <c r="AY107" s="347"/>
      <c r="AZ107" s="347"/>
      <c r="BA107" s="347"/>
      <c r="BB107" s="347"/>
      <c r="BC107" s="347"/>
      <c r="BD107" s="347"/>
      <c r="BE107" s="347"/>
      <c r="BF107" s="347"/>
      <c r="BG107" s="347"/>
    </row>
    <row r="108" spans="2:59"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47"/>
      <c r="I108" s="347"/>
      <c r="J108" s="347"/>
      <c r="K108" s="347"/>
      <c r="L108" s="347"/>
      <c r="M108" s="347"/>
      <c r="N108" s="347"/>
      <c r="O108" s="347"/>
      <c r="P108" s="347"/>
      <c r="Q108" s="347"/>
      <c r="R108" s="347"/>
      <c r="S108" s="347"/>
      <c r="T108" s="347"/>
      <c r="U108" s="347"/>
      <c r="V108" s="347"/>
      <c r="W108" s="347"/>
      <c r="X108" s="347"/>
      <c r="Y108" s="347"/>
      <c r="Z108" s="347"/>
      <c r="AA108" s="347"/>
      <c r="AB108" s="347"/>
      <c r="AC108" s="347"/>
      <c r="AD108" s="347"/>
      <c r="AE108" s="347"/>
      <c r="AF108" s="347"/>
      <c r="AG108" s="347"/>
      <c r="AH108" s="347"/>
      <c r="AI108" s="347"/>
      <c r="AJ108" s="347"/>
      <c r="AK108" s="347"/>
      <c r="AL108" s="347"/>
      <c r="AM108" s="347"/>
      <c r="AN108" s="347"/>
      <c r="AO108" s="347"/>
      <c r="AP108" s="347"/>
      <c r="AQ108" s="347"/>
      <c r="AR108" s="347"/>
      <c r="AS108" s="347"/>
      <c r="AT108" s="347"/>
      <c r="AU108" s="347"/>
      <c r="AV108" s="347"/>
      <c r="AW108" s="347"/>
      <c r="AX108" s="347"/>
      <c r="AY108" s="347"/>
      <c r="AZ108" s="347"/>
      <c r="BA108" s="347"/>
      <c r="BB108" s="347"/>
      <c r="BC108" s="347"/>
      <c r="BD108" s="347"/>
      <c r="BE108" s="347"/>
      <c r="BF108" s="347"/>
      <c r="BG108" s="347"/>
    </row>
    <row r="109" spans="2:59"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47"/>
      <c r="I109" s="347"/>
      <c r="J109" s="347"/>
      <c r="K109" s="347"/>
      <c r="L109" s="347"/>
      <c r="M109" s="347"/>
      <c r="N109" s="347"/>
      <c r="O109" s="347"/>
      <c r="P109" s="347"/>
      <c r="Q109" s="347"/>
      <c r="R109" s="347"/>
      <c r="S109" s="347"/>
      <c r="T109" s="347"/>
      <c r="U109" s="347"/>
      <c r="V109" s="347"/>
      <c r="W109" s="347"/>
      <c r="X109" s="347"/>
      <c r="Y109" s="347"/>
      <c r="Z109" s="347"/>
      <c r="AA109" s="347"/>
      <c r="AB109" s="347"/>
      <c r="AC109" s="347"/>
      <c r="AD109" s="347"/>
      <c r="AE109" s="347"/>
      <c r="AF109" s="347"/>
      <c r="AG109" s="347"/>
      <c r="AH109" s="347"/>
      <c r="AI109" s="347"/>
      <c r="AJ109" s="347"/>
      <c r="AK109" s="347"/>
      <c r="AL109" s="347"/>
      <c r="AM109" s="347"/>
      <c r="AN109" s="347"/>
      <c r="AO109" s="347"/>
      <c r="AP109" s="347"/>
      <c r="AQ109" s="347"/>
      <c r="AR109" s="347"/>
      <c r="AS109" s="347"/>
      <c r="AT109" s="347"/>
      <c r="AU109" s="347"/>
      <c r="AV109" s="347"/>
      <c r="AW109" s="347"/>
      <c r="AX109" s="347"/>
      <c r="AY109" s="347"/>
      <c r="AZ109" s="347"/>
      <c r="BA109" s="347"/>
      <c r="BB109" s="347"/>
      <c r="BC109" s="347"/>
      <c r="BD109" s="347"/>
      <c r="BE109" s="347"/>
      <c r="BF109" s="347"/>
      <c r="BG109" s="347"/>
    </row>
    <row r="110" spans="2:59"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47"/>
      <c r="I110" s="347"/>
      <c r="J110" s="347"/>
      <c r="K110" s="347"/>
      <c r="L110" s="347"/>
      <c r="M110" s="347"/>
      <c r="N110" s="347"/>
      <c r="O110" s="347"/>
      <c r="P110" s="347"/>
      <c r="Q110" s="347"/>
      <c r="R110" s="347"/>
      <c r="S110" s="347"/>
      <c r="T110" s="347"/>
      <c r="U110" s="347"/>
      <c r="V110" s="347"/>
      <c r="W110" s="347"/>
      <c r="X110" s="347"/>
      <c r="Y110" s="347"/>
      <c r="Z110" s="347"/>
      <c r="AA110" s="347"/>
      <c r="AB110" s="347"/>
      <c r="AC110" s="347"/>
      <c r="AD110" s="347"/>
      <c r="AE110" s="347"/>
      <c r="AF110" s="347"/>
      <c r="AG110" s="347"/>
      <c r="AH110" s="347"/>
      <c r="AI110" s="347"/>
      <c r="AJ110" s="347"/>
      <c r="AK110" s="347"/>
      <c r="AL110" s="347"/>
      <c r="AM110" s="347"/>
      <c r="AN110" s="347"/>
      <c r="AO110" s="347"/>
      <c r="AP110" s="347"/>
      <c r="AQ110" s="347"/>
      <c r="AR110" s="347"/>
      <c r="AS110" s="347"/>
      <c r="AT110" s="347"/>
      <c r="AU110" s="347"/>
      <c r="AV110" s="347"/>
      <c r="AW110" s="347"/>
      <c r="AX110" s="347"/>
      <c r="AY110" s="347"/>
      <c r="AZ110" s="347"/>
      <c r="BA110" s="347"/>
      <c r="BB110" s="347"/>
      <c r="BC110" s="347"/>
      <c r="BD110" s="347"/>
      <c r="BE110" s="347"/>
      <c r="BF110" s="347"/>
      <c r="BG110" s="347"/>
    </row>
    <row r="111" spans="2:59"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47"/>
      <c r="I111" s="347"/>
      <c r="J111" s="347"/>
      <c r="K111" s="347"/>
      <c r="L111" s="347"/>
      <c r="M111" s="347"/>
      <c r="N111" s="347"/>
      <c r="O111" s="347"/>
      <c r="P111" s="347"/>
      <c r="Q111" s="347"/>
      <c r="R111" s="347"/>
      <c r="S111" s="347"/>
      <c r="T111" s="347"/>
      <c r="U111" s="347"/>
      <c r="V111" s="347"/>
      <c r="W111" s="347"/>
      <c r="X111" s="347"/>
      <c r="Y111" s="347"/>
      <c r="Z111" s="347"/>
      <c r="AA111" s="347"/>
      <c r="AB111" s="347"/>
      <c r="AC111" s="347"/>
      <c r="AD111" s="347"/>
      <c r="AE111" s="347"/>
      <c r="AF111" s="347"/>
      <c r="AG111" s="347"/>
      <c r="AH111" s="347"/>
      <c r="AI111" s="347"/>
      <c r="AJ111" s="347"/>
      <c r="AK111" s="347"/>
      <c r="AL111" s="347"/>
      <c r="AM111" s="347"/>
      <c r="AN111" s="347"/>
      <c r="AO111" s="347"/>
      <c r="AP111" s="347"/>
      <c r="AQ111" s="347"/>
      <c r="AR111" s="347"/>
      <c r="AS111" s="347"/>
      <c r="AT111" s="347"/>
      <c r="AU111" s="347"/>
      <c r="AV111" s="347"/>
      <c r="AW111" s="347"/>
      <c r="AX111" s="347"/>
      <c r="AY111" s="347"/>
      <c r="AZ111" s="347"/>
      <c r="BA111" s="347"/>
      <c r="BB111" s="347"/>
      <c r="BC111" s="347"/>
      <c r="BD111" s="347"/>
      <c r="BE111" s="347"/>
      <c r="BF111" s="347"/>
      <c r="BG111" s="347"/>
    </row>
    <row r="112" spans="2:59"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47"/>
      <c r="I112" s="347"/>
      <c r="J112" s="347"/>
      <c r="K112" s="347"/>
      <c r="L112" s="347"/>
      <c r="M112" s="347"/>
      <c r="N112" s="347"/>
      <c r="O112" s="347"/>
      <c r="P112" s="347"/>
      <c r="Q112" s="347"/>
      <c r="R112" s="347"/>
      <c r="S112" s="347"/>
      <c r="T112" s="347"/>
      <c r="U112" s="347"/>
      <c r="V112" s="347"/>
      <c r="W112" s="347"/>
      <c r="X112" s="347"/>
      <c r="Y112" s="347"/>
      <c r="Z112" s="347"/>
      <c r="AA112" s="347"/>
      <c r="AB112" s="347"/>
      <c r="AC112" s="347"/>
      <c r="AD112" s="347"/>
      <c r="AE112" s="347"/>
      <c r="AF112" s="347"/>
      <c r="AG112" s="347"/>
      <c r="AH112" s="347"/>
      <c r="AI112" s="347"/>
      <c r="AJ112" s="347"/>
      <c r="AK112" s="347"/>
      <c r="AL112" s="347"/>
      <c r="AM112" s="347"/>
      <c r="AN112" s="347"/>
      <c r="AO112" s="347"/>
      <c r="AP112" s="347"/>
      <c r="AQ112" s="347"/>
      <c r="AR112" s="347"/>
      <c r="AS112" s="347"/>
      <c r="AT112" s="347"/>
      <c r="AU112" s="347"/>
      <c r="AV112" s="347"/>
      <c r="AW112" s="347"/>
      <c r="AX112" s="347"/>
      <c r="AY112" s="347"/>
      <c r="AZ112" s="347"/>
      <c r="BA112" s="347"/>
      <c r="BB112" s="347"/>
      <c r="BC112" s="347"/>
      <c r="BD112" s="347"/>
      <c r="BE112" s="347"/>
      <c r="BF112" s="347"/>
      <c r="BG112" s="347"/>
    </row>
    <row r="113" spans="2:59"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47"/>
      <c r="I113" s="347"/>
      <c r="J113" s="347"/>
      <c r="K113" s="347"/>
      <c r="L113" s="347"/>
      <c r="M113" s="347"/>
      <c r="N113" s="347"/>
      <c r="O113" s="347"/>
      <c r="P113" s="347"/>
      <c r="Q113" s="347"/>
      <c r="R113" s="347"/>
      <c r="S113" s="347"/>
      <c r="T113" s="347"/>
      <c r="U113" s="347"/>
      <c r="V113" s="347"/>
      <c r="W113" s="347"/>
      <c r="X113" s="347"/>
      <c r="Y113" s="347"/>
      <c r="Z113" s="347"/>
      <c r="AA113" s="347"/>
      <c r="AB113" s="347"/>
      <c r="AC113" s="347"/>
      <c r="AD113" s="347"/>
      <c r="AE113" s="347"/>
      <c r="AF113" s="347"/>
      <c r="AG113" s="347"/>
      <c r="AH113" s="347"/>
      <c r="AI113" s="347"/>
      <c r="AJ113" s="347"/>
      <c r="AK113" s="347"/>
      <c r="AL113" s="347"/>
      <c r="AM113" s="347"/>
      <c r="AN113" s="347"/>
      <c r="AO113" s="347"/>
      <c r="AP113" s="347"/>
      <c r="AQ113" s="347"/>
      <c r="AR113" s="347"/>
      <c r="AS113" s="347"/>
      <c r="AT113" s="347"/>
      <c r="AU113" s="347"/>
      <c r="AV113" s="347"/>
      <c r="AW113" s="347"/>
      <c r="AX113" s="347"/>
      <c r="AY113" s="347"/>
      <c r="AZ113" s="347"/>
      <c r="BA113" s="347"/>
      <c r="BB113" s="347"/>
      <c r="BC113" s="347"/>
      <c r="BD113" s="347"/>
      <c r="BE113" s="347"/>
      <c r="BF113" s="347"/>
      <c r="BG113" s="347"/>
    </row>
    <row r="114" spans="2:59"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47"/>
      <c r="I114" s="347"/>
      <c r="J114" s="347"/>
      <c r="K114" s="347"/>
      <c r="L114" s="347"/>
      <c r="M114" s="347"/>
      <c r="N114" s="347"/>
      <c r="O114" s="347"/>
      <c r="P114" s="347"/>
      <c r="Q114" s="347"/>
      <c r="R114" s="347"/>
      <c r="S114" s="347"/>
      <c r="T114" s="347"/>
      <c r="U114" s="347"/>
      <c r="V114" s="347"/>
      <c r="W114" s="347"/>
      <c r="X114" s="347"/>
      <c r="Y114" s="347"/>
      <c r="Z114" s="347"/>
      <c r="AA114" s="347"/>
      <c r="AB114" s="347"/>
      <c r="AC114" s="347"/>
      <c r="AD114" s="347"/>
      <c r="AE114" s="347"/>
      <c r="AF114" s="347"/>
      <c r="AG114" s="347"/>
      <c r="AH114" s="347"/>
      <c r="AI114" s="347"/>
      <c r="AJ114" s="347"/>
      <c r="AK114" s="347"/>
      <c r="AL114" s="347"/>
      <c r="AM114" s="347"/>
      <c r="AN114" s="347"/>
      <c r="AO114" s="347"/>
      <c r="AP114" s="347"/>
      <c r="AQ114" s="347"/>
      <c r="AR114" s="347"/>
      <c r="AS114" s="347"/>
      <c r="AT114" s="347"/>
      <c r="AU114" s="347"/>
      <c r="AV114" s="347"/>
      <c r="AW114" s="347"/>
      <c r="AX114" s="347"/>
      <c r="AY114" s="347"/>
      <c r="AZ114" s="347"/>
      <c r="BA114" s="347"/>
      <c r="BB114" s="347"/>
      <c r="BC114" s="347"/>
      <c r="BD114" s="347"/>
      <c r="BE114" s="347"/>
      <c r="BF114" s="347"/>
      <c r="BG114" s="347"/>
    </row>
    <row r="115" spans="2:59"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47"/>
      <c r="I115" s="347"/>
      <c r="J115" s="347"/>
      <c r="K115" s="347"/>
      <c r="L115" s="347"/>
      <c r="M115" s="347"/>
      <c r="N115" s="347"/>
      <c r="O115" s="347"/>
      <c r="P115" s="347"/>
      <c r="Q115" s="347"/>
      <c r="R115" s="347"/>
      <c r="S115" s="347"/>
      <c r="T115" s="347"/>
      <c r="U115" s="347"/>
      <c r="V115" s="347"/>
      <c r="W115" s="347"/>
      <c r="X115" s="347"/>
      <c r="Y115" s="347"/>
      <c r="Z115" s="347"/>
      <c r="AA115" s="347"/>
      <c r="AB115" s="347"/>
      <c r="AC115" s="347"/>
      <c r="AD115" s="347"/>
      <c r="AE115" s="347"/>
      <c r="AF115" s="347"/>
      <c r="AG115" s="347"/>
      <c r="AH115" s="347"/>
      <c r="AI115" s="347"/>
      <c r="AJ115" s="347"/>
      <c r="AK115" s="347"/>
      <c r="AL115" s="347"/>
      <c r="AM115" s="347"/>
      <c r="AN115" s="347"/>
      <c r="AO115" s="347"/>
      <c r="AP115" s="347"/>
      <c r="AQ115" s="347"/>
      <c r="AR115" s="347"/>
      <c r="AS115" s="347"/>
      <c r="AT115" s="347"/>
      <c r="AU115" s="347"/>
      <c r="AV115" s="347"/>
      <c r="AW115" s="347"/>
      <c r="AX115" s="347"/>
      <c r="AY115" s="347"/>
      <c r="AZ115" s="347"/>
      <c r="BA115" s="347"/>
      <c r="BB115" s="347"/>
      <c r="BC115" s="347"/>
      <c r="BD115" s="347"/>
      <c r="BE115" s="347"/>
      <c r="BF115" s="347"/>
      <c r="BG115" s="347"/>
    </row>
    <row r="116" spans="2:59"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47"/>
      <c r="I116" s="347"/>
      <c r="J116" s="347"/>
      <c r="K116" s="347"/>
      <c r="L116" s="347"/>
      <c r="M116" s="347"/>
      <c r="N116" s="347"/>
      <c r="O116" s="347"/>
      <c r="P116" s="347"/>
      <c r="Q116" s="347"/>
      <c r="R116" s="347"/>
      <c r="S116" s="347"/>
      <c r="T116" s="347"/>
      <c r="U116" s="347"/>
      <c r="V116" s="347"/>
      <c r="W116" s="347"/>
      <c r="X116" s="347"/>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7"/>
      <c r="BC116" s="347"/>
      <c r="BD116" s="347"/>
      <c r="BE116" s="347"/>
      <c r="BF116" s="347"/>
      <c r="BG116" s="347"/>
    </row>
    <row r="117" spans="2:59"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47"/>
      <c r="I117" s="347"/>
      <c r="J117" s="347"/>
      <c r="K117" s="347"/>
      <c r="L117" s="347"/>
      <c r="M117" s="347"/>
      <c r="N117" s="347"/>
      <c r="O117" s="347"/>
      <c r="P117" s="347"/>
      <c r="Q117" s="347"/>
      <c r="R117" s="347"/>
      <c r="S117" s="347"/>
      <c r="T117" s="347"/>
      <c r="U117" s="347"/>
      <c r="V117" s="347"/>
      <c r="W117" s="347"/>
      <c r="X117" s="347"/>
      <c r="Y117" s="347"/>
      <c r="Z117" s="347"/>
      <c r="AA117" s="347"/>
      <c r="AB117" s="347"/>
      <c r="AC117" s="347"/>
      <c r="AD117" s="347"/>
      <c r="AE117" s="347"/>
      <c r="AF117" s="347"/>
      <c r="AG117" s="347"/>
      <c r="AH117" s="347"/>
      <c r="AI117" s="347"/>
      <c r="AJ117" s="347"/>
      <c r="AK117" s="347"/>
      <c r="AL117" s="347"/>
      <c r="AM117" s="347"/>
      <c r="AN117" s="347"/>
      <c r="AO117" s="347"/>
      <c r="AP117" s="347"/>
      <c r="AQ117" s="347"/>
      <c r="AR117" s="347"/>
      <c r="AS117" s="347"/>
      <c r="AT117" s="347"/>
      <c r="AU117" s="347"/>
      <c r="AV117" s="347"/>
      <c r="AW117" s="347"/>
      <c r="AX117" s="347"/>
      <c r="AY117" s="347"/>
      <c r="AZ117" s="347"/>
      <c r="BA117" s="347"/>
      <c r="BB117" s="347"/>
      <c r="BC117" s="347"/>
      <c r="BD117" s="347"/>
      <c r="BE117" s="347"/>
      <c r="BF117" s="347"/>
      <c r="BG117" s="347"/>
    </row>
    <row r="118" spans="2:59"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47"/>
      <c r="I118" s="347"/>
      <c r="J118" s="347"/>
      <c r="K118" s="347"/>
      <c r="L118" s="347"/>
      <c r="M118" s="347"/>
      <c r="N118" s="347"/>
      <c r="O118" s="347"/>
      <c r="P118" s="347"/>
      <c r="Q118" s="347"/>
      <c r="R118" s="347"/>
      <c r="S118" s="347"/>
      <c r="T118" s="347"/>
      <c r="U118" s="347"/>
      <c r="V118" s="347"/>
      <c r="W118" s="347"/>
      <c r="X118" s="347"/>
      <c r="Y118" s="347"/>
      <c r="Z118" s="347"/>
      <c r="AA118" s="347"/>
      <c r="AB118" s="347"/>
      <c r="AC118" s="347"/>
      <c r="AD118" s="347"/>
      <c r="AE118" s="347"/>
      <c r="AF118" s="347"/>
      <c r="AG118" s="347"/>
      <c r="AH118" s="347"/>
      <c r="AI118" s="347"/>
      <c r="AJ118" s="347"/>
      <c r="AK118" s="347"/>
      <c r="AL118" s="347"/>
      <c r="AM118" s="347"/>
      <c r="AN118" s="347"/>
      <c r="AO118" s="347"/>
      <c r="AP118" s="347"/>
      <c r="AQ118" s="347"/>
      <c r="AR118" s="347"/>
      <c r="AS118" s="347"/>
      <c r="AT118" s="347"/>
      <c r="AU118" s="347"/>
      <c r="AV118" s="347"/>
      <c r="AW118" s="347"/>
      <c r="AX118" s="347"/>
      <c r="AY118" s="347"/>
      <c r="AZ118" s="347"/>
      <c r="BA118" s="347"/>
      <c r="BB118" s="347"/>
      <c r="BC118" s="347"/>
      <c r="BD118" s="347"/>
      <c r="BE118" s="347"/>
      <c r="BF118" s="347"/>
      <c r="BG118" s="347"/>
    </row>
    <row r="119" spans="2:59"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47"/>
      <c r="I119" s="347"/>
      <c r="J119" s="347"/>
      <c r="K119" s="347"/>
      <c r="L119" s="347"/>
      <c r="M119" s="347"/>
      <c r="N119" s="347"/>
      <c r="O119" s="347"/>
      <c r="P119" s="347"/>
      <c r="Q119" s="347"/>
      <c r="R119" s="347"/>
      <c r="S119" s="347"/>
      <c r="T119" s="347"/>
      <c r="U119" s="347"/>
      <c r="V119" s="347"/>
      <c r="W119" s="347"/>
      <c r="X119" s="347"/>
      <c r="Y119" s="347"/>
      <c r="Z119" s="347"/>
      <c r="AA119" s="347"/>
      <c r="AB119" s="347"/>
      <c r="AC119" s="347"/>
      <c r="AD119" s="347"/>
      <c r="AE119" s="347"/>
      <c r="AF119" s="347"/>
      <c r="AG119" s="347"/>
      <c r="AH119" s="347"/>
      <c r="AI119" s="347"/>
      <c r="AJ119" s="347"/>
      <c r="AK119" s="347"/>
      <c r="AL119" s="347"/>
      <c r="AM119" s="347"/>
      <c r="AN119" s="347"/>
      <c r="AO119" s="347"/>
      <c r="AP119" s="347"/>
      <c r="AQ119" s="347"/>
      <c r="AR119" s="347"/>
      <c r="AS119" s="347"/>
      <c r="AT119" s="347"/>
      <c r="AU119" s="347"/>
      <c r="AV119" s="347"/>
      <c r="AW119" s="347"/>
      <c r="AX119" s="347"/>
      <c r="AY119" s="347"/>
      <c r="AZ119" s="347"/>
      <c r="BA119" s="347"/>
      <c r="BB119" s="347"/>
      <c r="BC119" s="347"/>
      <c r="BD119" s="347"/>
      <c r="BE119" s="347"/>
      <c r="BF119" s="347"/>
      <c r="BG119" s="347"/>
    </row>
    <row r="120" spans="2:59"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47"/>
      <c r="I120" s="347"/>
      <c r="J120" s="347"/>
      <c r="K120" s="347"/>
      <c r="L120" s="347"/>
      <c r="M120" s="347"/>
      <c r="N120" s="347"/>
      <c r="O120" s="347"/>
      <c r="P120" s="347"/>
      <c r="Q120" s="347"/>
      <c r="R120" s="347"/>
      <c r="S120" s="347"/>
      <c r="T120" s="347"/>
      <c r="U120" s="347"/>
      <c r="V120" s="347"/>
      <c r="W120" s="347"/>
      <c r="X120" s="347"/>
      <c r="Y120" s="347"/>
      <c r="Z120" s="347"/>
      <c r="AA120" s="347"/>
      <c r="AB120" s="347"/>
      <c r="AC120" s="347"/>
      <c r="AD120" s="347"/>
      <c r="AE120" s="347"/>
      <c r="AF120" s="347"/>
      <c r="AG120" s="347"/>
      <c r="AH120" s="347"/>
      <c r="AI120" s="347"/>
      <c r="AJ120" s="347"/>
      <c r="AK120" s="347"/>
      <c r="AL120" s="347"/>
      <c r="AM120" s="347"/>
      <c r="AN120" s="347"/>
      <c r="AO120" s="347"/>
      <c r="AP120" s="347"/>
      <c r="AQ120" s="347"/>
      <c r="AR120" s="347"/>
      <c r="AS120" s="347"/>
      <c r="AT120" s="347"/>
      <c r="AU120" s="347"/>
      <c r="AV120" s="347"/>
      <c r="AW120" s="347"/>
      <c r="AX120" s="347"/>
      <c r="AY120" s="347"/>
      <c r="AZ120" s="347"/>
      <c r="BA120" s="347"/>
      <c r="BB120" s="347"/>
      <c r="BC120" s="347"/>
      <c r="BD120" s="347"/>
      <c r="BE120" s="347"/>
      <c r="BF120" s="347"/>
      <c r="BG120" s="347"/>
    </row>
    <row r="121" spans="2:59"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47"/>
      <c r="I121" s="347"/>
      <c r="J121" s="347"/>
      <c r="K121" s="347"/>
      <c r="L121" s="347"/>
      <c r="M121" s="347"/>
      <c r="N121" s="347"/>
      <c r="O121" s="347"/>
      <c r="P121" s="347"/>
      <c r="Q121" s="347"/>
      <c r="R121" s="347"/>
      <c r="S121" s="347"/>
      <c r="T121" s="347"/>
      <c r="U121" s="347"/>
      <c r="V121" s="347"/>
      <c r="W121" s="347"/>
      <c r="X121" s="347"/>
      <c r="Y121" s="347"/>
      <c r="Z121" s="347"/>
      <c r="AA121" s="347"/>
      <c r="AB121" s="347"/>
      <c r="AC121" s="347"/>
      <c r="AD121" s="347"/>
      <c r="AE121" s="347"/>
      <c r="AF121" s="347"/>
      <c r="AG121" s="347"/>
      <c r="AH121" s="347"/>
      <c r="AI121" s="347"/>
      <c r="AJ121" s="347"/>
      <c r="AK121" s="347"/>
      <c r="AL121" s="347"/>
      <c r="AM121" s="347"/>
      <c r="AN121" s="347"/>
      <c r="AO121" s="347"/>
      <c r="AP121" s="347"/>
      <c r="AQ121" s="347"/>
      <c r="AR121" s="347"/>
      <c r="AS121" s="347"/>
      <c r="AT121" s="347"/>
      <c r="AU121" s="347"/>
      <c r="AV121" s="347"/>
      <c r="AW121" s="347"/>
      <c r="AX121" s="347"/>
      <c r="AY121" s="347"/>
      <c r="AZ121" s="347"/>
      <c r="BA121" s="347"/>
      <c r="BB121" s="347"/>
      <c r="BC121" s="347"/>
      <c r="BD121" s="347"/>
      <c r="BE121" s="347"/>
      <c r="BF121" s="347"/>
      <c r="BG121" s="347"/>
    </row>
    <row r="122" spans="2:59"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47"/>
      <c r="I122" s="347"/>
      <c r="J122" s="347"/>
      <c r="K122" s="347"/>
      <c r="L122" s="347"/>
      <c r="M122" s="347"/>
      <c r="N122" s="347"/>
      <c r="O122" s="347"/>
      <c r="P122" s="347"/>
      <c r="Q122" s="347"/>
      <c r="R122" s="347"/>
      <c r="S122" s="347"/>
      <c r="T122" s="347"/>
      <c r="U122" s="347"/>
      <c r="V122" s="347"/>
      <c r="W122" s="347"/>
      <c r="X122" s="347"/>
      <c r="Y122" s="347"/>
      <c r="Z122" s="347"/>
      <c r="AA122" s="347"/>
      <c r="AB122" s="347"/>
      <c r="AC122" s="347"/>
      <c r="AD122" s="347"/>
      <c r="AE122" s="347"/>
      <c r="AF122" s="347"/>
      <c r="AG122" s="347"/>
      <c r="AH122" s="347"/>
      <c r="AI122" s="347"/>
      <c r="AJ122" s="347"/>
      <c r="AK122" s="347"/>
      <c r="AL122" s="347"/>
      <c r="AM122" s="347"/>
      <c r="AN122" s="347"/>
      <c r="AO122" s="347"/>
      <c r="AP122" s="347"/>
      <c r="AQ122" s="347"/>
      <c r="AR122" s="347"/>
      <c r="AS122" s="347"/>
      <c r="AT122" s="347"/>
      <c r="AU122" s="347"/>
      <c r="AV122" s="347"/>
      <c r="AW122" s="347"/>
      <c r="AX122" s="347"/>
      <c r="AY122" s="347"/>
      <c r="AZ122" s="347"/>
      <c r="BA122" s="347"/>
      <c r="BB122" s="347"/>
      <c r="BC122" s="347"/>
      <c r="BD122" s="347"/>
      <c r="BE122" s="347"/>
      <c r="BF122" s="347"/>
      <c r="BG122" s="347"/>
    </row>
    <row r="123" spans="2:59"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47"/>
      <c r="I123" s="347"/>
      <c r="J123" s="347"/>
      <c r="K123" s="347"/>
      <c r="L123" s="347"/>
      <c r="M123" s="347"/>
      <c r="N123" s="347"/>
      <c r="O123" s="347"/>
      <c r="P123" s="347"/>
      <c r="Q123" s="347"/>
      <c r="R123" s="347"/>
      <c r="S123" s="347"/>
      <c r="T123" s="347"/>
      <c r="U123" s="347"/>
      <c r="V123" s="347"/>
      <c r="W123" s="347"/>
      <c r="X123" s="347"/>
      <c r="Y123" s="347"/>
      <c r="Z123" s="347"/>
      <c r="AA123" s="347"/>
      <c r="AB123" s="347"/>
      <c r="AC123" s="347"/>
      <c r="AD123" s="347"/>
      <c r="AE123" s="347"/>
      <c r="AF123" s="347"/>
      <c r="AG123" s="347"/>
      <c r="AH123" s="347"/>
      <c r="AI123" s="347"/>
      <c r="AJ123" s="347"/>
      <c r="AK123" s="347"/>
      <c r="AL123" s="347"/>
      <c r="AM123" s="347"/>
      <c r="AN123" s="347"/>
      <c r="AO123" s="347"/>
      <c r="AP123" s="347"/>
      <c r="AQ123" s="347"/>
      <c r="AR123" s="347"/>
      <c r="AS123" s="347"/>
      <c r="AT123" s="347"/>
      <c r="AU123" s="347"/>
      <c r="AV123" s="347"/>
      <c r="AW123" s="347"/>
      <c r="AX123" s="347"/>
      <c r="AY123" s="347"/>
      <c r="AZ123" s="347"/>
      <c r="BA123" s="347"/>
      <c r="BB123" s="347"/>
      <c r="BC123" s="347"/>
      <c r="BD123" s="347"/>
      <c r="BE123" s="347"/>
      <c r="BF123" s="347"/>
      <c r="BG123" s="347"/>
    </row>
    <row r="124" spans="2:59" x14ac:dyDescent="0.25">
      <c r="B124" s="67" t="str">
        <f>IF(Capacity!B17="","",Capacity!B17)</f>
        <v>Clinic 1</v>
      </c>
      <c r="C124" s="220">
        <f>IF(B124="","",Capacity!E17)</f>
        <v>42</v>
      </c>
      <c r="D124" s="310">
        <f>IF(B124="","",Capacity!F17)</f>
        <v>5000</v>
      </c>
      <c r="E124" s="220">
        <f>IF(B124="","",IF(COUNTBLANK(H124:BG124)=52,SUM('Capacity calculation (hide)'!H5:BG5),52-COUNTBLANK(H124:BG124)))</f>
        <v>52</v>
      </c>
      <c r="F124" s="311">
        <f>'Capacity calculation (hide)'!BI5</f>
        <v>4038.4615384615386</v>
      </c>
      <c r="H124" s="347">
        <v>20</v>
      </c>
      <c r="I124" s="347">
        <v>20</v>
      </c>
      <c r="J124" s="347">
        <v>20</v>
      </c>
      <c r="K124" s="347">
        <v>20</v>
      </c>
      <c r="L124" s="347">
        <v>20</v>
      </c>
      <c r="M124" s="347">
        <v>20</v>
      </c>
      <c r="N124" s="347">
        <v>40</v>
      </c>
      <c r="O124" s="347">
        <v>80</v>
      </c>
      <c r="P124" s="347">
        <v>120</v>
      </c>
      <c r="Q124" s="347">
        <v>150</v>
      </c>
      <c r="R124" s="347">
        <v>180</v>
      </c>
      <c r="S124" s="347">
        <v>180</v>
      </c>
      <c r="T124" s="347" t="s">
        <v>1245</v>
      </c>
      <c r="U124" s="347" t="s">
        <v>1245</v>
      </c>
      <c r="V124" s="347" t="s">
        <v>1245</v>
      </c>
      <c r="W124" s="347" t="s">
        <v>1245</v>
      </c>
      <c r="X124" s="347" t="s">
        <v>1245</v>
      </c>
      <c r="Y124" s="347" t="s">
        <v>1245</v>
      </c>
      <c r="Z124" s="347" t="s">
        <v>1245</v>
      </c>
      <c r="AA124" s="347" t="s">
        <v>1245</v>
      </c>
      <c r="AB124" s="347" t="s">
        <v>1245</v>
      </c>
      <c r="AC124" s="347" t="s">
        <v>1245</v>
      </c>
      <c r="AD124" s="347" t="s">
        <v>1245</v>
      </c>
      <c r="AE124" s="347" t="s">
        <v>1245</v>
      </c>
      <c r="AF124" s="347" t="s">
        <v>1245</v>
      </c>
      <c r="AG124" s="347" t="s">
        <v>1245</v>
      </c>
      <c r="AH124" s="347" t="s">
        <v>1245</v>
      </c>
      <c r="AI124" s="347" t="s">
        <v>1245</v>
      </c>
      <c r="AJ124" s="347" t="s">
        <v>1245</v>
      </c>
      <c r="AK124" s="347" t="s">
        <v>1245</v>
      </c>
      <c r="AL124" s="347" t="s">
        <v>1245</v>
      </c>
      <c r="AM124" s="347" t="s">
        <v>1245</v>
      </c>
      <c r="AN124" s="347" t="s">
        <v>1245</v>
      </c>
      <c r="AO124" s="347" t="s">
        <v>1245</v>
      </c>
      <c r="AP124" s="347" t="s">
        <v>1245</v>
      </c>
      <c r="AQ124" s="347" t="s">
        <v>1245</v>
      </c>
      <c r="AR124" s="347" t="s">
        <v>1245</v>
      </c>
      <c r="AS124" s="347" t="s">
        <v>1245</v>
      </c>
      <c r="AT124" s="347" t="s">
        <v>1245</v>
      </c>
      <c r="AU124" s="347" t="s">
        <v>1245</v>
      </c>
      <c r="AV124" s="347" t="s">
        <v>1245</v>
      </c>
      <c r="AW124" s="347" t="s">
        <v>1245</v>
      </c>
      <c r="AX124" s="347" t="s">
        <v>1245</v>
      </c>
      <c r="AY124" s="347" t="s">
        <v>1245</v>
      </c>
      <c r="AZ124" s="347" t="s">
        <v>1245</v>
      </c>
      <c r="BA124" s="347" t="s">
        <v>1245</v>
      </c>
      <c r="BB124" s="347" t="s">
        <v>1245</v>
      </c>
      <c r="BC124" s="347" t="s">
        <v>1245</v>
      </c>
      <c r="BD124" s="347" t="s">
        <v>1245</v>
      </c>
      <c r="BE124" s="347" t="s">
        <v>1245</v>
      </c>
      <c r="BF124" s="347" t="s">
        <v>1245</v>
      </c>
      <c r="BG124" s="347" t="s">
        <v>1245</v>
      </c>
    </row>
    <row r="125" spans="2:59" x14ac:dyDescent="0.25">
      <c r="B125" s="67" t="str">
        <f>IF(Capacity!B18="","",Capacity!B18)</f>
        <v/>
      </c>
      <c r="C125" s="220" t="str">
        <f>IF(B125="","",Capacity!E18)</f>
        <v/>
      </c>
      <c r="D125" s="310" t="str">
        <f>IF(B125="","",Capacity!F18)</f>
        <v/>
      </c>
      <c r="E125" s="220" t="str">
        <f>IF(B125="","",IF(COUNTBLANK(H125:BG125)=52,SUM('Capacity calculation (hide)'!H6:BG6),52-COUNTBLANK(H125:BG125)))</f>
        <v/>
      </c>
      <c r="F125" s="311" t="str">
        <f>'Capacity calculation (hide)'!BI6</f>
        <v/>
      </c>
      <c r="H125" s="347"/>
      <c r="I125" s="347"/>
      <c r="J125" s="347"/>
      <c r="K125" s="347"/>
      <c r="L125" s="347"/>
      <c r="M125" s="347"/>
      <c r="N125" s="347"/>
      <c r="O125" s="347"/>
      <c r="P125" s="347"/>
      <c r="Q125" s="347"/>
      <c r="R125" s="347"/>
      <c r="S125" s="347"/>
      <c r="T125" s="347"/>
      <c r="U125" s="347"/>
      <c r="V125" s="347"/>
      <c r="W125" s="347"/>
      <c r="X125" s="347"/>
      <c r="Y125" s="347"/>
      <c r="Z125" s="347"/>
      <c r="AA125" s="347"/>
      <c r="AB125" s="347"/>
      <c r="AC125" s="347"/>
      <c r="AD125" s="347"/>
      <c r="AE125" s="347"/>
      <c r="AF125" s="347"/>
      <c r="AG125" s="347"/>
      <c r="AH125" s="347"/>
      <c r="AI125" s="347"/>
      <c r="AJ125" s="347"/>
      <c r="AK125" s="347"/>
      <c r="AL125" s="347"/>
      <c r="AM125" s="347"/>
      <c r="AN125" s="347"/>
      <c r="AO125" s="347"/>
      <c r="AP125" s="347"/>
      <c r="AQ125" s="347"/>
      <c r="AR125" s="347"/>
      <c r="AS125" s="347"/>
      <c r="AT125" s="347"/>
      <c r="AU125" s="347"/>
      <c r="AV125" s="347"/>
      <c r="AW125" s="347"/>
      <c r="AX125" s="347"/>
      <c r="AY125" s="347"/>
      <c r="AZ125" s="347"/>
      <c r="BA125" s="347"/>
      <c r="BB125" s="347"/>
      <c r="BC125" s="347"/>
      <c r="BD125" s="347"/>
      <c r="BE125" s="347"/>
      <c r="BF125" s="347"/>
      <c r="BG125" s="347"/>
    </row>
    <row r="126" spans="2:59" x14ac:dyDescent="0.25">
      <c r="B126" s="67" t="str">
        <f>IF(Capacity!B19="","",Capacity!B19)</f>
        <v/>
      </c>
      <c r="C126" s="220" t="str">
        <f>IF(B126="","",Capacity!E19)</f>
        <v/>
      </c>
      <c r="D126" s="310" t="str">
        <f>IF(B126="","",Capacity!F19)</f>
        <v/>
      </c>
      <c r="E126" s="220" t="str">
        <f>IF(B126="","",IF(COUNTBLANK(H126:BG126)=52,SUM('Capacity calculation (hide)'!H7:BG7),52-COUNTBLANK(H126:BG126)))</f>
        <v/>
      </c>
      <c r="F126" s="311" t="str">
        <f>'Capacity calculation (hide)'!BI7</f>
        <v/>
      </c>
      <c r="H126" s="347"/>
      <c r="I126" s="347"/>
      <c r="J126" s="347"/>
      <c r="K126" s="347"/>
      <c r="L126" s="347"/>
      <c r="M126" s="347"/>
      <c r="N126" s="347"/>
      <c r="O126" s="347"/>
      <c r="P126" s="347"/>
      <c r="Q126" s="347"/>
      <c r="R126" s="347"/>
      <c r="S126" s="347"/>
      <c r="T126" s="347"/>
      <c r="U126" s="347"/>
      <c r="V126" s="347"/>
      <c r="W126" s="347"/>
      <c r="X126" s="347"/>
      <c r="Y126" s="347"/>
      <c r="Z126" s="347"/>
      <c r="AA126" s="347"/>
      <c r="AB126" s="347"/>
      <c r="AC126" s="347"/>
      <c r="AD126" s="347"/>
      <c r="AE126" s="347"/>
      <c r="AF126" s="347"/>
      <c r="AG126" s="347"/>
      <c r="AH126" s="347"/>
      <c r="AI126" s="347"/>
      <c r="AJ126" s="347"/>
      <c r="AK126" s="347"/>
      <c r="AL126" s="347"/>
      <c r="AM126" s="347"/>
      <c r="AN126" s="347"/>
      <c r="AO126" s="347"/>
      <c r="AP126" s="347"/>
      <c r="AQ126" s="347"/>
      <c r="AR126" s="347"/>
      <c r="AS126" s="347"/>
      <c r="AT126" s="347"/>
      <c r="AU126" s="347"/>
      <c r="AV126" s="347"/>
      <c r="AW126" s="347"/>
      <c r="AX126" s="347"/>
      <c r="AY126" s="347"/>
      <c r="AZ126" s="347"/>
      <c r="BA126" s="347"/>
      <c r="BB126" s="347"/>
      <c r="BC126" s="347"/>
      <c r="BD126" s="347"/>
      <c r="BE126" s="347"/>
      <c r="BF126" s="347"/>
      <c r="BG126" s="347"/>
    </row>
    <row r="127" spans="2:59" x14ac:dyDescent="0.25">
      <c r="B127" s="67" t="str">
        <f>IF(Capacity!B20="","",Capacity!B20)</f>
        <v/>
      </c>
      <c r="C127" s="220" t="str">
        <f>IF(B127="","",Capacity!E20)</f>
        <v/>
      </c>
      <c r="D127" s="310" t="str">
        <f>IF(B127="","",Capacity!F20)</f>
        <v/>
      </c>
      <c r="E127" s="220" t="str">
        <f>IF(B127="","",IF(COUNTBLANK(H127:BG127)=52,SUM('Capacity calculation (hide)'!H8:BG8),52-COUNTBLANK(H127:BG127)))</f>
        <v/>
      </c>
      <c r="F127" s="311" t="str">
        <f>'Capacity calculation (hide)'!BI8</f>
        <v/>
      </c>
      <c r="H127" s="347"/>
      <c r="I127" s="347"/>
      <c r="J127" s="347"/>
      <c r="K127" s="347"/>
      <c r="L127" s="347"/>
      <c r="M127" s="347"/>
      <c r="N127" s="347"/>
      <c r="O127" s="347"/>
      <c r="P127" s="347"/>
      <c r="Q127" s="347"/>
      <c r="R127" s="347"/>
      <c r="S127" s="347"/>
      <c r="T127" s="347"/>
      <c r="U127" s="347"/>
      <c r="V127" s="347"/>
      <c r="W127" s="347"/>
      <c r="X127" s="347"/>
      <c r="Y127" s="347"/>
      <c r="Z127" s="347"/>
      <c r="AA127" s="347"/>
      <c r="AB127" s="347"/>
      <c r="AC127" s="347"/>
      <c r="AD127" s="347"/>
      <c r="AE127" s="347"/>
      <c r="AF127" s="347"/>
      <c r="AG127" s="347"/>
      <c r="AH127" s="347"/>
      <c r="AI127" s="347"/>
      <c r="AJ127" s="347"/>
      <c r="AK127" s="347"/>
      <c r="AL127" s="347"/>
      <c r="AM127" s="347"/>
      <c r="AN127" s="347"/>
      <c r="AO127" s="347"/>
      <c r="AP127" s="347"/>
      <c r="AQ127" s="347"/>
      <c r="AR127" s="347"/>
      <c r="AS127" s="347"/>
      <c r="AT127" s="347"/>
      <c r="AU127" s="347"/>
      <c r="AV127" s="347"/>
      <c r="AW127" s="347"/>
      <c r="AX127" s="347"/>
      <c r="AY127" s="347"/>
      <c r="AZ127" s="347"/>
      <c r="BA127" s="347"/>
      <c r="BB127" s="347"/>
      <c r="BC127" s="347"/>
      <c r="BD127" s="347"/>
      <c r="BE127" s="347"/>
      <c r="BF127" s="347"/>
      <c r="BG127" s="347"/>
    </row>
    <row r="128" spans="2:59" x14ac:dyDescent="0.25">
      <c r="B128" s="67" t="str">
        <f>IF(Capacity!B21="","",Capacity!B21)</f>
        <v/>
      </c>
      <c r="C128" s="220" t="str">
        <f>IF(B128="","",Capacity!E21)</f>
        <v/>
      </c>
      <c r="D128" s="310" t="str">
        <f>IF(B128="","",Capacity!F21)</f>
        <v/>
      </c>
      <c r="E128" s="220" t="str">
        <f>IF(B128="","",IF(COUNTBLANK(H128:BG128)=52,SUM('Capacity calculation (hide)'!H9:BG9),52-COUNTBLANK(H128:BG128)))</f>
        <v/>
      </c>
      <c r="F128" s="311" t="str">
        <f>'Capacity calculation (hide)'!BI9</f>
        <v/>
      </c>
      <c r="H128" s="347"/>
      <c r="I128" s="347"/>
      <c r="J128" s="347"/>
      <c r="K128" s="347"/>
      <c r="L128" s="347"/>
      <c r="M128" s="347"/>
      <c r="N128" s="347"/>
      <c r="O128" s="347"/>
      <c r="P128" s="347"/>
      <c r="Q128" s="347"/>
      <c r="R128" s="347"/>
      <c r="S128" s="347"/>
      <c r="T128" s="347"/>
      <c r="U128" s="347"/>
      <c r="V128" s="347"/>
      <c r="W128" s="347"/>
      <c r="X128" s="347"/>
      <c r="Y128" s="347"/>
      <c r="Z128" s="347"/>
      <c r="AA128" s="347"/>
      <c r="AB128" s="347"/>
      <c r="AC128" s="347"/>
      <c r="AD128" s="347"/>
      <c r="AE128" s="347"/>
      <c r="AF128" s="347"/>
      <c r="AG128" s="347"/>
      <c r="AH128" s="347"/>
      <c r="AI128" s="347"/>
      <c r="AJ128" s="347"/>
      <c r="AK128" s="347"/>
      <c r="AL128" s="347"/>
      <c r="AM128" s="347"/>
      <c r="AN128" s="347"/>
      <c r="AO128" s="347"/>
      <c r="AP128" s="347"/>
      <c r="AQ128" s="347"/>
      <c r="AR128" s="347"/>
      <c r="AS128" s="347"/>
      <c r="AT128" s="347"/>
      <c r="AU128" s="347"/>
      <c r="AV128" s="347"/>
      <c r="AW128" s="347"/>
      <c r="AX128" s="347"/>
      <c r="AY128" s="347"/>
      <c r="AZ128" s="347"/>
      <c r="BA128" s="347"/>
      <c r="BB128" s="347"/>
      <c r="BC128" s="347"/>
      <c r="BD128" s="347"/>
      <c r="BE128" s="347"/>
      <c r="BF128" s="347"/>
      <c r="BG128" s="347"/>
    </row>
    <row r="129" spans="2:59"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47"/>
      <c r="I129" s="347"/>
      <c r="J129" s="347"/>
      <c r="K129" s="347"/>
      <c r="L129" s="347"/>
      <c r="M129" s="347"/>
      <c r="N129" s="347"/>
      <c r="O129" s="347"/>
      <c r="P129" s="347"/>
      <c r="Q129" s="347"/>
      <c r="R129" s="347"/>
      <c r="S129" s="347"/>
      <c r="T129" s="347"/>
      <c r="U129" s="347"/>
      <c r="V129" s="347"/>
      <c r="W129" s="347"/>
      <c r="X129" s="347"/>
      <c r="Y129" s="347"/>
      <c r="Z129" s="347"/>
      <c r="AA129" s="347"/>
      <c r="AB129" s="347"/>
      <c r="AC129" s="347"/>
      <c r="AD129" s="347"/>
      <c r="AE129" s="347"/>
      <c r="AF129" s="347"/>
      <c r="AG129" s="347"/>
      <c r="AH129" s="347"/>
      <c r="AI129" s="347"/>
      <c r="AJ129" s="347"/>
      <c r="AK129" s="347"/>
      <c r="AL129" s="347"/>
      <c r="AM129" s="347"/>
      <c r="AN129" s="347"/>
      <c r="AO129" s="347"/>
      <c r="AP129" s="347"/>
      <c r="AQ129" s="347"/>
      <c r="AR129" s="347"/>
      <c r="AS129" s="347"/>
      <c r="AT129" s="347"/>
      <c r="AU129" s="347"/>
      <c r="AV129" s="347"/>
      <c r="AW129" s="347"/>
      <c r="AX129" s="347"/>
      <c r="AY129" s="347"/>
      <c r="AZ129" s="347"/>
      <c r="BA129" s="347"/>
      <c r="BB129" s="347"/>
      <c r="BC129" s="347"/>
      <c r="BD129" s="347"/>
      <c r="BE129" s="347"/>
      <c r="BF129" s="347"/>
      <c r="BG129" s="347"/>
    </row>
    <row r="130" spans="2:59"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47"/>
      <c r="I130" s="347"/>
      <c r="J130" s="347"/>
      <c r="K130" s="347"/>
      <c r="L130" s="347"/>
      <c r="M130" s="347"/>
      <c r="N130" s="347"/>
      <c r="O130" s="347"/>
      <c r="P130" s="347"/>
      <c r="Q130" s="347"/>
      <c r="R130" s="347"/>
      <c r="S130" s="347"/>
      <c r="T130" s="347"/>
      <c r="U130" s="347"/>
      <c r="V130" s="347"/>
      <c r="W130" s="347"/>
      <c r="X130" s="347"/>
      <c r="Y130" s="347"/>
      <c r="Z130" s="347"/>
      <c r="AA130" s="347"/>
      <c r="AB130" s="347"/>
      <c r="AC130" s="347"/>
      <c r="AD130" s="347"/>
      <c r="AE130" s="347"/>
      <c r="AF130" s="347"/>
      <c r="AG130" s="347"/>
      <c r="AH130" s="347"/>
      <c r="AI130" s="347"/>
      <c r="AJ130" s="347"/>
      <c r="AK130" s="347"/>
      <c r="AL130" s="347"/>
      <c r="AM130" s="347"/>
      <c r="AN130" s="347"/>
      <c r="AO130" s="347"/>
      <c r="AP130" s="347"/>
      <c r="AQ130" s="347"/>
      <c r="AR130" s="347"/>
      <c r="AS130" s="347"/>
      <c r="AT130" s="347"/>
      <c r="AU130" s="347"/>
      <c r="AV130" s="347"/>
      <c r="AW130" s="347"/>
      <c r="AX130" s="347"/>
      <c r="AY130" s="347"/>
      <c r="AZ130" s="347"/>
      <c r="BA130" s="347"/>
      <c r="BB130" s="347"/>
      <c r="BC130" s="347"/>
      <c r="BD130" s="347"/>
      <c r="BE130" s="347"/>
      <c r="BF130" s="347"/>
      <c r="BG130" s="347"/>
    </row>
    <row r="131" spans="2:59"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47"/>
      <c r="I131" s="347"/>
      <c r="J131" s="347"/>
      <c r="K131" s="347"/>
      <c r="L131" s="347"/>
      <c r="M131" s="347"/>
      <c r="N131" s="347"/>
      <c r="O131" s="347"/>
      <c r="P131" s="347"/>
      <c r="Q131" s="347"/>
      <c r="R131" s="347"/>
      <c r="S131" s="347"/>
      <c r="T131" s="347"/>
      <c r="U131" s="347"/>
      <c r="V131" s="347"/>
      <c r="W131" s="347"/>
      <c r="X131" s="347"/>
      <c r="Y131" s="347"/>
      <c r="Z131" s="347"/>
      <c r="AA131" s="347"/>
      <c r="AB131" s="347"/>
      <c r="AC131" s="347"/>
      <c r="AD131" s="347"/>
      <c r="AE131" s="347"/>
      <c r="AF131" s="347"/>
      <c r="AG131" s="347"/>
      <c r="AH131" s="347"/>
      <c r="AI131" s="347"/>
      <c r="AJ131" s="347"/>
      <c r="AK131" s="347"/>
      <c r="AL131" s="347"/>
      <c r="AM131" s="347"/>
      <c r="AN131" s="347"/>
      <c r="AO131" s="347"/>
      <c r="AP131" s="347"/>
      <c r="AQ131" s="347"/>
      <c r="AR131" s="347"/>
      <c r="AS131" s="347"/>
      <c r="AT131" s="347"/>
      <c r="AU131" s="347"/>
      <c r="AV131" s="347"/>
      <c r="AW131" s="347"/>
      <c r="AX131" s="347"/>
      <c r="AY131" s="347"/>
      <c r="AZ131" s="347"/>
      <c r="BA131" s="347"/>
      <c r="BB131" s="347"/>
      <c r="BC131" s="347"/>
      <c r="BD131" s="347"/>
      <c r="BE131" s="347"/>
      <c r="BF131" s="347"/>
      <c r="BG131" s="347"/>
    </row>
    <row r="132" spans="2:59"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47"/>
      <c r="I132" s="347"/>
      <c r="J132" s="347"/>
      <c r="K132" s="347"/>
      <c r="L132" s="347"/>
      <c r="M132" s="347"/>
      <c r="N132" s="347"/>
      <c r="O132" s="347"/>
      <c r="P132" s="347"/>
      <c r="Q132" s="347"/>
      <c r="R132" s="347"/>
      <c r="S132" s="347"/>
      <c r="T132" s="347"/>
      <c r="U132" s="347"/>
      <c r="V132" s="347"/>
      <c r="W132" s="347"/>
      <c r="X132" s="347"/>
      <c r="Y132" s="347"/>
      <c r="Z132" s="347"/>
      <c r="AA132" s="347"/>
      <c r="AB132" s="347"/>
      <c r="AC132" s="347"/>
      <c r="AD132" s="347"/>
      <c r="AE132" s="347"/>
      <c r="AF132" s="347"/>
      <c r="AG132" s="347"/>
      <c r="AH132" s="347"/>
      <c r="AI132" s="347"/>
      <c r="AJ132" s="347"/>
      <c r="AK132" s="347"/>
      <c r="AL132" s="347"/>
      <c r="AM132" s="347"/>
      <c r="AN132" s="347"/>
      <c r="AO132" s="347"/>
      <c r="AP132" s="347"/>
      <c r="AQ132" s="347"/>
      <c r="AR132" s="347"/>
      <c r="AS132" s="347"/>
      <c r="AT132" s="347"/>
      <c r="AU132" s="347"/>
      <c r="AV132" s="347"/>
      <c r="AW132" s="347"/>
      <c r="AX132" s="347"/>
      <c r="AY132" s="347"/>
      <c r="AZ132" s="347"/>
      <c r="BA132" s="347"/>
      <c r="BB132" s="347"/>
      <c r="BC132" s="347"/>
      <c r="BD132" s="347"/>
      <c r="BE132" s="347"/>
      <c r="BF132" s="347"/>
      <c r="BG132" s="347"/>
    </row>
    <row r="133" spans="2:59"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47"/>
      <c r="I133" s="347"/>
      <c r="J133" s="347"/>
      <c r="K133" s="347"/>
      <c r="L133" s="347"/>
      <c r="M133" s="347"/>
      <c r="N133" s="347"/>
      <c r="O133" s="347"/>
      <c r="P133" s="347"/>
      <c r="Q133" s="347"/>
      <c r="R133" s="347"/>
      <c r="S133" s="347"/>
      <c r="T133" s="347"/>
      <c r="U133" s="347"/>
      <c r="V133" s="347"/>
      <c r="W133" s="347"/>
      <c r="X133" s="347"/>
      <c r="Y133" s="347"/>
      <c r="Z133" s="347"/>
      <c r="AA133" s="347"/>
      <c r="AB133" s="347"/>
      <c r="AC133" s="347"/>
      <c r="AD133" s="347"/>
      <c r="AE133" s="347"/>
      <c r="AF133" s="347"/>
      <c r="AG133" s="347"/>
      <c r="AH133" s="347"/>
      <c r="AI133" s="347"/>
      <c r="AJ133" s="347"/>
      <c r="AK133" s="347"/>
      <c r="AL133" s="347"/>
      <c r="AM133" s="347"/>
      <c r="AN133" s="347"/>
      <c r="AO133" s="347"/>
      <c r="AP133" s="347"/>
      <c r="AQ133" s="347"/>
      <c r="AR133" s="347"/>
      <c r="AS133" s="347"/>
      <c r="AT133" s="347"/>
      <c r="AU133" s="347"/>
      <c r="AV133" s="347"/>
      <c r="AW133" s="347"/>
      <c r="AX133" s="347"/>
      <c r="AY133" s="347"/>
      <c r="AZ133" s="347"/>
      <c r="BA133" s="347"/>
      <c r="BB133" s="347"/>
      <c r="BC133" s="347"/>
      <c r="BD133" s="347"/>
      <c r="BE133" s="347"/>
      <c r="BF133" s="347"/>
      <c r="BG133" s="347"/>
    </row>
    <row r="134" spans="2:59"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47"/>
      <c r="I134" s="347"/>
      <c r="J134" s="347"/>
      <c r="K134" s="347"/>
      <c r="L134" s="347"/>
      <c r="M134" s="347"/>
      <c r="N134" s="347"/>
      <c r="O134" s="347"/>
      <c r="P134" s="347"/>
      <c r="Q134" s="347"/>
      <c r="R134" s="347"/>
      <c r="S134" s="347"/>
      <c r="T134" s="347"/>
      <c r="U134" s="347"/>
      <c r="V134" s="347"/>
      <c r="W134" s="347"/>
      <c r="X134" s="347"/>
      <c r="Y134" s="347"/>
      <c r="Z134" s="347"/>
      <c r="AA134" s="347"/>
      <c r="AB134" s="347"/>
      <c r="AC134" s="347"/>
      <c r="AD134" s="347"/>
      <c r="AE134" s="347"/>
      <c r="AF134" s="347"/>
      <c r="AG134" s="347"/>
      <c r="AH134" s="347"/>
      <c r="AI134" s="347"/>
      <c r="AJ134" s="347"/>
      <c r="AK134" s="347"/>
      <c r="AL134" s="347"/>
      <c r="AM134" s="347"/>
      <c r="AN134" s="347"/>
      <c r="AO134" s="347"/>
      <c r="AP134" s="347"/>
      <c r="AQ134" s="347"/>
      <c r="AR134" s="347"/>
      <c r="AS134" s="347"/>
      <c r="AT134" s="347"/>
      <c r="AU134" s="347"/>
      <c r="AV134" s="347"/>
      <c r="AW134" s="347"/>
      <c r="AX134" s="347"/>
      <c r="AY134" s="347"/>
      <c r="AZ134" s="347"/>
      <c r="BA134" s="347"/>
      <c r="BB134" s="347"/>
      <c r="BC134" s="347"/>
      <c r="BD134" s="347"/>
      <c r="BE134" s="347"/>
      <c r="BF134" s="347"/>
      <c r="BG134" s="347"/>
    </row>
    <row r="135" spans="2:59"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47"/>
      <c r="I135" s="347"/>
      <c r="J135" s="347"/>
      <c r="K135" s="347"/>
      <c r="L135" s="347"/>
      <c r="M135" s="347"/>
      <c r="N135" s="347"/>
      <c r="O135" s="347"/>
      <c r="P135" s="347"/>
      <c r="Q135" s="347"/>
      <c r="R135" s="347"/>
      <c r="S135" s="347"/>
      <c r="T135" s="347"/>
      <c r="U135" s="347"/>
      <c r="V135" s="347"/>
      <c r="W135" s="347"/>
      <c r="X135" s="347"/>
      <c r="Y135" s="347"/>
      <c r="Z135" s="347"/>
      <c r="AA135" s="347"/>
      <c r="AB135" s="347"/>
      <c r="AC135" s="347"/>
      <c r="AD135" s="347"/>
      <c r="AE135" s="347"/>
      <c r="AF135" s="347"/>
      <c r="AG135" s="347"/>
      <c r="AH135" s="347"/>
      <c r="AI135" s="347"/>
      <c r="AJ135" s="347"/>
      <c r="AK135" s="347"/>
      <c r="AL135" s="347"/>
      <c r="AM135" s="347"/>
      <c r="AN135" s="347"/>
      <c r="AO135" s="347"/>
      <c r="AP135" s="347"/>
      <c r="AQ135" s="347"/>
      <c r="AR135" s="347"/>
      <c r="AS135" s="347"/>
      <c r="AT135" s="347"/>
      <c r="AU135" s="347"/>
      <c r="AV135" s="347"/>
      <c r="AW135" s="347"/>
      <c r="AX135" s="347"/>
      <c r="AY135" s="347"/>
      <c r="AZ135" s="347"/>
      <c r="BA135" s="347"/>
      <c r="BB135" s="347"/>
      <c r="BC135" s="347"/>
      <c r="BD135" s="347"/>
      <c r="BE135" s="347"/>
      <c r="BF135" s="347"/>
      <c r="BG135" s="347"/>
    </row>
    <row r="136" spans="2:59"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47"/>
      <c r="I136" s="347"/>
      <c r="J136" s="347"/>
      <c r="K136" s="347"/>
      <c r="L136" s="347"/>
      <c r="M136" s="347"/>
      <c r="N136" s="347"/>
      <c r="O136" s="347"/>
      <c r="P136" s="347"/>
      <c r="Q136" s="347"/>
      <c r="R136" s="347"/>
      <c r="S136" s="347"/>
      <c r="T136" s="347"/>
      <c r="U136" s="347"/>
      <c r="V136" s="347"/>
      <c r="W136" s="347"/>
      <c r="X136" s="347"/>
      <c r="Y136" s="347"/>
      <c r="Z136" s="347"/>
      <c r="AA136" s="347"/>
      <c r="AB136" s="347"/>
      <c r="AC136" s="347"/>
      <c r="AD136" s="347"/>
      <c r="AE136" s="347"/>
      <c r="AF136" s="347"/>
      <c r="AG136" s="347"/>
      <c r="AH136" s="347"/>
      <c r="AI136" s="347"/>
      <c r="AJ136" s="347"/>
      <c r="AK136" s="347"/>
      <c r="AL136" s="347"/>
      <c r="AM136" s="347"/>
      <c r="AN136" s="347"/>
      <c r="AO136" s="347"/>
      <c r="AP136" s="347"/>
      <c r="AQ136" s="347"/>
      <c r="AR136" s="347"/>
      <c r="AS136" s="347"/>
      <c r="AT136" s="347"/>
      <c r="AU136" s="347"/>
      <c r="AV136" s="347"/>
      <c r="AW136" s="347"/>
      <c r="AX136" s="347"/>
      <c r="AY136" s="347"/>
      <c r="AZ136" s="347"/>
      <c r="BA136" s="347"/>
      <c r="BB136" s="347"/>
      <c r="BC136" s="347"/>
      <c r="BD136" s="347"/>
      <c r="BE136" s="347"/>
      <c r="BF136" s="347"/>
      <c r="BG136" s="347"/>
    </row>
    <row r="137" spans="2:59"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47"/>
      <c r="I137" s="347"/>
      <c r="J137" s="347"/>
      <c r="K137" s="347"/>
      <c r="L137" s="347"/>
      <c r="M137" s="347"/>
      <c r="N137" s="347"/>
      <c r="O137" s="347"/>
      <c r="P137" s="347"/>
      <c r="Q137" s="347"/>
      <c r="R137" s="347"/>
      <c r="S137" s="347"/>
      <c r="T137" s="347"/>
      <c r="U137" s="347"/>
      <c r="V137" s="347"/>
      <c r="W137" s="347"/>
      <c r="X137" s="347"/>
      <c r="Y137" s="347"/>
      <c r="Z137" s="347"/>
      <c r="AA137" s="347"/>
      <c r="AB137" s="347"/>
      <c r="AC137" s="347"/>
      <c r="AD137" s="347"/>
      <c r="AE137" s="347"/>
      <c r="AF137" s="347"/>
      <c r="AG137" s="347"/>
      <c r="AH137" s="347"/>
      <c r="AI137" s="347"/>
      <c r="AJ137" s="347"/>
      <c r="AK137" s="347"/>
      <c r="AL137" s="347"/>
      <c r="AM137" s="347"/>
      <c r="AN137" s="347"/>
      <c r="AO137" s="347"/>
      <c r="AP137" s="347"/>
      <c r="AQ137" s="347"/>
      <c r="AR137" s="347"/>
      <c r="AS137" s="347"/>
      <c r="AT137" s="347"/>
      <c r="AU137" s="347"/>
      <c r="AV137" s="347"/>
      <c r="AW137" s="347"/>
      <c r="AX137" s="347"/>
      <c r="AY137" s="347"/>
      <c r="AZ137" s="347"/>
      <c r="BA137" s="347"/>
      <c r="BB137" s="347"/>
      <c r="BC137" s="347"/>
      <c r="BD137" s="347"/>
      <c r="BE137" s="347"/>
      <c r="BF137" s="347"/>
      <c r="BG137" s="347"/>
    </row>
    <row r="138" spans="2:59"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47"/>
      <c r="I138" s="347"/>
      <c r="J138" s="347"/>
      <c r="K138" s="347"/>
      <c r="L138" s="347"/>
      <c r="M138" s="347"/>
      <c r="N138" s="347"/>
      <c r="O138" s="347"/>
      <c r="P138" s="347"/>
      <c r="Q138" s="347"/>
      <c r="R138" s="347"/>
      <c r="S138" s="347"/>
      <c r="T138" s="347"/>
      <c r="U138" s="347"/>
      <c r="V138" s="347"/>
      <c r="W138" s="347"/>
      <c r="X138" s="347"/>
      <c r="Y138" s="347"/>
      <c r="Z138" s="347"/>
      <c r="AA138" s="347"/>
      <c r="AB138" s="347"/>
      <c r="AC138" s="347"/>
      <c r="AD138" s="347"/>
      <c r="AE138" s="347"/>
      <c r="AF138" s="347"/>
      <c r="AG138" s="347"/>
      <c r="AH138" s="347"/>
      <c r="AI138" s="347"/>
      <c r="AJ138" s="347"/>
      <c r="AK138" s="347"/>
      <c r="AL138" s="347"/>
      <c r="AM138" s="347"/>
      <c r="AN138" s="347"/>
      <c r="AO138" s="347"/>
      <c r="AP138" s="347"/>
      <c r="AQ138" s="347"/>
      <c r="AR138" s="347"/>
      <c r="AS138" s="347"/>
      <c r="AT138" s="347"/>
      <c r="AU138" s="347"/>
      <c r="AV138" s="347"/>
      <c r="AW138" s="347"/>
      <c r="AX138" s="347"/>
      <c r="AY138" s="347"/>
      <c r="AZ138" s="347"/>
      <c r="BA138" s="347"/>
      <c r="BB138" s="347"/>
      <c r="BC138" s="347"/>
      <c r="BD138" s="347"/>
      <c r="BE138" s="347"/>
      <c r="BF138" s="347"/>
      <c r="BG138" s="347"/>
    </row>
    <row r="139" spans="2:59"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47"/>
      <c r="I139" s="347"/>
      <c r="J139" s="347"/>
      <c r="K139" s="347"/>
      <c r="L139" s="347"/>
      <c r="M139" s="347"/>
      <c r="N139" s="347"/>
      <c r="O139" s="347"/>
      <c r="P139" s="347"/>
      <c r="Q139" s="347"/>
      <c r="R139" s="347"/>
      <c r="S139" s="347"/>
      <c r="T139" s="347"/>
      <c r="U139" s="347"/>
      <c r="V139" s="347"/>
      <c r="W139" s="347"/>
      <c r="X139" s="347"/>
      <c r="Y139" s="347"/>
      <c r="Z139" s="347"/>
      <c r="AA139" s="347"/>
      <c r="AB139" s="347"/>
      <c r="AC139" s="347"/>
      <c r="AD139" s="347"/>
      <c r="AE139" s="347"/>
      <c r="AF139" s="347"/>
      <c r="AG139" s="347"/>
      <c r="AH139" s="347"/>
      <c r="AI139" s="347"/>
      <c r="AJ139" s="347"/>
      <c r="AK139" s="347"/>
      <c r="AL139" s="347"/>
      <c r="AM139" s="347"/>
      <c r="AN139" s="347"/>
      <c r="AO139" s="347"/>
      <c r="AP139" s="347"/>
      <c r="AQ139" s="347"/>
      <c r="AR139" s="347"/>
      <c r="AS139" s="347"/>
      <c r="AT139" s="347"/>
      <c r="AU139" s="347"/>
      <c r="AV139" s="347"/>
      <c r="AW139" s="347"/>
      <c r="AX139" s="347"/>
      <c r="AY139" s="347"/>
      <c r="AZ139" s="347"/>
      <c r="BA139" s="347"/>
      <c r="BB139" s="347"/>
      <c r="BC139" s="347"/>
      <c r="BD139" s="347"/>
      <c r="BE139" s="347"/>
      <c r="BF139" s="347"/>
      <c r="BG139" s="347"/>
    </row>
    <row r="140" spans="2:59"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47"/>
      <c r="I140" s="347"/>
      <c r="J140" s="347"/>
      <c r="K140" s="347"/>
      <c r="L140" s="347"/>
      <c r="M140" s="347"/>
      <c r="N140" s="347"/>
      <c r="O140" s="347"/>
      <c r="P140" s="347"/>
      <c r="Q140" s="347"/>
      <c r="R140" s="347"/>
      <c r="S140" s="347"/>
      <c r="T140" s="347"/>
      <c r="U140" s="347"/>
      <c r="V140" s="347"/>
      <c r="W140" s="347"/>
      <c r="X140" s="347"/>
      <c r="Y140" s="347"/>
      <c r="Z140" s="347"/>
      <c r="AA140" s="347"/>
      <c r="AB140" s="347"/>
      <c r="AC140" s="347"/>
      <c r="AD140" s="347"/>
      <c r="AE140" s="347"/>
      <c r="AF140" s="347"/>
      <c r="AG140" s="347"/>
      <c r="AH140" s="347"/>
      <c r="AI140" s="347"/>
      <c r="AJ140" s="347"/>
      <c r="AK140" s="347"/>
      <c r="AL140" s="347"/>
      <c r="AM140" s="347"/>
      <c r="AN140" s="347"/>
      <c r="AO140" s="347"/>
      <c r="AP140" s="347"/>
      <c r="AQ140" s="347"/>
      <c r="AR140" s="347"/>
      <c r="AS140" s="347"/>
      <c r="AT140" s="347"/>
      <c r="AU140" s="347"/>
      <c r="AV140" s="347"/>
      <c r="AW140" s="347"/>
      <c r="AX140" s="347"/>
      <c r="AY140" s="347"/>
      <c r="AZ140" s="347"/>
      <c r="BA140" s="347"/>
      <c r="BB140" s="347"/>
      <c r="BC140" s="347"/>
      <c r="BD140" s="347"/>
      <c r="BE140" s="347"/>
      <c r="BF140" s="347"/>
      <c r="BG140" s="347"/>
    </row>
    <row r="141" spans="2:59"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47"/>
      <c r="I141" s="347"/>
      <c r="J141" s="347"/>
      <c r="K141" s="347"/>
      <c r="L141" s="347"/>
      <c r="M141" s="347"/>
      <c r="N141" s="347"/>
      <c r="O141" s="347"/>
      <c r="P141" s="347"/>
      <c r="Q141" s="347"/>
      <c r="R141" s="347"/>
      <c r="S141" s="347"/>
      <c r="T141" s="347"/>
      <c r="U141" s="347"/>
      <c r="V141" s="347"/>
      <c r="W141" s="347"/>
      <c r="X141" s="347"/>
      <c r="Y141" s="347"/>
      <c r="Z141" s="347"/>
      <c r="AA141" s="347"/>
      <c r="AB141" s="347"/>
      <c r="AC141" s="347"/>
      <c r="AD141" s="347"/>
      <c r="AE141" s="347"/>
      <c r="AF141" s="347"/>
      <c r="AG141" s="347"/>
      <c r="AH141" s="347"/>
      <c r="AI141" s="347"/>
      <c r="AJ141" s="347"/>
      <c r="AK141" s="347"/>
      <c r="AL141" s="347"/>
      <c r="AM141" s="347"/>
      <c r="AN141" s="347"/>
      <c r="AO141" s="347"/>
      <c r="AP141" s="347"/>
      <c r="AQ141" s="347"/>
      <c r="AR141" s="347"/>
      <c r="AS141" s="347"/>
      <c r="AT141" s="347"/>
      <c r="AU141" s="347"/>
      <c r="AV141" s="347"/>
      <c r="AW141" s="347"/>
      <c r="AX141" s="347"/>
      <c r="AY141" s="347"/>
      <c r="AZ141" s="347"/>
      <c r="BA141" s="347"/>
      <c r="BB141" s="347"/>
      <c r="BC141" s="347"/>
      <c r="BD141" s="347"/>
      <c r="BE141" s="347"/>
      <c r="BF141" s="347"/>
      <c r="BG141" s="347"/>
    </row>
    <row r="142" spans="2:59"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47"/>
      <c r="I142" s="347"/>
      <c r="J142" s="347"/>
      <c r="K142" s="347"/>
      <c r="L142" s="347"/>
      <c r="M142" s="347"/>
      <c r="N142" s="347"/>
      <c r="O142" s="347"/>
      <c r="P142" s="347"/>
      <c r="Q142" s="347"/>
      <c r="R142" s="347"/>
      <c r="S142" s="347"/>
      <c r="T142" s="347"/>
      <c r="U142" s="347"/>
      <c r="V142" s="347"/>
      <c r="W142" s="347"/>
      <c r="X142" s="347"/>
      <c r="Y142" s="347"/>
      <c r="Z142" s="347"/>
      <c r="AA142" s="347"/>
      <c r="AB142" s="347"/>
      <c r="AC142" s="347"/>
      <c r="AD142" s="347"/>
      <c r="AE142" s="347"/>
      <c r="AF142" s="347"/>
      <c r="AG142" s="347"/>
      <c r="AH142" s="347"/>
      <c r="AI142" s="347"/>
      <c r="AJ142" s="347"/>
      <c r="AK142" s="347"/>
      <c r="AL142" s="347"/>
      <c r="AM142" s="347"/>
      <c r="AN142" s="347"/>
      <c r="AO142" s="347"/>
      <c r="AP142" s="347"/>
      <c r="AQ142" s="347"/>
      <c r="AR142" s="347"/>
      <c r="AS142" s="347"/>
      <c r="AT142" s="347"/>
      <c r="AU142" s="347"/>
      <c r="AV142" s="347"/>
      <c r="AW142" s="347"/>
      <c r="AX142" s="347"/>
      <c r="AY142" s="347"/>
      <c r="AZ142" s="347"/>
      <c r="BA142" s="347"/>
      <c r="BB142" s="347"/>
      <c r="BC142" s="347"/>
      <c r="BD142" s="347"/>
      <c r="BE142" s="347"/>
      <c r="BF142" s="347"/>
      <c r="BG142" s="347"/>
    </row>
    <row r="143" spans="2:59"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47"/>
      <c r="I143" s="347"/>
      <c r="J143" s="347"/>
      <c r="K143" s="347"/>
      <c r="L143" s="347"/>
      <c r="M143" s="347"/>
      <c r="N143" s="347"/>
      <c r="O143" s="347"/>
      <c r="P143" s="347"/>
      <c r="Q143" s="347"/>
      <c r="R143" s="347"/>
      <c r="S143" s="347"/>
      <c r="T143" s="347"/>
      <c r="U143" s="347"/>
      <c r="V143" s="347"/>
      <c r="W143" s="347"/>
      <c r="X143" s="347"/>
      <c r="Y143" s="347"/>
      <c r="Z143" s="347"/>
      <c r="AA143" s="347"/>
      <c r="AB143" s="347"/>
      <c r="AC143" s="347"/>
      <c r="AD143" s="347"/>
      <c r="AE143" s="347"/>
      <c r="AF143" s="347"/>
      <c r="AG143" s="347"/>
      <c r="AH143" s="347"/>
      <c r="AI143" s="347"/>
      <c r="AJ143" s="347"/>
      <c r="AK143" s="347"/>
      <c r="AL143" s="347"/>
      <c r="AM143" s="347"/>
      <c r="AN143" s="347"/>
      <c r="AO143" s="347"/>
      <c r="AP143" s="347"/>
      <c r="AQ143" s="347"/>
      <c r="AR143" s="347"/>
      <c r="AS143" s="347"/>
      <c r="AT143" s="347"/>
      <c r="AU143" s="347"/>
      <c r="AV143" s="347"/>
      <c r="AW143" s="347"/>
      <c r="AX143" s="347"/>
      <c r="AY143" s="347"/>
      <c r="AZ143" s="347"/>
      <c r="BA143" s="347"/>
      <c r="BB143" s="347"/>
      <c r="BC143" s="347"/>
      <c r="BD143" s="347"/>
      <c r="BE143" s="347"/>
      <c r="BF143" s="347"/>
      <c r="BG143" s="347"/>
    </row>
    <row r="144" spans="2:59"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47"/>
      <c r="I144" s="347"/>
      <c r="J144" s="347"/>
      <c r="K144" s="347"/>
      <c r="L144" s="347"/>
      <c r="M144" s="347"/>
      <c r="N144" s="347"/>
      <c r="O144" s="347"/>
      <c r="P144" s="347"/>
      <c r="Q144" s="347"/>
      <c r="R144" s="347"/>
      <c r="S144" s="347"/>
      <c r="T144" s="347"/>
      <c r="U144" s="347"/>
      <c r="V144" s="347"/>
      <c r="W144" s="347"/>
      <c r="X144" s="347"/>
      <c r="Y144" s="347"/>
      <c r="Z144" s="347"/>
      <c r="AA144" s="347"/>
      <c r="AB144" s="347"/>
      <c r="AC144" s="347"/>
      <c r="AD144" s="347"/>
      <c r="AE144" s="347"/>
      <c r="AF144" s="347"/>
      <c r="AG144" s="347"/>
      <c r="AH144" s="347"/>
      <c r="AI144" s="347"/>
      <c r="AJ144" s="347"/>
      <c r="AK144" s="347"/>
      <c r="AL144" s="347"/>
      <c r="AM144" s="347"/>
      <c r="AN144" s="347"/>
      <c r="AO144" s="347"/>
      <c r="AP144" s="347"/>
      <c r="AQ144" s="347"/>
      <c r="AR144" s="347"/>
      <c r="AS144" s="347"/>
      <c r="AT144" s="347"/>
      <c r="AU144" s="347"/>
      <c r="AV144" s="347"/>
      <c r="AW144" s="347"/>
      <c r="AX144" s="347"/>
      <c r="AY144" s="347"/>
      <c r="AZ144" s="347"/>
      <c r="BA144" s="347"/>
      <c r="BB144" s="347"/>
      <c r="BC144" s="347"/>
      <c r="BD144" s="347"/>
      <c r="BE144" s="347"/>
      <c r="BF144" s="347"/>
      <c r="BG144" s="347"/>
    </row>
    <row r="145" spans="2:59"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47"/>
      <c r="I145" s="347"/>
      <c r="J145" s="347"/>
      <c r="K145" s="347"/>
      <c r="L145" s="347"/>
      <c r="M145" s="347"/>
      <c r="N145" s="347"/>
      <c r="O145" s="347"/>
      <c r="P145" s="347"/>
      <c r="Q145" s="347"/>
      <c r="R145" s="347"/>
      <c r="S145" s="347"/>
      <c r="T145" s="347"/>
      <c r="U145" s="347"/>
      <c r="V145" s="347"/>
      <c r="W145" s="347"/>
      <c r="X145" s="347"/>
      <c r="Y145" s="347"/>
      <c r="Z145" s="347"/>
      <c r="AA145" s="347"/>
      <c r="AB145" s="347"/>
      <c r="AC145" s="347"/>
      <c r="AD145" s="347"/>
      <c r="AE145" s="347"/>
      <c r="AF145" s="347"/>
      <c r="AG145" s="347"/>
      <c r="AH145" s="347"/>
      <c r="AI145" s="347"/>
      <c r="AJ145" s="347"/>
      <c r="AK145" s="347"/>
      <c r="AL145" s="347"/>
      <c r="AM145" s="347"/>
      <c r="AN145" s="347"/>
      <c r="AO145" s="347"/>
      <c r="AP145" s="347"/>
      <c r="AQ145" s="347"/>
      <c r="AR145" s="347"/>
      <c r="AS145" s="347"/>
      <c r="AT145" s="347"/>
      <c r="AU145" s="347"/>
      <c r="AV145" s="347"/>
      <c r="AW145" s="347"/>
      <c r="AX145" s="347"/>
      <c r="AY145" s="347"/>
      <c r="AZ145" s="347"/>
      <c r="BA145" s="347"/>
      <c r="BB145" s="347"/>
      <c r="BC145" s="347"/>
      <c r="BD145" s="347"/>
      <c r="BE145" s="347"/>
      <c r="BF145" s="347"/>
      <c r="BG145" s="347"/>
    </row>
    <row r="146" spans="2:59"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47"/>
      <c r="I146" s="347"/>
      <c r="J146" s="347"/>
      <c r="K146" s="347"/>
      <c r="L146" s="347"/>
      <c r="M146" s="347"/>
      <c r="N146" s="347"/>
      <c r="O146" s="347"/>
      <c r="P146" s="347"/>
      <c r="Q146" s="347"/>
      <c r="R146" s="347"/>
      <c r="S146" s="347"/>
      <c r="T146" s="347"/>
      <c r="U146" s="347"/>
      <c r="V146" s="347"/>
      <c r="W146" s="347"/>
      <c r="X146" s="347"/>
      <c r="Y146" s="347"/>
      <c r="Z146" s="347"/>
      <c r="AA146" s="347"/>
      <c r="AB146" s="347"/>
      <c r="AC146" s="347"/>
      <c r="AD146" s="347"/>
      <c r="AE146" s="347"/>
      <c r="AF146" s="347"/>
      <c r="AG146" s="347"/>
      <c r="AH146" s="347"/>
      <c r="AI146" s="347"/>
      <c r="AJ146" s="347"/>
      <c r="AK146" s="347"/>
      <c r="AL146" s="347"/>
      <c r="AM146" s="347"/>
      <c r="AN146" s="347"/>
      <c r="AO146" s="347"/>
      <c r="AP146" s="347"/>
      <c r="AQ146" s="347"/>
      <c r="AR146" s="347"/>
      <c r="AS146" s="347"/>
      <c r="AT146" s="347"/>
      <c r="AU146" s="347"/>
      <c r="AV146" s="347"/>
      <c r="AW146" s="347"/>
      <c r="AX146" s="347"/>
      <c r="AY146" s="347"/>
      <c r="AZ146" s="347"/>
      <c r="BA146" s="347"/>
      <c r="BB146" s="347"/>
      <c r="BC146" s="347"/>
      <c r="BD146" s="347"/>
      <c r="BE146" s="347"/>
      <c r="BF146" s="347"/>
      <c r="BG146" s="347"/>
    </row>
    <row r="147" spans="2:59"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47"/>
      <c r="I147" s="347"/>
      <c r="J147" s="347"/>
      <c r="K147" s="347"/>
      <c r="L147" s="347"/>
      <c r="M147" s="347"/>
      <c r="N147" s="347"/>
      <c r="O147" s="347"/>
      <c r="P147" s="347"/>
      <c r="Q147" s="347"/>
      <c r="R147" s="347"/>
      <c r="S147" s="347"/>
      <c r="T147" s="347"/>
      <c r="U147" s="347"/>
      <c r="V147" s="347"/>
      <c r="W147" s="347"/>
      <c r="X147" s="347"/>
      <c r="Y147" s="347"/>
      <c r="Z147" s="347"/>
      <c r="AA147" s="347"/>
      <c r="AB147" s="347"/>
      <c r="AC147" s="347"/>
      <c r="AD147" s="347"/>
      <c r="AE147" s="347"/>
      <c r="AF147" s="347"/>
      <c r="AG147" s="347"/>
      <c r="AH147" s="347"/>
      <c r="AI147" s="347"/>
      <c r="AJ147" s="347"/>
      <c r="AK147" s="347"/>
      <c r="AL147" s="347"/>
      <c r="AM147" s="347"/>
      <c r="AN147" s="347"/>
      <c r="AO147" s="347"/>
      <c r="AP147" s="347"/>
      <c r="AQ147" s="347"/>
      <c r="AR147" s="347"/>
      <c r="AS147" s="347"/>
      <c r="AT147" s="347"/>
      <c r="AU147" s="347"/>
      <c r="AV147" s="347"/>
      <c r="AW147" s="347"/>
      <c r="AX147" s="347"/>
      <c r="AY147" s="347"/>
      <c r="AZ147" s="347"/>
      <c r="BA147" s="347"/>
      <c r="BB147" s="347"/>
      <c r="BC147" s="347"/>
      <c r="BD147" s="347"/>
      <c r="BE147" s="347"/>
      <c r="BF147" s="347"/>
      <c r="BG147" s="347"/>
    </row>
    <row r="148" spans="2:59"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47"/>
      <c r="I148" s="347"/>
      <c r="J148" s="347"/>
      <c r="K148" s="347"/>
      <c r="L148" s="347"/>
      <c r="M148" s="347"/>
      <c r="N148" s="347"/>
      <c r="O148" s="347"/>
      <c r="P148" s="347"/>
      <c r="Q148" s="347"/>
      <c r="R148" s="347"/>
      <c r="S148" s="347"/>
      <c r="T148" s="347"/>
      <c r="U148" s="347"/>
      <c r="V148" s="347"/>
      <c r="W148" s="347"/>
      <c r="X148" s="347"/>
      <c r="Y148" s="347"/>
      <c r="Z148" s="347"/>
      <c r="AA148" s="347"/>
      <c r="AB148" s="347"/>
      <c r="AC148" s="347"/>
      <c r="AD148" s="347"/>
      <c r="AE148" s="347"/>
      <c r="AF148" s="347"/>
      <c r="AG148" s="347"/>
      <c r="AH148" s="347"/>
      <c r="AI148" s="347"/>
      <c r="AJ148" s="347"/>
      <c r="AK148" s="347"/>
      <c r="AL148" s="347"/>
      <c r="AM148" s="347"/>
      <c r="AN148" s="347"/>
      <c r="AO148" s="347"/>
      <c r="AP148" s="347"/>
      <c r="AQ148" s="347"/>
      <c r="AR148" s="347"/>
      <c r="AS148" s="347"/>
      <c r="AT148" s="347"/>
      <c r="AU148" s="347"/>
      <c r="AV148" s="347"/>
      <c r="AW148" s="347"/>
      <c r="AX148" s="347"/>
      <c r="AY148" s="347"/>
      <c r="AZ148" s="347"/>
      <c r="BA148" s="347"/>
      <c r="BB148" s="347"/>
      <c r="BC148" s="347"/>
      <c r="BD148" s="347"/>
      <c r="BE148" s="347"/>
      <c r="BF148" s="347"/>
      <c r="BG148" s="347"/>
    </row>
    <row r="149" spans="2:59"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47"/>
      <c r="I149" s="347"/>
      <c r="J149" s="347"/>
      <c r="K149" s="347"/>
      <c r="L149" s="347"/>
      <c r="M149" s="347"/>
      <c r="N149" s="347"/>
      <c r="O149" s="347"/>
      <c r="P149" s="347"/>
      <c r="Q149" s="347"/>
      <c r="R149" s="347"/>
      <c r="S149" s="347"/>
      <c r="T149" s="347"/>
      <c r="U149" s="347"/>
      <c r="V149" s="347"/>
      <c r="W149" s="347"/>
      <c r="X149" s="347"/>
      <c r="Y149" s="347"/>
      <c r="Z149" s="347"/>
      <c r="AA149" s="347"/>
      <c r="AB149" s="347"/>
      <c r="AC149" s="347"/>
      <c r="AD149" s="347"/>
      <c r="AE149" s="347"/>
      <c r="AF149" s="347"/>
      <c r="AG149" s="347"/>
      <c r="AH149" s="347"/>
      <c r="AI149" s="347"/>
      <c r="AJ149" s="347"/>
      <c r="AK149" s="347"/>
      <c r="AL149" s="347"/>
      <c r="AM149" s="347"/>
      <c r="AN149" s="347"/>
      <c r="AO149" s="347"/>
      <c r="AP149" s="347"/>
      <c r="AQ149" s="347"/>
      <c r="AR149" s="347"/>
      <c r="AS149" s="347"/>
      <c r="AT149" s="347"/>
      <c r="AU149" s="347"/>
      <c r="AV149" s="347"/>
      <c r="AW149" s="347"/>
      <c r="AX149" s="347"/>
      <c r="AY149" s="347"/>
      <c r="AZ149" s="347"/>
      <c r="BA149" s="347"/>
      <c r="BB149" s="347"/>
      <c r="BC149" s="347"/>
      <c r="BD149" s="347"/>
      <c r="BE149" s="347"/>
      <c r="BF149" s="347"/>
      <c r="BG149" s="347"/>
    </row>
    <row r="150" spans="2:59"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47"/>
      <c r="I150" s="347"/>
      <c r="J150" s="347"/>
      <c r="K150" s="347"/>
      <c r="L150" s="347"/>
      <c r="M150" s="347"/>
      <c r="N150" s="347"/>
      <c r="O150" s="347"/>
      <c r="P150" s="347"/>
      <c r="Q150" s="347"/>
      <c r="R150" s="347"/>
      <c r="S150" s="347"/>
      <c r="T150" s="347"/>
      <c r="U150" s="347"/>
      <c r="V150" s="347"/>
      <c r="W150" s="347"/>
      <c r="X150" s="347"/>
      <c r="Y150" s="347"/>
      <c r="Z150" s="347"/>
      <c r="AA150" s="347"/>
      <c r="AB150" s="347"/>
      <c r="AC150" s="347"/>
      <c r="AD150" s="347"/>
      <c r="AE150" s="347"/>
      <c r="AF150" s="347"/>
      <c r="AG150" s="347"/>
      <c r="AH150" s="347"/>
      <c r="AI150" s="347"/>
      <c r="AJ150" s="347"/>
      <c r="AK150" s="347"/>
      <c r="AL150" s="347"/>
      <c r="AM150" s="347"/>
      <c r="AN150" s="347"/>
      <c r="AO150" s="347"/>
      <c r="AP150" s="347"/>
      <c r="AQ150" s="347"/>
      <c r="AR150" s="347"/>
      <c r="AS150" s="347"/>
      <c r="AT150" s="347"/>
      <c r="AU150" s="347"/>
      <c r="AV150" s="347"/>
      <c r="AW150" s="347"/>
      <c r="AX150" s="347"/>
      <c r="AY150" s="347"/>
      <c r="AZ150" s="347"/>
      <c r="BA150" s="347"/>
      <c r="BB150" s="347"/>
      <c r="BC150" s="347"/>
      <c r="BD150" s="347"/>
      <c r="BE150" s="347"/>
      <c r="BF150" s="347"/>
      <c r="BG150" s="347"/>
    </row>
    <row r="151" spans="2:59"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47"/>
      <c r="I151" s="347"/>
      <c r="J151" s="347"/>
      <c r="K151" s="347"/>
      <c r="L151" s="347"/>
      <c r="M151" s="347"/>
      <c r="N151" s="347"/>
      <c r="O151" s="347"/>
      <c r="P151" s="347"/>
      <c r="Q151" s="347"/>
      <c r="R151" s="347"/>
      <c r="S151" s="347"/>
      <c r="T151" s="347"/>
      <c r="U151" s="347"/>
      <c r="V151" s="347"/>
      <c r="W151" s="347"/>
      <c r="X151" s="347"/>
      <c r="Y151" s="347"/>
      <c r="Z151" s="347"/>
      <c r="AA151" s="347"/>
      <c r="AB151" s="347"/>
      <c r="AC151" s="347"/>
      <c r="AD151" s="347"/>
      <c r="AE151" s="347"/>
      <c r="AF151" s="347"/>
      <c r="AG151" s="347"/>
      <c r="AH151" s="347"/>
      <c r="AI151" s="347"/>
      <c r="AJ151" s="347"/>
      <c r="AK151" s="347"/>
      <c r="AL151" s="347"/>
      <c r="AM151" s="347"/>
      <c r="AN151" s="347"/>
      <c r="AO151" s="347"/>
      <c r="AP151" s="347"/>
      <c r="AQ151" s="347"/>
      <c r="AR151" s="347"/>
      <c r="AS151" s="347"/>
      <c r="AT151" s="347"/>
      <c r="AU151" s="347"/>
      <c r="AV151" s="347"/>
      <c r="AW151" s="347"/>
      <c r="AX151" s="347"/>
      <c r="AY151" s="347"/>
      <c r="AZ151" s="347"/>
      <c r="BA151" s="347"/>
      <c r="BB151" s="347"/>
      <c r="BC151" s="347"/>
      <c r="BD151" s="347"/>
      <c r="BE151" s="347"/>
      <c r="BF151" s="347"/>
      <c r="BG151" s="347"/>
    </row>
    <row r="152" spans="2:59"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47"/>
      <c r="I152" s="347"/>
      <c r="J152" s="347"/>
      <c r="K152" s="347"/>
      <c r="L152" s="347"/>
      <c r="M152" s="347"/>
      <c r="N152" s="347"/>
      <c r="O152" s="347"/>
      <c r="P152" s="347"/>
      <c r="Q152" s="347"/>
      <c r="R152" s="347"/>
      <c r="S152" s="347"/>
      <c r="T152" s="347"/>
      <c r="U152" s="347"/>
      <c r="V152" s="347"/>
      <c r="W152" s="347"/>
      <c r="X152" s="347"/>
      <c r="Y152" s="347"/>
      <c r="Z152" s="347"/>
      <c r="AA152" s="347"/>
      <c r="AB152" s="347"/>
      <c r="AC152" s="347"/>
      <c r="AD152" s="347"/>
      <c r="AE152" s="347"/>
      <c r="AF152" s="347"/>
      <c r="AG152" s="347"/>
      <c r="AH152" s="347"/>
      <c r="AI152" s="347"/>
      <c r="AJ152" s="347"/>
      <c r="AK152" s="347"/>
      <c r="AL152" s="347"/>
      <c r="AM152" s="347"/>
      <c r="AN152" s="347"/>
      <c r="AO152" s="347"/>
      <c r="AP152" s="347"/>
      <c r="AQ152" s="347"/>
      <c r="AR152" s="347"/>
      <c r="AS152" s="347"/>
      <c r="AT152" s="347"/>
      <c r="AU152" s="347"/>
      <c r="AV152" s="347"/>
      <c r="AW152" s="347"/>
      <c r="AX152" s="347"/>
      <c r="AY152" s="347"/>
      <c r="AZ152" s="347"/>
      <c r="BA152" s="347"/>
      <c r="BB152" s="347"/>
      <c r="BC152" s="347"/>
      <c r="BD152" s="347"/>
      <c r="BE152" s="347"/>
      <c r="BF152" s="347"/>
      <c r="BG152" s="347"/>
    </row>
    <row r="153" spans="2:59"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47"/>
      <c r="I153" s="347"/>
      <c r="J153" s="347"/>
      <c r="K153" s="347"/>
      <c r="L153" s="347"/>
      <c r="M153" s="347"/>
      <c r="N153" s="347"/>
      <c r="O153" s="347"/>
      <c r="P153" s="347"/>
      <c r="Q153" s="347"/>
      <c r="R153" s="347"/>
      <c r="S153" s="347"/>
      <c r="T153" s="347"/>
      <c r="U153" s="347"/>
      <c r="V153" s="347"/>
      <c r="W153" s="347"/>
      <c r="X153" s="347"/>
      <c r="Y153" s="347"/>
      <c r="Z153" s="347"/>
      <c r="AA153" s="347"/>
      <c r="AB153" s="347"/>
      <c r="AC153" s="347"/>
      <c r="AD153" s="347"/>
      <c r="AE153" s="347"/>
      <c r="AF153" s="347"/>
      <c r="AG153" s="347"/>
      <c r="AH153" s="347"/>
      <c r="AI153" s="347"/>
      <c r="AJ153" s="347"/>
      <c r="AK153" s="347"/>
      <c r="AL153" s="347"/>
      <c r="AM153" s="347"/>
      <c r="AN153" s="347"/>
      <c r="AO153" s="347"/>
      <c r="AP153" s="347"/>
      <c r="AQ153" s="347"/>
      <c r="AR153" s="347"/>
      <c r="AS153" s="347"/>
      <c r="AT153" s="347"/>
      <c r="AU153" s="347"/>
      <c r="AV153" s="347"/>
      <c r="AW153" s="347"/>
      <c r="AX153" s="347"/>
      <c r="AY153" s="347"/>
      <c r="AZ153" s="347"/>
      <c r="BA153" s="347"/>
      <c r="BB153" s="347"/>
      <c r="BC153" s="347"/>
      <c r="BD153" s="347"/>
      <c r="BE153" s="347"/>
      <c r="BF153" s="347"/>
      <c r="BG153" s="347"/>
    </row>
    <row r="154" spans="2:59"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47"/>
      <c r="I154" s="347"/>
      <c r="J154" s="347"/>
      <c r="K154" s="347"/>
      <c r="L154" s="347"/>
      <c r="M154" s="347"/>
      <c r="N154" s="347"/>
      <c r="O154" s="347"/>
      <c r="P154" s="347"/>
      <c r="Q154" s="347"/>
      <c r="R154" s="347"/>
      <c r="S154" s="347"/>
      <c r="T154" s="347"/>
      <c r="U154" s="347"/>
      <c r="V154" s="347"/>
      <c r="W154" s="347"/>
      <c r="X154" s="347"/>
      <c r="Y154" s="347"/>
      <c r="Z154" s="347"/>
      <c r="AA154" s="347"/>
      <c r="AB154" s="347"/>
      <c r="AC154" s="347"/>
      <c r="AD154" s="347"/>
      <c r="AE154" s="347"/>
      <c r="AF154" s="347"/>
      <c r="AG154" s="347"/>
      <c r="AH154" s="347"/>
      <c r="AI154" s="347"/>
      <c r="AJ154" s="347"/>
      <c r="AK154" s="347"/>
      <c r="AL154" s="347"/>
      <c r="AM154" s="347"/>
      <c r="AN154" s="347"/>
      <c r="AO154" s="347"/>
      <c r="AP154" s="347"/>
      <c r="AQ154" s="347"/>
      <c r="AR154" s="347"/>
      <c r="AS154" s="347"/>
      <c r="AT154" s="347"/>
      <c r="AU154" s="347"/>
      <c r="AV154" s="347"/>
      <c r="AW154" s="347"/>
      <c r="AX154" s="347"/>
      <c r="AY154" s="347"/>
      <c r="AZ154" s="347"/>
      <c r="BA154" s="347"/>
      <c r="BB154" s="347"/>
      <c r="BC154" s="347"/>
      <c r="BD154" s="347"/>
      <c r="BE154" s="347"/>
      <c r="BF154" s="347"/>
      <c r="BG154" s="347"/>
    </row>
    <row r="155" spans="2:59"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row>
    <row r="156" spans="2:59"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47"/>
      <c r="I156" s="347"/>
      <c r="J156" s="347"/>
      <c r="K156" s="347"/>
      <c r="L156" s="347"/>
      <c r="M156" s="347"/>
      <c r="N156" s="347"/>
      <c r="O156" s="347"/>
      <c r="P156" s="347"/>
      <c r="Q156" s="347"/>
      <c r="R156" s="347"/>
      <c r="S156" s="347"/>
      <c r="T156" s="347"/>
      <c r="U156" s="347"/>
      <c r="V156" s="347"/>
      <c r="W156" s="347"/>
      <c r="X156" s="347"/>
      <c r="Y156" s="347"/>
      <c r="Z156" s="347"/>
      <c r="AA156" s="347"/>
      <c r="AB156" s="347"/>
      <c r="AC156" s="347"/>
      <c r="AD156" s="347"/>
      <c r="AE156" s="347"/>
      <c r="AF156" s="347"/>
      <c r="AG156" s="347"/>
      <c r="AH156" s="347"/>
      <c r="AI156" s="347"/>
      <c r="AJ156" s="347"/>
      <c r="AK156" s="347"/>
      <c r="AL156" s="347"/>
      <c r="AM156" s="347"/>
      <c r="AN156" s="347"/>
      <c r="AO156" s="347"/>
      <c r="AP156" s="347"/>
      <c r="AQ156" s="347"/>
      <c r="AR156" s="347"/>
      <c r="AS156" s="347"/>
      <c r="AT156" s="347"/>
      <c r="AU156" s="347"/>
      <c r="AV156" s="347"/>
      <c r="AW156" s="347"/>
      <c r="AX156" s="347"/>
      <c r="AY156" s="347"/>
      <c r="AZ156" s="347"/>
      <c r="BA156" s="347"/>
      <c r="BB156" s="347"/>
      <c r="BC156" s="347"/>
      <c r="BD156" s="347"/>
      <c r="BE156" s="347"/>
      <c r="BF156" s="347"/>
      <c r="BG156" s="347"/>
    </row>
    <row r="157" spans="2:59"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47"/>
      <c r="I157" s="347"/>
      <c r="J157" s="347"/>
      <c r="K157" s="347"/>
      <c r="L157" s="347"/>
      <c r="M157" s="347"/>
      <c r="N157" s="347"/>
      <c r="O157" s="347"/>
      <c r="P157" s="347"/>
      <c r="Q157" s="347"/>
      <c r="R157" s="347"/>
      <c r="S157" s="347"/>
      <c r="T157" s="347"/>
      <c r="U157" s="347"/>
      <c r="V157" s="347"/>
      <c r="W157" s="347"/>
      <c r="X157" s="347"/>
      <c r="Y157" s="347"/>
      <c r="Z157" s="347"/>
      <c r="AA157" s="347"/>
      <c r="AB157" s="347"/>
      <c r="AC157" s="347"/>
      <c r="AD157" s="347"/>
      <c r="AE157" s="347"/>
      <c r="AF157" s="347"/>
      <c r="AG157" s="347"/>
      <c r="AH157" s="347"/>
      <c r="AI157" s="347"/>
      <c r="AJ157" s="347"/>
      <c r="AK157" s="347"/>
      <c r="AL157" s="347"/>
      <c r="AM157" s="347"/>
      <c r="AN157" s="347"/>
      <c r="AO157" s="347"/>
      <c r="AP157" s="347"/>
      <c r="AQ157" s="347"/>
      <c r="AR157" s="347"/>
      <c r="AS157" s="347"/>
      <c r="AT157" s="347"/>
      <c r="AU157" s="347"/>
      <c r="AV157" s="347"/>
      <c r="AW157" s="347"/>
      <c r="AX157" s="347"/>
      <c r="AY157" s="347"/>
      <c r="AZ157" s="347"/>
      <c r="BA157" s="347"/>
      <c r="BB157" s="347"/>
      <c r="BC157" s="347"/>
      <c r="BD157" s="347"/>
      <c r="BE157" s="347"/>
      <c r="BF157" s="347"/>
      <c r="BG157" s="347"/>
    </row>
    <row r="158" spans="2:59"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47"/>
      <c r="I158" s="347"/>
      <c r="J158" s="347"/>
      <c r="K158" s="347"/>
      <c r="L158" s="347"/>
      <c r="M158" s="347"/>
      <c r="N158" s="347"/>
      <c r="O158" s="347"/>
      <c r="P158" s="347"/>
      <c r="Q158" s="347"/>
      <c r="R158" s="347"/>
      <c r="S158" s="347"/>
      <c r="T158" s="347"/>
      <c r="U158" s="347"/>
      <c r="V158" s="347"/>
      <c r="W158" s="347"/>
      <c r="X158" s="347"/>
      <c r="Y158" s="347"/>
      <c r="Z158" s="347"/>
      <c r="AA158" s="347"/>
      <c r="AB158" s="347"/>
      <c r="AC158" s="347"/>
      <c r="AD158" s="347"/>
      <c r="AE158" s="347"/>
      <c r="AF158" s="347"/>
      <c r="AG158" s="347"/>
      <c r="AH158" s="347"/>
      <c r="AI158" s="347"/>
      <c r="AJ158" s="347"/>
      <c r="AK158" s="347"/>
      <c r="AL158" s="347"/>
      <c r="AM158" s="347"/>
      <c r="AN158" s="347"/>
      <c r="AO158" s="347"/>
      <c r="AP158" s="347"/>
      <c r="AQ158" s="347"/>
      <c r="AR158" s="347"/>
      <c r="AS158" s="347"/>
      <c r="AT158" s="347"/>
      <c r="AU158" s="347"/>
      <c r="AV158" s="347"/>
      <c r="AW158" s="347"/>
      <c r="AX158" s="347"/>
      <c r="AY158" s="347"/>
      <c r="AZ158" s="347"/>
      <c r="BA158" s="347"/>
      <c r="BB158" s="347"/>
      <c r="BC158" s="347"/>
      <c r="BD158" s="347"/>
      <c r="BE158" s="347"/>
      <c r="BF158" s="347"/>
      <c r="BG158" s="347"/>
    </row>
    <row r="159" spans="2:59"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47"/>
      <c r="I159" s="347"/>
      <c r="J159" s="347"/>
      <c r="K159" s="347"/>
      <c r="L159" s="347"/>
      <c r="M159" s="347"/>
      <c r="N159" s="347"/>
      <c r="O159" s="347"/>
      <c r="P159" s="347"/>
      <c r="Q159" s="347"/>
      <c r="R159" s="347"/>
      <c r="S159" s="347"/>
      <c r="T159" s="347"/>
      <c r="U159" s="347"/>
      <c r="V159" s="347"/>
      <c r="W159" s="347"/>
      <c r="X159" s="347"/>
      <c r="Y159" s="347"/>
      <c r="Z159" s="347"/>
      <c r="AA159" s="347"/>
      <c r="AB159" s="347"/>
      <c r="AC159" s="347"/>
      <c r="AD159" s="347"/>
      <c r="AE159" s="347"/>
      <c r="AF159" s="347"/>
      <c r="AG159" s="347"/>
      <c r="AH159" s="347"/>
      <c r="AI159" s="347"/>
      <c r="AJ159" s="347"/>
      <c r="AK159" s="347"/>
      <c r="AL159" s="347"/>
      <c r="AM159" s="347"/>
      <c r="AN159" s="347"/>
      <c r="AO159" s="347"/>
      <c r="AP159" s="347"/>
      <c r="AQ159" s="347"/>
      <c r="AR159" s="347"/>
      <c r="AS159" s="347"/>
      <c r="AT159" s="347"/>
      <c r="AU159" s="347"/>
      <c r="AV159" s="347"/>
      <c r="AW159" s="347"/>
      <c r="AX159" s="347"/>
      <c r="AY159" s="347"/>
      <c r="AZ159" s="347"/>
      <c r="BA159" s="347"/>
      <c r="BB159" s="347"/>
      <c r="BC159" s="347"/>
      <c r="BD159" s="347"/>
      <c r="BE159" s="347"/>
      <c r="BF159" s="347"/>
      <c r="BG159" s="347"/>
    </row>
    <row r="160" spans="2:59"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47"/>
      <c r="I160" s="347"/>
      <c r="J160" s="347"/>
      <c r="K160" s="347"/>
      <c r="L160" s="347"/>
      <c r="M160" s="347"/>
      <c r="N160" s="347"/>
      <c r="O160" s="347"/>
      <c r="P160" s="347"/>
      <c r="Q160" s="347"/>
      <c r="R160" s="347"/>
      <c r="S160" s="347"/>
      <c r="T160" s="347"/>
      <c r="U160" s="347"/>
      <c r="V160" s="347"/>
      <c r="W160" s="347"/>
      <c r="X160" s="347"/>
      <c r="Y160" s="347"/>
      <c r="Z160" s="347"/>
      <c r="AA160" s="347"/>
      <c r="AB160" s="347"/>
      <c r="AC160" s="347"/>
      <c r="AD160" s="347"/>
      <c r="AE160" s="347"/>
      <c r="AF160" s="347"/>
      <c r="AG160" s="347"/>
      <c r="AH160" s="347"/>
      <c r="AI160" s="347"/>
      <c r="AJ160" s="347"/>
      <c r="AK160" s="347"/>
      <c r="AL160" s="347"/>
      <c r="AM160" s="347"/>
      <c r="AN160" s="347"/>
      <c r="AO160" s="347"/>
      <c r="AP160" s="347"/>
      <c r="AQ160" s="347"/>
      <c r="AR160" s="347"/>
      <c r="AS160" s="347"/>
      <c r="AT160" s="347"/>
      <c r="AU160" s="347"/>
      <c r="AV160" s="347"/>
      <c r="AW160" s="347"/>
      <c r="AX160" s="347"/>
      <c r="AY160" s="347"/>
      <c r="AZ160" s="347"/>
      <c r="BA160" s="347"/>
      <c r="BB160" s="347"/>
      <c r="BC160" s="347"/>
      <c r="BD160" s="347"/>
      <c r="BE160" s="347"/>
      <c r="BF160" s="347"/>
      <c r="BG160" s="347"/>
    </row>
    <row r="161" spans="2:59"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47"/>
      <c r="I161" s="347"/>
      <c r="J161" s="347"/>
      <c r="K161" s="347"/>
      <c r="L161" s="347"/>
      <c r="M161" s="347"/>
      <c r="N161" s="347"/>
      <c r="O161" s="347"/>
      <c r="P161" s="347"/>
      <c r="Q161" s="347"/>
      <c r="R161" s="347"/>
      <c r="S161" s="347"/>
      <c r="T161" s="347"/>
      <c r="U161" s="347"/>
      <c r="V161" s="347"/>
      <c r="W161" s="347"/>
      <c r="X161" s="347"/>
      <c r="Y161" s="347"/>
      <c r="Z161" s="347"/>
      <c r="AA161" s="347"/>
      <c r="AB161" s="347"/>
      <c r="AC161" s="347"/>
      <c r="AD161" s="347"/>
      <c r="AE161" s="347"/>
      <c r="AF161" s="347"/>
      <c r="AG161" s="347"/>
      <c r="AH161" s="347"/>
      <c r="AI161" s="347"/>
      <c r="AJ161" s="347"/>
      <c r="AK161" s="347"/>
      <c r="AL161" s="347"/>
      <c r="AM161" s="347"/>
      <c r="AN161" s="347"/>
      <c r="AO161" s="347"/>
      <c r="AP161" s="347"/>
      <c r="AQ161" s="347"/>
      <c r="AR161" s="347"/>
      <c r="AS161" s="347"/>
      <c r="AT161" s="347"/>
      <c r="AU161" s="347"/>
      <c r="AV161" s="347"/>
      <c r="AW161" s="347"/>
      <c r="AX161" s="347"/>
      <c r="AY161" s="347"/>
      <c r="AZ161" s="347"/>
      <c r="BA161" s="347"/>
      <c r="BB161" s="347"/>
      <c r="BC161" s="347"/>
      <c r="BD161" s="347"/>
      <c r="BE161" s="347"/>
      <c r="BF161" s="347"/>
      <c r="BG161" s="347"/>
    </row>
    <row r="162" spans="2:59"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47"/>
      <c r="I162" s="347"/>
      <c r="J162" s="347"/>
      <c r="K162" s="347"/>
      <c r="L162" s="347"/>
      <c r="M162" s="347"/>
      <c r="N162" s="347"/>
      <c r="O162" s="347"/>
      <c r="P162" s="347"/>
      <c r="Q162" s="347"/>
      <c r="R162" s="347"/>
      <c r="S162" s="347"/>
      <c r="T162" s="347"/>
      <c r="U162" s="347"/>
      <c r="V162" s="347"/>
      <c r="W162" s="347"/>
      <c r="X162" s="347"/>
      <c r="Y162" s="347"/>
      <c r="Z162" s="347"/>
      <c r="AA162" s="347"/>
      <c r="AB162" s="347"/>
      <c r="AC162" s="347"/>
      <c r="AD162" s="347"/>
      <c r="AE162" s="347"/>
      <c r="AF162" s="347"/>
      <c r="AG162" s="347"/>
      <c r="AH162" s="347"/>
      <c r="AI162" s="347"/>
      <c r="AJ162" s="347"/>
      <c r="AK162" s="347"/>
      <c r="AL162" s="347"/>
      <c r="AM162" s="347"/>
      <c r="AN162" s="347"/>
      <c r="AO162" s="347"/>
      <c r="AP162" s="347"/>
      <c r="AQ162" s="347"/>
      <c r="AR162" s="347"/>
      <c r="AS162" s="347"/>
      <c r="AT162" s="347"/>
      <c r="AU162" s="347"/>
      <c r="AV162" s="347"/>
      <c r="AW162" s="347"/>
      <c r="AX162" s="347"/>
      <c r="AY162" s="347"/>
      <c r="AZ162" s="347"/>
      <c r="BA162" s="347"/>
      <c r="BB162" s="347"/>
      <c r="BC162" s="347"/>
      <c r="BD162" s="347"/>
      <c r="BE162" s="347"/>
      <c r="BF162" s="347"/>
      <c r="BG162" s="347"/>
    </row>
    <row r="163" spans="2:59"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47"/>
      <c r="I163" s="347"/>
      <c r="J163" s="347"/>
      <c r="K163" s="347"/>
      <c r="L163" s="347"/>
      <c r="M163" s="347"/>
      <c r="N163" s="347"/>
      <c r="O163" s="347"/>
      <c r="P163" s="347"/>
      <c r="Q163" s="347"/>
      <c r="R163" s="347"/>
      <c r="S163" s="347"/>
      <c r="T163" s="347"/>
      <c r="U163" s="347"/>
      <c r="V163" s="347"/>
      <c r="W163" s="347"/>
      <c r="X163" s="347"/>
      <c r="Y163" s="347"/>
      <c r="Z163" s="347"/>
      <c r="AA163" s="347"/>
      <c r="AB163" s="347"/>
      <c r="AC163" s="347"/>
      <c r="AD163" s="347"/>
      <c r="AE163" s="347"/>
      <c r="AF163" s="347"/>
      <c r="AG163" s="347"/>
      <c r="AH163" s="347"/>
      <c r="AI163" s="347"/>
      <c r="AJ163" s="347"/>
      <c r="AK163" s="347"/>
      <c r="AL163" s="347"/>
      <c r="AM163" s="347"/>
      <c r="AN163" s="347"/>
      <c r="AO163" s="347"/>
      <c r="AP163" s="347"/>
      <c r="AQ163" s="347"/>
      <c r="AR163" s="347"/>
      <c r="AS163" s="347"/>
      <c r="AT163" s="347"/>
      <c r="AU163" s="347"/>
      <c r="AV163" s="347"/>
      <c r="AW163" s="347"/>
      <c r="AX163" s="347"/>
      <c r="AY163" s="347"/>
      <c r="AZ163" s="347"/>
      <c r="BA163" s="347"/>
      <c r="BB163" s="347"/>
      <c r="BC163" s="347"/>
      <c r="BD163" s="347"/>
      <c r="BE163" s="347"/>
      <c r="BF163" s="347"/>
      <c r="BG163" s="347"/>
    </row>
    <row r="164" spans="2:59"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47"/>
      <c r="I164" s="347"/>
      <c r="J164" s="347"/>
      <c r="K164" s="347"/>
      <c r="L164" s="347"/>
      <c r="M164" s="347"/>
      <c r="N164" s="347"/>
      <c r="O164" s="347"/>
      <c r="P164" s="347"/>
      <c r="Q164" s="347"/>
      <c r="R164" s="347"/>
      <c r="S164" s="347"/>
      <c r="T164" s="347"/>
      <c r="U164" s="347"/>
      <c r="V164" s="347"/>
      <c r="W164" s="347"/>
      <c r="X164" s="347"/>
      <c r="Y164" s="347"/>
      <c r="Z164" s="347"/>
      <c r="AA164" s="347"/>
      <c r="AB164" s="347"/>
      <c r="AC164" s="347"/>
      <c r="AD164" s="347"/>
      <c r="AE164" s="347"/>
      <c r="AF164" s="347"/>
      <c r="AG164" s="347"/>
      <c r="AH164" s="347"/>
      <c r="AI164" s="347"/>
      <c r="AJ164" s="347"/>
      <c r="AK164" s="347"/>
      <c r="AL164" s="347"/>
      <c r="AM164" s="347"/>
      <c r="AN164" s="347"/>
      <c r="AO164" s="347"/>
      <c r="AP164" s="347"/>
      <c r="AQ164" s="347"/>
      <c r="AR164" s="347"/>
      <c r="AS164" s="347"/>
      <c r="AT164" s="347"/>
      <c r="AU164" s="347"/>
      <c r="AV164" s="347"/>
      <c r="AW164" s="347"/>
      <c r="AX164" s="347"/>
      <c r="AY164" s="347"/>
      <c r="AZ164" s="347"/>
      <c r="BA164" s="347"/>
      <c r="BB164" s="347"/>
      <c r="BC164" s="347"/>
      <c r="BD164" s="347"/>
      <c r="BE164" s="347"/>
      <c r="BF164" s="347"/>
      <c r="BG164" s="347"/>
    </row>
    <row r="165" spans="2:59"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47"/>
      <c r="I165" s="347"/>
      <c r="J165" s="347"/>
      <c r="K165" s="347"/>
      <c r="L165" s="347"/>
      <c r="M165" s="347"/>
      <c r="N165" s="347"/>
      <c r="O165" s="347"/>
      <c r="P165" s="347"/>
      <c r="Q165" s="347"/>
      <c r="R165" s="347"/>
      <c r="S165" s="347"/>
      <c r="T165" s="347"/>
      <c r="U165" s="347"/>
      <c r="V165" s="347"/>
      <c r="W165" s="347"/>
      <c r="X165" s="347"/>
      <c r="Y165" s="347"/>
      <c r="Z165" s="347"/>
      <c r="AA165" s="347"/>
      <c r="AB165" s="347"/>
      <c r="AC165" s="347"/>
      <c r="AD165" s="347"/>
      <c r="AE165" s="347"/>
      <c r="AF165" s="347"/>
      <c r="AG165" s="347"/>
      <c r="AH165" s="347"/>
      <c r="AI165" s="347"/>
      <c r="AJ165" s="347"/>
      <c r="AK165" s="347"/>
      <c r="AL165" s="347"/>
      <c r="AM165" s="347"/>
      <c r="AN165" s="347"/>
      <c r="AO165" s="347"/>
      <c r="AP165" s="347"/>
      <c r="AQ165" s="347"/>
      <c r="AR165" s="347"/>
      <c r="AS165" s="347"/>
      <c r="AT165" s="347"/>
      <c r="AU165" s="347"/>
      <c r="AV165" s="347"/>
      <c r="AW165" s="347"/>
      <c r="AX165" s="347"/>
      <c r="AY165" s="347"/>
      <c r="AZ165" s="347"/>
      <c r="BA165" s="347"/>
      <c r="BB165" s="347"/>
      <c r="BC165" s="347"/>
      <c r="BD165" s="347"/>
      <c r="BE165" s="347"/>
      <c r="BF165" s="347"/>
      <c r="BG165" s="347"/>
    </row>
    <row r="166" spans="2:59"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47"/>
      <c r="I166" s="347"/>
      <c r="J166" s="347"/>
      <c r="K166" s="347"/>
      <c r="L166" s="347"/>
      <c r="M166" s="347"/>
      <c r="N166" s="347"/>
      <c r="O166" s="347"/>
      <c r="P166" s="347"/>
      <c r="Q166" s="347"/>
      <c r="R166" s="347"/>
      <c r="S166" s="347"/>
      <c r="T166" s="347"/>
      <c r="U166" s="347"/>
      <c r="V166" s="347"/>
      <c r="W166" s="347"/>
      <c r="X166" s="347"/>
      <c r="Y166" s="347"/>
      <c r="Z166" s="347"/>
      <c r="AA166" s="347"/>
      <c r="AB166" s="347"/>
      <c r="AC166" s="347"/>
      <c r="AD166" s="347"/>
      <c r="AE166" s="347"/>
      <c r="AF166" s="347"/>
      <c r="AG166" s="347"/>
      <c r="AH166" s="347"/>
      <c r="AI166" s="347"/>
      <c r="AJ166" s="347"/>
      <c r="AK166" s="347"/>
      <c r="AL166" s="347"/>
      <c r="AM166" s="347"/>
      <c r="AN166" s="347"/>
      <c r="AO166" s="347"/>
      <c r="AP166" s="347"/>
      <c r="AQ166" s="347"/>
      <c r="AR166" s="347"/>
      <c r="AS166" s="347"/>
      <c r="AT166" s="347"/>
      <c r="AU166" s="347"/>
      <c r="AV166" s="347"/>
      <c r="AW166" s="347"/>
      <c r="AX166" s="347"/>
      <c r="AY166" s="347"/>
      <c r="AZ166" s="347"/>
      <c r="BA166" s="347"/>
      <c r="BB166" s="347"/>
      <c r="BC166" s="347"/>
      <c r="BD166" s="347"/>
      <c r="BE166" s="347"/>
      <c r="BF166" s="347"/>
      <c r="BG166" s="347"/>
    </row>
    <row r="167" spans="2:59"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47"/>
      <c r="I167" s="347"/>
      <c r="J167" s="347"/>
      <c r="K167" s="347"/>
      <c r="L167" s="347"/>
      <c r="M167" s="347"/>
      <c r="N167" s="347"/>
      <c r="O167" s="347"/>
      <c r="P167" s="347"/>
      <c r="Q167" s="347"/>
      <c r="R167" s="347"/>
      <c r="S167" s="347"/>
      <c r="T167" s="347"/>
      <c r="U167" s="347"/>
      <c r="V167" s="347"/>
      <c r="W167" s="347"/>
      <c r="X167" s="347"/>
      <c r="Y167" s="347"/>
      <c r="Z167" s="347"/>
      <c r="AA167" s="347"/>
      <c r="AB167" s="347"/>
      <c r="AC167" s="347"/>
      <c r="AD167" s="347"/>
      <c r="AE167" s="347"/>
      <c r="AF167" s="347"/>
      <c r="AG167" s="347"/>
      <c r="AH167" s="347"/>
      <c r="AI167" s="347"/>
      <c r="AJ167" s="347"/>
      <c r="AK167" s="347"/>
      <c r="AL167" s="347"/>
      <c r="AM167" s="347"/>
      <c r="AN167" s="347"/>
      <c r="AO167" s="347"/>
      <c r="AP167" s="347"/>
      <c r="AQ167" s="347"/>
      <c r="AR167" s="347"/>
      <c r="AS167" s="347"/>
      <c r="AT167" s="347"/>
      <c r="AU167" s="347"/>
      <c r="AV167" s="347"/>
      <c r="AW167" s="347"/>
      <c r="AX167" s="347"/>
      <c r="AY167" s="347"/>
      <c r="AZ167" s="347"/>
      <c r="BA167" s="347"/>
      <c r="BB167" s="347"/>
      <c r="BC167" s="347"/>
      <c r="BD167" s="347"/>
      <c r="BE167" s="347"/>
      <c r="BF167" s="347"/>
      <c r="BG167" s="347"/>
    </row>
    <row r="168" spans="2:59"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47"/>
      <c r="I168" s="347"/>
      <c r="J168" s="347"/>
      <c r="K168" s="347"/>
      <c r="L168" s="347"/>
      <c r="M168" s="347"/>
      <c r="N168" s="347"/>
      <c r="O168" s="347"/>
      <c r="P168" s="347"/>
      <c r="Q168" s="347"/>
      <c r="R168" s="347"/>
      <c r="S168" s="347"/>
      <c r="T168" s="347"/>
      <c r="U168" s="347"/>
      <c r="V168" s="347"/>
      <c r="W168" s="347"/>
      <c r="X168" s="347"/>
      <c r="Y168" s="347"/>
      <c r="Z168" s="347"/>
      <c r="AA168" s="347"/>
      <c r="AB168" s="347"/>
      <c r="AC168" s="347"/>
      <c r="AD168" s="347"/>
      <c r="AE168" s="347"/>
      <c r="AF168" s="347"/>
      <c r="AG168" s="347"/>
      <c r="AH168" s="347"/>
      <c r="AI168" s="347"/>
      <c r="AJ168" s="347"/>
      <c r="AK168" s="347"/>
      <c r="AL168" s="347"/>
      <c r="AM168" s="347"/>
      <c r="AN168" s="347"/>
      <c r="AO168" s="347"/>
      <c r="AP168" s="347"/>
      <c r="AQ168" s="347"/>
      <c r="AR168" s="347"/>
      <c r="AS168" s="347"/>
      <c r="AT168" s="347"/>
      <c r="AU168" s="347"/>
      <c r="AV168" s="347"/>
      <c r="AW168" s="347"/>
      <c r="AX168" s="347"/>
      <c r="AY168" s="347"/>
      <c r="AZ168" s="347"/>
      <c r="BA168" s="347"/>
      <c r="BB168" s="347"/>
      <c r="BC168" s="347"/>
      <c r="BD168" s="347"/>
      <c r="BE168" s="347"/>
      <c r="BF168" s="347"/>
      <c r="BG168" s="347"/>
    </row>
    <row r="169" spans="2:59"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47"/>
      <c r="I169" s="347"/>
      <c r="J169" s="347"/>
      <c r="K169" s="347"/>
      <c r="L169" s="347"/>
      <c r="M169" s="347"/>
      <c r="N169" s="347"/>
      <c r="O169" s="347"/>
      <c r="P169" s="347"/>
      <c r="Q169" s="347"/>
      <c r="R169" s="347"/>
      <c r="S169" s="347"/>
      <c r="T169" s="347"/>
      <c r="U169" s="347"/>
      <c r="V169" s="347"/>
      <c r="W169" s="347"/>
      <c r="X169" s="347"/>
      <c r="Y169" s="347"/>
      <c r="Z169" s="347"/>
      <c r="AA169" s="347"/>
      <c r="AB169" s="347"/>
      <c r="AC169" s="347"/>
      <c r="AD169" s="347"/>
      <c r="AE169" s="347"/>
      <c r="AF169" s="347"/>
      <c r="AG169" s="347"/>
      <c r="AH169" s="347"/>
      <c r="AI169" s="347"/>
      <c r="AJ169" s="347"/>
      <c r="AK169" s="347"/>
      <c r="AL169" s="347"/>
      <c r="AM169" s="347"/>
      <c r="AN169" s="347"/>
      <c r="AO169" s="347"/>
      <c r="AP169" s="347"/>
      <c r="AQ169" s="347"/>
      <c r="AR169" s="347"/>
      <c r="AS169" s="347"/>
      <c r="AT169" s="347"/>
      <c r="AU169" s="347"/>
      <c r="AV169" s="347"/>
      <c r="AW169" s="347"/>
      <c r="AX169" s="347"/>
      <c r="AY169" s="347"/>
      <c r="AZ169" s="347"/>
      <c r="BA169" s="347"/>
      <c r="BB169" s="347"/>
      <c r="BC169" s="347"/>
      <c r="BD169" s="347"/>
      <c r="BE169" s="347"/>
      <c r="BF169" s="347"/>
      <c r="BG169" s="347"/>
    </row>
    <row r="170" spans="2:59"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47"/>
      <c r="I170" s="347"/>
      <c r="J170" s="347"/>
      <c r="K170" s="347"/>
      <c r="L170" s="347"/>
      <c r="M170" s="347"/>
      <c r="N170" s="347"/>
      <c r="O170" s="347"/>
      <c r="P170" s="347"/>
      <c r="Q170" s="347"/>
      <c r="R170" s="347"/>
      <c r="S170" s="347"/>
      <c r="T170" s="347"/>
      <c r="U170" s="347"/>
      <c r="V170" s="347"/>
      <c r="W170" s="347"/>
      <c r="X170" s="347"/>
      <c r="Y170" s="347"/>
      <c r="Z170" s="347"/>
      <c r="AA170" s="347"/>
      <c r="AB170" s="347"/>
      <c r="AC170" s="347"/>
      <c r="AD170" s="347"/>
      <c r="AE170" s="347"/>
      <c r="AF170" s="347"/>
      <c r="AG170" s="347"/>
      <c r="AH170" s="347"/>
      <c r="AI170" s="347"/>
      <c r="AJ170" s="347"/>
      <c r="AK170" s="347"/>
      <c r="AL170" s="347"/>
      <c r="AM170" s="347"/>
      <c r="AN170" s="347"/>
      <c r="AO170" s="347"/>
      <c r="AP170" s="347"/>
      <c r="AQ170" s="347"/>
      <c r="AR170" s="347"/>
      <c r="AS170" s="347"/>
      <c r="AT170" s="347"/>
      <c r="AU170" s="347"/>
      <c r="AV170" s="347"/>
      <c r="AW170" s="347"/>
      <c r="AX170" s="347"/>
      <c r="AY170" s="347"/>
      <c r="AZ170" s="347"/>
      <c r="BA170" s="347"/>
      <c r="BB170" s="347"/>
      <c r="BC170" s="347"/>
      <c r="BD170" s="347"/>
      <c r="BE170" s="347"/>
      <c r="BF170" s="347"/>
      <c r="BG170" s="347"/>
    </row>
    <row r="171" spans="2:59"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47"/>
      <c r="I171" s="347"/>
      <c r="J171" s="347"/>
      <c r="K171" s="347"/>
      <c r="L171" s="347"/>
      <c r="M171" s="347"/>
      <c r="N171" s="347"/>
      <c r="O171" s="347"/>
      <c r="P171" s="347"/>
      <c r="Q171" s="347"/>
      <c r="R171" s="347"/>
      <c r="S171" s="347"/>
      <c r="T171" s="347"/>
      <c r="U171" s="347"/>
      <c r="V171" s="347"/>
      <c r="W171" s="347"/>
      <c r="X171" s="347"/>
      <c r="Y171" s="347"/>
      <c r="Z171" s="347"/>
      <c r="AA171" s="347"/>
      <c r="AB171" s="347"/>
      <c r="AC171" s="347"/>
      <c r="AD171" s="347"/>
      <c r="AE171" s="347"/>
      <c r="AF171" s="347"/>
      <c r="AG171" s="347"/>
      <c r="AH171" s="347"/>
      <c r="AI171" s="347"/>
      <c r="AJ171" s="347"/>
      <c r="AK171" s="347"/>
      <c r="AL171" s="347"/>
      <c r="AM171" s="347"/>
      <c r="AN171" s="347"/>
      <c r="AO171" s="347"/>
      <c r="AP171" s="347"/>
      <c r="AQ171" s="347"/>
      <c r="AR171" s="347"/>
      <c r="AS171" s="347"/>
      <c r="AT171" s="347"/>
      <c r="AU171" s="347"/>
      <c r="AV171" s="347"/>
      <c r="AW171" s="347"/>
      <c r="AX171" s="347"/>
      <c r="AY171" s="347"/>
      <c r="AZ171" s="347"/>
      <c r="BA171" s="347"/>
      <c r="BB171" s="347"/>
      <c r="BC171" s="347"/>
      <c r="BD171" s="347"/>
      <c r="BE171" s="347"/>
      <c r="BF171" s="347"/>
      <c r="BG171" s="347"/>
    </row>
    <row r="172" spans="2:59"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47"/>
      <c r="I172" s="347"/>
      <c r="J172" s="347"/>
      <c r="K172" s="347"/>
      <c r="L172" s="347"/>
      <c r="M172" s="347"/>
      <c r="N172" s="347"/>
      <c r="O172" s="347"/>
      <c r="P172" s="347"/>
      <c r="Q172" s="347"/>
      <c r="R172" s="347"/>
      <c r="S172" s="347"/>
      <c r="T172" s="347"/>
      <c r="U172" s="347"/>
      <c r="V172" s="347"/>
      <c r="W172" s="347"/>
      <c r="X172" s="347"/>
      <c r="Y172" s="347"/>
      <c r="Z172" s="347"/>
      <c r="AA172" s="347"/>
      <c r="AB172" s="347"/>
      <c r="AC172" s="347"/>
      <c r="AD172" s="347"/>
      <c r="AE172" s="347"/>
      <c r="AF172" s="347"/>
      <c r="AG172" s="347"/>
      <c r="AH172" s="347"/>
      <c r="AI172" s="347"/>
      <c r="AJ172" s="347"/>
      <c r="AK172" s="347"/>
      <c r="AL172" s="347"/>
      <c r="AM172" s="347"/>
      <c r="AN172" s="347"/>
      <c r="AO172" s="347"/>
      <c r="AP172" s="347"/>
      <c r="AQ172" s="347"/>
      <c r="AR172" s="347"/>
      <c r="AS172" s="347"/>
      <c r="AT172" s="347"/>
      <c r="AU172" s="347"/>
      <c r="AV172" s="347"/>
      <c r="AW172" s="347"/>
      <c r="AX172" s="347"/>
      <c r="AY172" s="347"/>
      <c r="AZ172" s="347"/>
      <c r="BA172" s="347"/>
      <c r="BB172" s="347"/>
      <c r="BC172" s="347"/>
      <c r="BD172" s="347"/>
      <c r="BE172" s="347"/>
      <c r="BF172" s="347"/>
      <c r="BG172" s="347"/>
    </row>
    <row r="173" spans="2:59"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47"/>
      <c r="I173" s="347"/>
      <c r="J173" s="347"/>
      <c r="K173" s="347"/>
      <c r="L173" s="347"/>
      <c r="M173" s="347"/>
      <c r="N173" s="347"/>
      <c r="O173" s="347"/>
      <c r="P173" s="347"/>
      <c r="Q173" s="347"/>
      <c r="R173" s="347"/>
      <c r="S173" s="347"/>
      <c r="T173" s="347"/>
      <c r="U173" s="347"/>
      <c r="V173" s="347"/>
      <c r="W173" s="347"/>
      <c r="X173" s="347"/>
      <c r="Y173" s="347"/>
      <c r="Z173" s="347"/>
      <c r="AA173" s="347"/>
      <c r="AB173" s="347"/>
      <c r="AC173" s="347"/>
      <c r="AD173" s="347"/>
      <c r="AE173" s="347"/>
      <c r="AF173" s="347"/>
      <c r="AG173" s="347"/>
      <c r="AH173" s="347"/>
      <c r="AI173" s="347"/>
      <c r="AJ173" s="347"/>
      <c r="AK173" s="347"/>
      <c r="AL173" s="347"/>
      <c r="AM173" s="347"/>
      <c r="AN173" s="347"/>
      <c r="AO173" s="347"/>
      <c r="AP173" s="347"/>
      <c r="AQ173" s="347"/>
      <c r="AR173" s="347"/>
      <c r="AS173" s="347"/>
      <c r="AT173" s="347"/>
      <c r="AU173" s="347"/>
      <c r="AV173" s="347"/>
      <c r="AW173" s="347"/>
      <c r="AX173" s="347"/>
      <c r="AY173" s="347"/>
      <c r="AZ173" s="347"/>
      <c r="BA173" s="347"/>
      <c r="BB173" s="347"/>
      <c r="BC173" s="347"/>
      <c r="BD173" s="347"/>
      <c r="BE173" s="347"/>
      <c r="BF173" s="347"/>
      <c r="BG173" s="347"/>
    </row>
    <row r="174" spans="2:59"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47"/>
      <c r="I174" s="347"/>
      <c r="J174" s="347"/>
      <c r="K174" s="347"/>
      <c r="L174" s="347"/>
      <c r="M174" s="347"/>
      <c r="N174" s="347"/>
      <c r="O174" s="347"/>
      <c r="P174" s="347"/>
      <c r="Q174" s="347"/>
      <c r="R174" s="347"/>
      <c r="S174" s="347"/>
      <c r="T174" s="347"/>
      <c r="U174" s="347"/>
      <c r="V174" s="347"/>
      <c r="W174" s="347"/>
      <c r="X174" s="347"/>
      <c r="Y174" s="347"/>
      <c r="Z174" s="347"/>
      <c r="AA174" s="347"/>
      <c r="AB174" s="347"/>
      <c r="AC174" s="347"/>
      <c r="AD174" s="347"/>
      <c r="AE174" s="347"/>
      <c r="AF174" s="347"/>
      <c r="AG174" s="347"/>
      <c r="AH174" s="347"/>
      <c r="AI174" s="347"/>
      <c r="AJ174" s="347"/>
      <c r="AK174" s="347"/>
      <c r="AL174" s="347"/>
      <c r="AM174" s="347"/>
      <c r="AN174" s="347"/>
      <c r="AO174" s="347"/>
      <c r="AP174" s="347"/>
      <c r="AQ174" s="347"/>
      <c r="AR174" s="347"/>
      <c r="AS174" s="347"/>
      <c r="AT174" s="347"/>
      <c r="AU174" s="347"/>
      <c r="AV174" s="347"/>
      <c r="AW174" s="347"/>
      <c r="AX174" s="347"/>
      <c r="AY174" s="347"/>
      <c r="AZ174" s="347"/>
      <c r="BA174" s="347"/>
      <c r="BB174" s="347"/>
      <c r="BC174" s="347"/>
      <c r="BD174" s="347"/>
      <c r="BE174" s="347"/>
      <c r="BF174" s="347"/>
      <c r="BG174" s="347"/>
    </row>
    <row r="175" spans="2:59"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47"/>
      <c r="I175" s="347"/>
      <c r="J175" s="347"/>
      <c r="K175" s="347"/>
      <c r="L175" s="347"/>
      <c r="M175" s="347"/>
      <c r="N175" s="347"/>
      <c r="O175" s="347"/>
      <c r="P175" s="347"/>
      <c r="Q175" s="347"/>
      <c r="R175" s="347"/>
      <c r="S175" s="347"/>
      <c r="T175" s="347"/>
      <c r="U175" s="347"/>
      <c r="V175" s="347"/>
      <c r="W175" s="347"/>
      <c r="X175" s="347"/>
      <c r="Y175" s="347"/>
      <c r="Z175" s="347"/>
      <c r="AA175" s="347"/>
      <c r="AB175" s="347"/>
      <c r="AC175" s="347"/>
      <c r="AD175" s="347"/>
      <c r="AE175" s="347"/>
      <c r="AF175" s="347"/>
      <c r="AG175" s="347"/>
      <c r="AH175" s="347"/>
      <c r="AI175" s="347"/>
      <c r="AJ175" s="347"/>
      <c r="AK175" s="347"/>
      <c r="AL175" s="347"/>
      <c r="AM175" s="347"/>
      <c r="AN175" s="347"/>
      <c r="AO175" s="347"/>
      <c r="AP175" s="347"/>
      <c r="AQ175" s="347"/>
      <c r="AR175" s="347"/>
      <c r="AS175" s="347"/>
      <c r="AT175" s="347"/>
      <c r="AU175" s="347"/>
      <c r="AV175" s="347"/>
      <c r="AW175" s="347"/>
      <c r="AX175" s="347"/>
      <c r="AY175" s="347"/>
      <c r="AZ175" s="347"/>
      <c r="BA175" s="347"/>
      <c r="BB175" s="347"/>
      <c r="BC175" s="347"/>
      <c r="BD175" s="347"/>
      <c r="BE175" s="347"/>
      <c r="BF175" s="347"/>
      <c r="BG175" s="347"/>
    </row>
    <row r="176" spans="2:59"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47"/>
      <c r="I176" s="347"/>
      <c r="J176" s="347"/>
      <c r="K176" s="347"/>
      <c r="L176" s="347"/>
      <c r="M176" s="347"/>
      <c r="N176" s="347"/>
      <c r="O176" s="347"/>
      <c r="P176" s="347"/>
      <c r="Q176" s="347"/>
      <c r="R176" s="347"/>
      <c r="S176" s="347"/>
      <c r="T176" s="347"/>
      <c r="U176" s="347"/>
      <c r="V176" s="347"/>
      <c r="W176" s="347"/>
      <c r="X176" s="347"/>
      <c r="Y176" s="347"/>
      <c r="Z176" s="347"/>
      <c r="AA176" s="347"/>
      <c r="AB176" s="347"/>
      <c r="AC176" s="347"/>
      <c r="AD176" s="347"/>
      <c r="AE176" s="347"/>
      <c r="AF176" s="347"/>
      <c r="AG176" s="347"/>
      <c r="AH176" s="347"/>
      <c r="AI176" s="347"/>
      <c r="AJ176" s="347"/>
      <c r="AK176" s="347"/>
      <c r="AL176" s="347"/>
      <c r="AM176" s="347"/>
      <c r="AN176" s="347"/>
      <c r="AO176" s="347"/>
      <c r="AP176" s="347"/>
      <c r="AQ176" s="347"/>
      <c r="AR176" s="347"/>
      <c r="AS176" s="347"/>
      <c r="AT176" s="347"/>
      <c r="AU176" s="347"/>
      <c r="AV176" s="347"/>
      <c r="AW176" s="347"/>
      <c r="AX176" s="347"/>
      <c r="AY176" s="347"/>
      <c r="AZ176" s="347"/>
      <c r="BA176" s="347"/>
      <c r="BB176" s="347"/>
      <c r="BC176" s="347"/>
      <c r="BD176" s="347"/>
      <c r="BE176" s="347"/>
      <c r="BF176" s="347"/>
      <c r="BG176" s="347"/>
    </row>
    <row r="177" spans="2:59"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47"/>
      <c r="I177" s="347"/>
      <c r="J177" s="347"/>
      <c r="K177" s="347"/>
      <c r="L177" s="347"/>
      <c r="M177" s="347"/>
      <c r="N177" s="347"/>
      <c r="O177" s="347"/>
      <c r="P177" s="347"/>
      <c r="Q177" s="347"/>
      <c r="R177" s="347"/>
      <c r="S177" s="347"/>
      <c r="T177" s="347"/>
      <c r="U177" s="347"/>
      <c r="V177" s="347"/>
      <c r="W177" s="347"/>
      <c r="X177" s="347"/>
      <c r="Y177" s="347"/>
      <c r="Z177" s="347"/>
      <c r="AA177" s="347"/>
      <c r="AB177" s="347"/>
      <c r="AC177" s="347"/>
      <c r="AD177" s="347"/>
      <c r="AE177" s="347"/>
      <c r="AF177" s="347"/>
      <c r="AG177" s="347"/>
      <c r="AH177" s="347"/>
      <c r="AI177" s="347"/>
      <c r="AJ177" s="347"/>
      <c r="AK177" s="347"/>
      <c r="AL177" s="347"/>
      <c r="AM177" s="347"/>
      <c r="AN177" s="347"/>
      <c r="AO177" s="347"/>
      <c r="AP177" s="347"/>
      <c r="AQ177" s="347"/>
      <c r="AR177" s="347"/>
      <c r="AS177" s="347"/>
      <c r="AT177" s="347"/>
      <c r="AU177" s="347"/>
      <c r="AV177" s="347"/>
      <c r="AW177" s="347"/>
      <c r="AX177" s="347"/>
      <c r="AY177" s="347"/>
      <c r="AZ177" s="347"/>
      <c r="BA177" s="347"/>
      <c r="BB177" s="347"/>
      <c r="BC177" s="347"/>
      <c r="BD177" s="347"/>
      <c r="BE177" s="347"/>
      <c r="BF177" s="347"/>
      <c r="BG177" s="347"/>
    </row>
    <row r="178" spans="2:59"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47"/>
      <c r="I178" s="347"/>
      <c r="J178" s="347"/>
      <c r="K178" s="347"/>
      <c r="L178" s="347"/>
      <c r="M178" s="347"/>
      <c r="N178" s="347"/>
      <c r="O178" s="347"/>
      <c r="P178" s="347"/>
      <c r="Q178" s="347"/>
      <c r="R178" s="347"/>
      <c r="S178" s="347"/>
      <c r="T178" s="347"/>
      <c r="U178" s="347"/>
      <c r="V178" s="347"/>
      <c r="W178" s="347"/>
      <c r="X178" s="347"/>
      <c r="Y178" s="347"/>
      <c r="Z178" s="347"/>
      <c r="AA178" s="347"/>
      <c r="AB178" s="347"/>
      <c r="AC178" s="347"/>
      <c r="AD178" s="347"/>
      <c r="AE178" s="347"/>
      <c r="AF178" s="347"/>
      <c r="AG178" s="347"/>
      <c r="AH178" s="347"/>
      <c r="AI178" s="347"/>
      <c r="AJ178" s="347"/>
      <c r="AK178" s="347"/>
      <c r="AL178" s="347"/>
      <c r="AM178" s="347"/>
      <c r="AN178" s="347"/>
      <c r="AO178" s="347"/>
      <c r="AP178" s="347"/>
      <c r="AQ178" s="347"/>
      <c r="AR178" s="347"/>
      <c r="AS178" s="347"/>
      <c r="AT178" s="347"/>
      <c r="AU178" s="347"/>
      <c r="AV178" s="347"/>
      <c r="AW178" s="347"/>
      <c r="AX178" s="347"/>
      <c r="AY178" s="347"/>
      <c r="AZ178" s="347"/>
      <c r="BA178" s="347"/>
      <c r="BB178" s="347"/>
      <c r="BC178" s="347"/>
      <c r="BD178" s="347"/>
      <c r="BE178" s="347"/>
      <c r="BF178" s="347"/>
      <c r="BG178" s="347"/>
    </row>
    <row r="179" spans="2:59"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47"/>
      <c r="I179" s="347"/>
      <c r="J179" s="347"/>
      <c r="K179" s="347"/>
      <c r="L179" s="347"/>
      <c r="M179" s="347"/>
      <c r="N179" s="347"/>
      <c r="O179" s="347"/>
      <c r="P179" s="347"/>
      <c r="Q179" s="347"/>
      <c r="R179" s="347"/>
      <c r="S179" s="347"/>
      <c r="T179" s="347"/>
      <c r="U179" s="347"/>
      <c r="V179" s="347"/>
      <c r="W179" s="347"/>
      <c r="X179" s="347"/>
      <c r="Y179" s="347"/>
      <c r="Z179" s="347"/>
      <c r="AA179" s="347"/>
      <c r="AB179" s="347"/>
      <c r="AC179" s="347"/>
      <c r="AD179" s="347"/>
      <c r="AE179" s="347"/>
      <c r="AF179" s="347"/>
      <c r="AG179" s="347"/>
      <c r="AH179" s="347"/>
      <c r="AI179" s="347"/>
      <c r="AJ179" s="347"/>
      <c r="AK179" s="347"/>
      <c r="AL179" s="347"/>
      <c r="AM179" s="347"/>
      <c r="AN179" s="347"/>
      <c r="AO179" s="347"/>
      <c r="AP179" s="347"/>
      <c r="AQ179" s="347"/>
      <c r="AR179" s="347"/>
      <c r="AS179" s="347"/>
      <c r="AT179" s="347"/>
      <c r="AU179" s="347"/>
      <c r="AV179" s="347"/>
      <c r="AW179" s="347"/>
      <c r="AX179" s="347"/>
      <c r="AY179" s="347"/>
      <c r="AZ179" s="347"/>
      <c r="BA179" s="347"/>
      <c r="BB179" s="347"/>
      <c r="BC179" s="347"/>
      <c r="BD179" s="347"/>
      <c r="BE179" s="347"/>
      <c r="BF179" s="347"/>
      <c r="BG179" s="347"/>
    </row>
    <row r="180" spans="2:59"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47"/>
      <c r="I180" s="347"/>
      <c r="J180" s="347"/>
      <c r="K180" s="347"/>
      <c r="L180" s="347"/>
      <c r="M180" s="347"/>
      <c r="N180" s="347"/>
      <c r="O180" s="347"/>
      <c r="P180" s="347"/>
      <c r="Q180" s="347"/>
      <c r="R180" s="347"/>
      <c r="S180" s="347"/>
      <c r="T180" s="347"/>
      <c r="U180" s="347"/>
      <c r="V180" s="347"/>
      <c r="W180" s="347"/>
      <c r="X180" s="347"/>
      <c r="Y180" s="347"/>
      <c r="Z180" s="347"/>
      <c r="AA180" s="347"/>
      <c r="AB180" s="347"/>
      <c r="AC180" s="347"/>
      <c r="AD180" s="347"/>
      <c r="AE180" s="347"/>
      <c r="AF180" s="347"/>
      <c r="AG180" s="347"/>
      <c r="AH180" s="347"/>
      <c r="AI180" s="347"/>
      <c r="AJ180" s="347"/>
      <c r="AK180" s="347"/>
      <c r="AL180" s="347"/>
      <c r="AM180" s="347"/>
      <c r="AN180" s="347"/>
      <c r="AO180" s="347"/>
      <c r="AP180" s="347"/>
      <c r="AQ180" s="347"/>
      <c r="AR180" s="347"/>
      <c r="AS180" s="347"/>
      <c r="AT180" s="347"/>
      <c r="AU180" s="347"/>
      <c r="AV180" s="347"/>
      <c r="AW180" s="347"/>
      <c r="AX180" s="347"/>
      <c r="AY180" s="347"/>
      <c r="AZ180" s="347"/>
      <c r="BA180" s="347"/>
      <c r="BB180" s="347"/>
      <c r="BC180" s="347"/>
      <c r="BD180" s="347"/>
      <c r="BE180" s="347"/>
      <c r="BF180" s="347"/>
      <c r="BG180" s="347"/>
    </row>
    <row r="181" spans="2:59"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47"/>
      <c r="I181" s="347"/>
      <c r="J181" s="347"/>
      <c r="K181" s="347"/>
      <c r="L181" s="347"/>
      <c r="M181" s="347"/>
      <c r="N181" s="347"/>
      <c r="O181" s="347"/>
      <c r="P181" s="347"/>
      <c r="Q181" s="347"/>
      <c r="R181" s="347"/>
      <c r="S181" s="347"/>
      <c r="T181" s="347"/>
      <c r="U181" s="347"/>
      <c r="V181" s="347"/>
      <c r="W181" s="347"/>
      <c r="X181" s="347"/>
      <c r="Y181" s="347"/>
      <c r="Z181" s="347"/>
      <c r="AA181" s="347"/>
      <c r="AB181" s="347"/>
      <c r="AC181" s="347"/>
      <c r="AD181" s="347"/>
      <c r="AE181" s="347"/>
      <c r="AF181" s="347"/>
      <c r="AG181" s="347"/>
      <c r="AH181" s="347"/>
      <c r="AI181" s="347"/>
      <c r="AJ181" s="347"/>
      <c r="AK181" s="347"/>
      <c r="AL181" s="347"/>
      <c r="AM181" s="347"/>
      <c r="AN181" s="347"/>
      <c r="AO181" s="347"/>
      <c r="AP181" s="347"/>
      <c r="AQ181" s="347"/>
      <c r="AR181" s="347"/>
      <c r="AS181" s="347"/>
      <c r="AT181" s="347"/>
      <c r="AU181" s="347"/>
      <c r="AV181" s="347"/>
      <c r="AW181" s="347"/>
      <c r="AX181" s="347"/>
      <c r="AY181" s="347"/>
      <c r="AZ181" s="347"/>
      <c r="BA181" s="347"/>
      <c r="BB181" s="347"/>
      <c r="BC181" s="347"/>
      <c r="BD181" s="347"/>
      <c r="BE181" s="347"/>
      <c r="BF181" s="347"/>
      <c r="BG181" s="347"/>
    </row>
    <row r="182" spans="2:59"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47"/>
      <c r="I182" s="347"/>
      <c r="J182" s="347"/>
      <c r="K182" s="347"/>
      <c r="L182" s="347"/>
      <c r="M182" s="347"/>
      <c r="N182" s="347"/>
      <c r="O182" s="347"/>
      <c r="P182" s="347"/>
      <c r="Q182" s="347"/>
      <c r="R182" s="347"/>
      <c r="S182" s="347"/>
      <c r="T182" s="347"/>
      <c r="U182" s="347"/>
      <c r="V182" s="347"/>
      <c r="W182" s="347"/>
      <c r="X182" s="347"/>
      <c r="Y182" s="347"/>
      <c r="Z182" s="347"/>
      <c r="AA182" s="347"/>
      <c r="AB182" s="347"/>
      <c r="AC182" s="347"/>
      <c r="AD182" s="347"/>
      <c r="AE182" s="347"/>
      <c r="AF182" s="347"/>
      <c r="AG182" s="347"/>
      <c r="AH182" s="347"/>
      <c r="AI182" s="347"/>
      <c r="AJ182" s="347"/>
      <c r="AK182" s="347"/>
      <c r="AL182" s="347"/>
      <c r="AM182" s="347"/>
      <c r="AN182" s="347"/>
      <c r="AO182" s="347"/>
      <c r="AP182" s="347"/>
      <c r="AQ182" s="347"/>
      <c r="AR182" s="347"/>
      <c r="AS182" s="347"/>
      <c r="AT182" s="347"/>
      <c r="AU182" s="347"/>
      <c r="AV182" s="347"/>
      <c r="AW182" s="347"/>
      <c r="AX182" s="347"/>
      <c r="AY182" s="347"/>
      <c r="AZ182" s="347"/>
      <c r="BA182" s="347"/>
      <c r="BB182" s="347"/>
      <c r="BC182" s="347"/>
      <c r="BD182" s="347"/>
      <c r="BE182" s="347"/>
      <c r="BF182" s="347"/>
      <c r="BG182" s="347"/>
    </row>
    <row r="183" spans="2:59"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47"/>
      <c r="I183" s="347"/>
      <c r="J183" s="347"/>
      <c r="K183" s="347"/>
      <c r="L183" s="347"/>
      <c r="M183" s="347"/>
      <c r="N183" s="347"/>
      <c r="O183" s="347"/>
      <c r="P183" s="347"/>
      <c r="Q183" s="347"/>
      <c r="R183" s="347"/>
      <c r="S183" s="347"/>
      <c r="T183" s="347"/>
      <c r="U183" s="347"/>
      <c r="V183" s="347"/>
      <c r="W183" s="347"/>
      <c r="X183" s="347"/>
      <c r="Y183" s="347"/>
      <c r="Z183" s="347"/>
      <c r="AA183" s="347"/>
      <c r="AB183" s="347"/>
      <c r="AC183" s="347"/>
      <c r="AD183" s="347"/>
      <c r="AE183" s="347"/>
      <c r="AF183" s="347"/>
      <c r="AG183" s="347"/>
      <c r="AH183" s="347"/>
      <c r="AI183" s="347"/>
      <c r="AJ183" s="347"/>
      <c r="AK183" s="347"/>
      <c r="AL183" s="347"/>
      <c r="AM183" s="347"/>
      <c r="AN183" s="347"/>
      <c r="AO183" s="347"/>
      <c r="AP183" s="347"/>
      <c r="AQ183" s="347"/>
      <c r="AR183" s="347"/>
      <c r="AS183" s="347"/>
      <c r="AT183" s="347"/>
      <c r="AU183" s="347"/>
      <c r="AV183" s="347"/>
      <c r="AW183" s="347"/>
      <c r="AX183" s="347"/>
      <c r="AY183" s="347"/>
      <c r="AZ183" s="347"/>
      <c r="BA183" s="347"/>
      <c r="BB183" s="347"/>
      <c r="BC183" s="347"/>
      <c r="BD183" s="347"/>
      <c r="BE183" s="347"/>
      <c r="BF183" s="347"/>
      <c r="BG183" s="347"/>
    </row>
    <row r="184" spans="2:59"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47"/>
      <c r="I184" s="347"/>
      <c r="J184" s="347"/>
      <c r="K184" s="347"/>
      <c r="L184" s="347"/>
      <c r="M184" s="347"/>
      <c r="N184" s="347"/>
      <c r="O184" s="347"/>
      <c r="P184" s="347"/>
      <c r="Q184" s="347"/>
      <c r="R184" s="347"/>
      <c r="S184" s="347"/>
      <c r="T184" s="347"/>
      <c r="U184" s="347"/>
      <c r="V184" s="347"/>
      <c r="W184" s="347"/>
      <c r="X184" s="347"/>
      <c r="Y184" s="347"/>
      <c r="Z184" s="347"/>
      <c r="AA184" s="347"/>
      <c r="AB184" s="347"/>
      <c r="AC184" s="347"/>
      <c r="AD184" s="347"/>
      <c r="AE184" s="347"/>
      <c r="AF184" s="347"/>
      <c r="AG184" s="347"/>
      <c r="AH184" s="347"/>
      <c r="AI184" s="347"/>
      <c r="AJ184" s="347"/>
      <c r="AK184" s="347"/>
      <c r="AL184" s="347"/>
      <c r="AM184" s="347"/>
      <c r="AN184" s="347"/>
      <c r="AO184" s="347"/>
      <c r="AP184" s="347"/>
      <c r="AQ184" s="347"/>
      <c r="AR184" s="347"/>
      <c r="AS184" s="347"/>
      <c r="AT184" s="347"/>
      <c r="AU184" s="347"/>
      <c r="AV184" s="347"/>
      <c r="AW184" s="347"/>
      <c r="AX184" s="347"/>
      <c r="AY184" s="347"/>
      <c r="AZ184" s="347"/>
      <c r="BA184" s="347"/>
      <c r="BB184" s="347"/>
      <c r="BC184" s="347"/>
      <c r="BD184" s="347"/>
      <c r="BE184" s="347"/>
      <c r="BF184" s="347"/>
      <c r="BG184" s="347"/>
    </row>
    <row r="185" spans="2:59"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47"/>
      <c r="I185" s="347"/>
      <c r="J185" s="347"/>
      <c r="K185" s="347"/>
      <c r="L185" s="347"/>
      <c r="M185" s="347"/>
      <c r="N185" s="347"/>
      <c r="O185" s="347"/>
      <c r="P185" s="347"/>
      <c r="Q185" s="347"/>
      <c r="R185" s="347"/>
      <c r="S185" s="347"/>
      <c r="T185" s="347"/>
      <c r="U185" s="347"/>
      <c r="V185" s="347"/>
      <c r="W185" s="347"/>
      <c r="X185" s="347"/>
      <c r="Y185" s="347"/>
      <c r="Z185" s="347"/>
      <c r="AA185" s="347"/>
      <c r="AB185" s="347"/>
      <c r="AC185" s="347"/>
      <c r="AD185" s="347"/>
      <c r="AE185" s="347"/>
      <c r="AF185" s="347"/>
      <c r="AG185" s="347"/>
      <c r="AH185" s="347"/>
      <c r="AI185" s="347"/>
      <c r="AJ185" s="347"/>
      <c r="AK185" s="347"/>
      <c r="AL185" s="347"/>
      <c r="AM185" s="347"/>
      <c r="AN185" s="347"/>
      <c r="AO185" s="347"/>
      <c r="AP185" s="347"/>
      <c r="AQ185" s="347"/>
      <c r="AR185" s="347"/>
      <c r="AS185" s="347"/>
      <c r="AT185" s="347"/>
      <c r="AU185" s="347"/>
      <c r="AV185" s="347"/>
      <c r="AW185" s="347"/>
      <c r="AX185" s="347"/>
      <c r="AY185" s="347"/>
      <c r="AZ185" s="347"/>
      <c r="BA185" s="347"/>
      <c r="BB185" s="347"/>
      <c r="BC185" s="347"/>
      <c r="BD185" s="347"/>
      <c r="BE185" s="347"/>
      <c r="BF185" s="347"/>
      <c r="BG185" s="347"/>
    </row>
    <row r="186" spans="2:59"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47"/>
      <c r="I186" s="347"/>
      <c r="J186" s="347"/>
      <c r="K186" s="347"/>
      <c r="L186" s="347"/>
      <c r="M186" s="347"/>
      <c r="N186" s="347"/>
      <c r="O186" s="347"/>
      <c r="P186" s="347"/>
      <c r="Q186" s="347"/>
      <c r="R186" s="347"/>
      <c r="S186" s="347"/>
      <c r="T186" s="347"/>
      <c r="U186" s="347"/>
      <c r="V186" s="347"/>
      <c r="W186" s="347"/>
      <c r="X186" s="347"/>
      <c r="Y186" s="347"/>
      <c r="Z186" s="347"/>
      <c r="AA186" s="347"/>
      <c r="AB186" s="347"/>
      <c r="AC186" s="347"/>
      <c r="AD186" s="347"/>
      <c r="AE186" s="347"/>
      <c r="AF186" s="347"/>
      <c r="AG186" s="347"/>
      <c r="AH186" s="347"/>
      <c r="AI186" s="347"/>
      <c r="AJ186" s="347"/>
      <c r="AK186" s="347"/>
      <c r="AL186" s="347"/>
      <c r="AM186" s="347"/>
      <c r="AN186" s="347"/>
      <c r="AO186" s="347"/>
      <c r="AP186" s="347"/>
      <c r="AQ186" s="347"/>
      <c r="AR186" s="347"/>
      <c r="AS186" s="347"/>
      <c r="AT186" s="347"/>
      <c r="AU186" s="347"/>
      <c r="AV186" s="347"/>
      <c r="AW186" s="347"/>
      <c r="AX186" s="347"/>
      <c r="AY186" s="347"/>
      <c r="AZ186" s="347"/>
      <c r="BA186" s="347"/>
      <c r="BB186" s="347"/>
      <c r="BC186" s="347"/>
      <c r="BD186" s="347"/>
      <c r="BE186" s="347"/>
      <c r="BF186" s="347"/>
      <c r="BG186" s="347"/>
    </row>
    <row r="187" spans="2:59"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47"/>
      <c r="I187" s="347"/>
      <c r="J187" s="347"/>
      <c r="K187" s="347"/>
      <c r="L187" s="347"/>
      <c r="M187" s="347"/>
      <c r="N187" s="347"/>
      <c r="O187" s="347"/>
      <c r="P187" s="347"/>
      <c r="Q187" s="347"/>
      <c r="R187" s="347"/>
      <c r="S187" s="347"/>
      <c r="T187" s="347"/>
      <c r="U187" s="347"/>
      <c r="V187" s="347"/>
      <c r="W187" s="347"/>
      <c r="X187" s="347"/>
      <c r="Y187" s="347"/>
      <c r="Z187" s="347"/>
      <c r="AA187" s="347"/>
      <c r="AB187" s="347"/>
      <c r="AC187" s="347"/>
      <c r="AD187" s="347"/>
      <c r="AE187" s="347"/>
      <c r="AF187" s="347"/>
      <c r="AG187" s="347"/>
      <c r="AH187" s="347"/>
      <c r="AI187" s="347"/>
      <c r="AJ187" s="347"/>
      <c r="AK187" s="347"/>
      <c r="AL187" s="347"/>
      <c r="AM187" s="347"/>
      <c r="AN187" s="347"/>
      <c r="AO187" s="347"/>
      <c r="AP187" s="347"/>
      <c r="AQ187" s="347"/>
      <c r="AR187" s="347"/>
      <c r="AS187" s="347"/>
      <c r="AT187" s="347"/>
      <c r="AU187" s="347"/>
      <c r="AV187" s="347"/>
      <c r="AW187" s="347"/>
      <c r="AX187" s="347"/>
      <c r="AY187" s="347"/>
      <c r="AZ187" s="347"/>
      <c r="BA187" s="347"/>
      <c r="BB187" s="347"/>
      <c r="BC187" s="347"/>
      <c r="BD187" s="347"/>
      <c r="BE187" s="347"/>
      <c r="BF187" s="347"/>
      <c r="BG187" s="347"/>
    </row>
    <row r="188" spans="2:59"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47"/>
      <c r="I188" s="347"/>
      <c r="J188" s="347"/>
      <c r="K188" s="347"/>
      <c r="L188" s="347"/>
      <c r="M188" s="347"/>
      <c r="N188" s="347"/>
      <c r="O188" s="347"/>
      <c r="P188" s="347"/>
      <c r="Q188" s="347"/>
      <c r="R188" s="347"/>
      <c r="S188" s="347"/>
      <c r="T188" s="347"/>
      <c r="U188" s="347"/>
      <c r="V188" s="347"/>
      <c r="W188" s="347"/>
      <c r="X188" s="347"/>
      <c r="Y188" s="347"/>
      <c r="Z188" s="347"/>
      <c r="AA188" s="347"/>
      <c r="AB188" s="347"/>
      <c r="AC188" s="347"/>
      <c r="AD188" s="347"/>
      <c r="AE188" s="347"/>
      <c r="AF188" s="347"/>
      <c r="AG188" s="347"/>
      <c r="AH188" s="347"/>
      <c r="AI188" s="347"/>
      <c r="AJ188" s="347"/>
      <c r="AK188" s="347"/>
      <c r="AL188" s="347"/>
      <c r="AM188" s="347"/>
      <c r="AN188" s="347"/>
      <c r="AO188" s="347"/>
      <c r="AP188" s="347"/>
      <c r="AQ188" s="347"/>
      <c r="AR188" s="347"/>
      <c r="AS188" s="347"/>
      <c r="AT188" s="347"/>
      <c r="AU188" s="347"/>
      <c r="AV188" s="347"/>
      <c r="AW188" s="347"/>
      <c r="AX188" s="347"/>
      <c r="AY188" s="347"/>
      <c r="AZ188" s="347"/>
      <c r="BA188" s="347"/>
      <c r="BB188" s="347"/>
      <c r="BC188" s="347"/>
      <c r="BD188" s="347"/>
      <c r="BE188" s="347"/>
      <c r="BF188" s="347"/>
      <c r="BG188" s="347"/>
    </row>
    <row r="189" spans="2:59"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47"/>
      <c r="I189" s="347"/>
      <c r="J189" s="347"/>
      <c r="K189" s="347"/>
      <c r="L189" s="347"/>
      <c r="M189" s="347"/>
      <c r="N189" s="347"/>
      <c r="O189" s="347"/>
      <c r="P189" s="347"/>
      <c r="Q189" s="347"/>
      <c r="R189" s="347"/>
      <c r="S189" s="347"/>
      <c r="T189" s="347"/>
      <c r="U189" s="347"/>
      <c r="V189" s="347"/>
      <c r="W189" s="347"/>
      <c r="X189" s="347"/>
      <c r="Y189" s="347"/>
      <c r="Z189" s="347"/>
      <c r="AA189" s="347"/>
      <c r="AB189" s="347"/>
      <c r="AC189" s="347"/>
      <c r="AD189" s="347"/>
      <c r="AE189" s="347"/>
      <c r="AF189" s="347"/>
      <c r="AG189" s="347"/>
      <c r="AH189" s="347"/>
      <c r="AI189" s="347"/>
      <c r="AJ189" s="347"/>
      <c r="AK189" s="347"/>
      <c r="AL189" s="347"/>
      <c r="AM189" s="347"/>
      <c r="AN189" s="347"/>
      <c r="AO189" s="347"/>
      <c r="AP189" s="347"/>
      <c r="AQ189" s="347"/>
      <c r="AR189" s="347"/>
      <c r="AS189" s="347"/>
      <c r="AT189" s="347"/>
      <c r="AU189" s="347"/>
      <c r="AV189" s="347"/>
      <c r="AW189" s="347"/>
      <c r="AX189" s="347"/>
      <c r="AY189" s="347"/>
      <c r="AZ189" s="347"/>
      <c r="BA189" s="347"/>
      <c r="BB189" s="347"/>
      <c r="BC189" s="347"/>
      <c r="BD189" s="347"/>
      <c r="BE189" s="347"/>
      <c r="BF189" s="347"/>
      <c r="BG189" s="347"/>
    </row>
    <row r="190" spans="2:59"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47"/>
      <c r="I190" s="347"/>
      <c r="J190" s="347"/>
      <c r="K190" s="347"/>
      <c r="L190" s="347"/>
      <c r="M190" s="347"/>
      <c r="N190" s="347"/>
      <c r="O190" s="347"/>
      <c r="P190" s="347"/>
      <c r="Q190" s="347"/>
      <c r="R190" s="347"/>
      <c r="S190" s="347"/>
      <c r="T190" s="347"/>
      <c r="U190" s="347"/>
      <c r="V190" s="347"/>
      <c r="W190" s="347"/>
      <c r="X190" s="347"/>
      <c r="Y190" s="347"/>
      <c r="Z190" s="347"/>
      <c r="AA190" s="347"/>
      <c r="AB190" s="347"/>
      <c r="AC190" s="347"/>
      <c r="AD190" s="347"/>
      <c r="AE190" s="347"/>
      <c r="AF190" s="347"/>
      <c r="AG190" s="347"/>
      <c r="AH190" s="347"/>
      <c r="AI190" s="347"/>
      <c r="AJ190" s="347"/>
      <c r="AK190" s="347"/>
      <c r="AL190" s="347"/>
      <c r="AM190" s="347"/>
      <c r="AN190" s="347"/>
      <c r="AO190" s="347"/>
      <c r="AP190" s="347"/>
      <c r="AQ190" s="347"/>
      <c r="AR190" s="347"/>
      <c r="AS190" s="347"/>
      <c r="AT190" s="347"/>
      <c r="AU190" s="347"/>
      <c r="AV190" s="347"/>
      <c r="AW190" s="347"/>
      <c r="AX190" s="347"/>
      <c r="AY190" s="347"/>
      <c r="AZ190" s="347"/>
      <c r="BA190" s="347"/>
      <c r="BB190" s="347"/>
      <c r="BC190" s="347"/>
      <c r="BD190" s="347"/>
      <c r="BE190" s="347"/>
      <c r="BF190" s="347"/>
      <c r="BG190" s="347"/>
    </row>
    <row r="191" spans="2:59"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47"/>
      <c r="I191" s="347"/>
      <c r="J191" s="347"/>
      <c r="K191" s="347"/>
      <c r="L191" s="347"/>
      <c r="M191" s="347"/>
      <c r="N191" s="347"/>
      <c r="O191" s="347"/>
      <c r="P191" s="347"/>
      <c r="Q191" s="347"/>
      <c r="R191" s="347"/>
      <c r="S191" s="347"/>
      <c r="T191" s="347"/>
      <c r="U191" s="347"/>
      <c r="V191" s="347"/>
      <c r="W191" s="347"/>
      <c r="X191" s="347"/>
      <c r="Y191" s="347"/>
      <c r="Z191" s="347"/>
      <c r="AA191" s="347"/>
      <c r="AB191" s="347"/>
      <c r="AC191" s="347"/>
      <c r="AD191" s="347"/>
      <c r="AE191" s="347"/>
      <c r="AF191" s="347"/>
      <c r="AG191" s="347"/>
      <c r="AH191" s="347"/>
      <c r="AI191" s="347"/>
      <c r="AJ191" s="347"/>
      <c r="AK191" s="347"/>
      <c r="AL191" s="347"/>
      <c r="AM191" s="347"/>
      <c r="AN191" s="347"/>
      <c r="AO191" s="347"/>
      <c r="AP191" s="347"/>
      <c r="AQ191" s="347"/>
      <c r="AR191" s="347"/>
      <c r="AS191" s="347"/>
      <c r="AT191" s="347"/>
      <c r="AU191" s="347"/>
      <c r="AV191" s="347"/>
      <c r="AW191" s="347"/>
      <c r="AX191" s="347"/>
      <c r="AY191" s="347"/>
      <c r="AZ191" s="347"/>
      <c r="BA191" s="347"/>
      <c r="BB191" s="347"/>
      <c r="BC191" s="347"/>
      <c r="BD191" s="347"/>
      <c r="BE191" s="347"/>
      <c r="BF191" s="347"/>
      <c r="BG191" s="347"/>
    </row>
    <row r="192" spans="2:59"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47"/>
      <c r="I192" s="347"/>
      <c r="J192" s="347"/>
      <c r="K192" s="347"/>
      <c r="L192" s="347"/>
      <c r="M192" s="347"/>
      <c r="N192" s="347"/>
      <c r="O192" s="347"/>
      <c r="P192" s="347"/>
      <c r="Q192" s="347"/>
      <c r="R192" s="347"/>
      <c r="S192" s="347"/>
      <c r="T192" s="347"/>
      <c r="U192" s="347"/>
      <c r="V192" s="347"/>
      <c r="W192" s="347"/>
      <c r="X192" s="347"/>
      <c r="Y192" s="347"/>
      <c r="Z192" s="347"/>
      <c r="AA192" s="347"/>
      <c r="AB192" s="347"/>
      <c r="AC192" s="347"/>
      <c r="AD192" s="347"/>
      <c r="AE192" s="347"/>
      <c r="AF192" s="347"/>
      <c r="AG192" s="347"/>
      <c r="AH192" s="347"/>
      <c r="AI192" s="347"/>
      <c r="AJ192" s="347"/>
      <c r="AK192" s="347"/>
      <c r="AL192" s="347"/>
      <c r="AM192" s="347"/>
      <c r="AN192" s="347"/>
      <c r="AO192" s="347"/>
      <c r="AP192" s="347"/>
      <c r="AQ192" s="347"/>
      <c r="AR192" s="347"/>
      <c r="AS192" s="347"/>
      <c r="AT192" s="347"/>
      <c r="AU192" s="347"/>
      <c r="AV192" s="347"/>
      <c r="AW192" s="347"/>
      <c r="AX192" s="347"/>
      <c r="AY192" s="347"/>
      <c r="AZ192" s="347"/>
      <c r="BA192" s="347"/>
      <c r="BB192" s="347"/>
      <c r="BC192" s="347"/>
      <c r="BD192" s="347"/>
      <c r="BE192" s="347"/>
      <c r="BF192" s="347"/>
      <c r="BG192" s="347"/>
    </row>
    <row r="193" spans="2:59"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47"/>
      <c r="I193" s="347"/>
      <c r="J193" s="347"/>
      <c r="K193" s="347"/>
      <c r="L193" s="347"/>
      <c r="M193" s="347"/>
      <c r="N193" s="347"/>
      <c r="O193" s="347"/>
      <c r="P193" s="347"/>
      <c r="Q193" s="347"/>
      <c r="R193" s="347"/>
      <c r="S193" s="347"/>
      <c r="T193" s="347"/>
      <c r="U193" s="347"/>
      <c r="V193" s="347"/>
      <c r="W193" s="347"/>
      <c r="X193" s="347"/>
      <c r="Y193" s="347"/>
      <c r="Z193" s="347"/>
      <c r="AA193" s="347"/>
      <c r="AB193" s="347"/>
      <c r="AC193" s="347"/>
      <c r="AD193" s="347"/>
      <c r="AE193" s="347"/>
      <c r="AF193" s="347"/>
      <c r="AG193" s="347"/>
      <c r="AH193" s="347"/>
      <c r="AI193" s="347"/>
      <c r="AJ193" s="347"/>
      <c r="AK193" s="347"/>
      <c r="AL193" s="347"/>
      <c r="AM193" s="347"/>
      <c r="AN193" s="347"/>
      <c r="AO193" s="347"/>
      <c r="AP193" s="347"/>
      <c r="AQ193" s="347"/>
      <c r="AR193" s="347"/>
      <c r="AS193" s="347"/>
      <c r="AT193" s="347"/>
      <c r="AU193" s="347"/>
      <c r="AV193" s="347"/>
      <c r="AW193" s="347"/>
      <c r="AX193" s="347"/>
      <c r="AY193" s="347"/>
      <c r="AZ193" s="347"/>
      <c r="BA193" s="347"/>
      <c r="BB193" s="347"/>
      <c r="BC193" s="347"/>
      <c r="BD193" s="347"/>
      <c r="BE193" s="347"/>
      <c r="BF193" s="347"/>
      <c r="BG193" s="347"/>
    </row>
    <row r="194" spans="2:59"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47"/>
      <c r="I194" s="347"/>
      <c r="J194" s="347"/>
      <c r="K194" s="347"/>
      <c r="L194" s="347"/>
      <c r="M194" s="347"/>
      <c r="N194" s="347"/>
      <c r="O194" s="347"/>
      <c r="P194" s="347"/>
      <c r="Q194" s="347"/>
      <c r="R194" s="347"/>
      <c r="S194" s="347"/>
      <c r="T194" s="347"/>
      <c r="U194" s="347"/>
      <c r="V194" s="347"/>
      <c r="W194" s="347"/>
      <c r="X194" s="347"/>
      <c r="Y194" s="347"/>
      <c r="Z194" s="347"/>
      <c r="AA194" s="347"/>
      <c r="AB194" s="347"/>
      <c r="AC194" s="347"/>
      <c r="AD194" s="347"/>
      <c r="AE194" s="347"/>
      <c r="AF194" s="347"/>
      <c r="AG194" s="347"/>
      <c r="AH194" s="347"/>
      <c r="AI194" s="347"/>
      <c r="AJ194" s="347"/>
      <c r="AK194" s="347"/>
      <c r="AL194" s="347"/>
      <c r="AM194" s="347"/>
      <c r="AN194" s="347"/>
      <c r="AO194" s="347"/>
      <c r="AP194" s="347"/>
      <c r="AQ194" s="347"/>
      <c r="AR194" s="347"/>
      <c r="AS194" s="347"/>
      <c r="AT194" s="347"/>
      <c r="AU194" s="347"/>
      <c r="AV194" s="347"/>
      <c r="AW194" s="347"/>
      <c r="AX194" s="347"/>
      <c r="AY194" s="347"/>
      <c r="AZ194" s="347"/>
      <c r="BA194" s="347"/>
      <c r="BB194" s="347"/>
      <c r="BC194" s="347"/>
      <c r="BD194" s="347"/>
      <c r="BE194" s="347"/>
      <c r="BF194" s="347"/>
      <c r="BG194" s="347"/>
    </row>
    <row r="195" spans="2:59"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47"/>
      <c r="I195" s="347"/>
      <c r="J195" s="347"/>
      <c r="K195" s="347"/>
      <c r="L195" s="347"/>
      <c r="M195" s="347"/>
      <c r="N195" s="347"/>
      <c r="O195" s="347"/>
      <c r="P195" s="347"/>
      <c r="Q195" s="347"/>
      <c r="R195" s="347"/>
      <c r="S195" s="347"/>
      <c r="T195" s="347"/>
      <c r="U195" s="347"/>
      <c r="V195" s="347"/>
      <c r="W195" s="347"/>
      <c r="X195" s="347"/>
      <c r="Y195" s="347"/>
      <c r="Z195" s="347"/>
      <c r="AA195" s="347"/>
      <c r="AB195" s="347"/>
      <c r="AC195" s="347"/>
      <c r="AD195" s="347"/>
      <c r="AE195" s="347"/>
      <c r="AF195" s="347"/>
      <c r="AG195" s="347"/>
      <c r="AH195" s="347"/>
      <c r="AI195" s="347"/>
      <c r="AJ195" s="347"/>
      <c r="AK195" s="347"/>
      <c r="AL195" s="347"/>
      <c r="AM195" s="347"/>
      <c r="AN195" s="347"/>
      <c r="AO195" s="347"/>
      <c r="AP195" s="347"/>
      <c r="AQ195" s="347"/>
      <c r="AR195" s="347"/>
      <c r="AS195" s="347"/>
      <c r="AT195" s="347"/>
      <c r="AU195" s="347"/>
      <c r="AV195" s="347"/>
      <c r="AW195" s="347"/>
      <c r="AX195" s="347"/>
      <c r="AY195" s="347"/>
      <c r="AZ195" s="347"/>
      <c r="BA195" s="347"/>
      <c r="BB195" s="347"/>
      <c r="BC195" s="347"/>
      <c r="BD195" s="347"/>
      <c r="BE195" s="347"/>
      <c r="BF195" s="347"/>
      <c r="BG195" s="347"/>
    </row>
    <row r="196" spans="2:59"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47"/>
      <c r="I196" s="347"/>
      <c r="J196" s="347"/>
      <c r="K196" s="347"/>
      <c r="L196" s="347"/>
      <c r="M196" s="347"/>
      <c r="N196" s="347"/>
      <c r="O196" s="347"/>
      <c r="P196" s="347"/>
      <c r="Q196" s="347"/>
      <c r="R196" s="347"/>
      <c r="S196" s="347"/>
      <c r="T196" s="347"/>
      <c r="U196" s="347"/>
      <c r="V196" s="347"/>
      <c r="W196" s="347"/>
      <c r="X196" s="347"/>
      <c r="Y196" s="347"/>
      <c r="Z196" s="347"/>
      <c r="AA196" s="347"/>
      <c r="AB196" s="347"/>
      <c r="AC196" s="347"/>
      <c r="AD196" s="347"/>
      <c r="AE196" s="347"/>
      <c r="AF196" s="347"/>
      <c r="AG196" s="347"/>
      <c r="AH196" s="347"/>
      <c r="AI196" s="347"/>
      <c r="AJ196" s="347"/>
      <c r="AK196" s="347"/>
      <c r="AL196" s="347"/>
      <c r="AM196" s="347"/>
      <c r="AN196" s="347"/>
      <c r="AO196" s="347"/>
      <c r="AP196" s="347"/>
      <c r="AQ196" s="347"/>
      <c r="AR196" s="347"/>
      <c r="AS196" s="347"/>
      <c r="AT196" s="347"/>
      <c r="AU196" s="347"/>
      <c r="AV196" s="347"/>
      <c r="AW196" s="347"/>
      <c r="AX196" s="347"/>
      <c r="AY196" s="347"/>
      <c r="AZ196" s="347"/>
      <c r="BA196" s="347"/>
      <c r="BB196" s="347"/>
      <c r="BC196" s="347"/>
      <c r="BD196" s="347"/>
      <c r="BE196" s="347"/>
      <c r="BF196" s="347"/>
      <c r="BG196" s="347"/>
    </row>
    <row r="197" spans="2:59"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47"/>
      <c r="I197" s="347"/>
      <c r="J197" s="347"/>
      <c r="K197" s="347"/>
      <c r="L197" s="347"/>
      <c r="M197" s="347"/>
      <c r="N197" s="347"/>
      <c r="O197" s="347"/>
      <c r="P197" s="347"/>
      <c r="Q197" s="347"/>
      <c r="R197" s="347"/>
      <c r="S197" s="347"/>
      <c r="T197" s="347"/>
      <c r="U197" s="347"/>
      <c r="V197" s="347"/>
      <c r="W197" s="347"/>
      <c r="X197" s="347"/>
      <c r="Y197" s="347"/>
      <c r="Z197" s="347"/>
      <c r="AA197" s="347"/>
      <c r="AB197" s="347"/>
      <c r="AC197" s="347"/>
      <c r="AD197" s="347"/>
      <c r="AE197" s="347"/>
      <c r="AF197" s="347"/>
      <c r="AG197" s="347"/>
      <c r="AH197" s="347"/>
      <c r="AI197" s="347"/>
      <c r="AJ197" s="347"/>
      <c r="AK197" s="347"/>
      <c r="AL197" s="347"/>
      <c r="AM197" s="347"/>
      <c r="AN197" s="347"/>
      <c r="AO197" s="347"/>
      <c r="AP197" s="347"/>
      <c r="AQ197" s="347"/>
      <c r="AR197" s="347"/>
      <c r="AS197" s="347"/>
      <c r="AT197" s="347"/>
      <c r="AU197" s="347"/>
      <c r="AV197" s="347"/>
      <c r="AW197" s="347"/>
      <c r="AX197" s="347"/>
      <c r="AY197" s="347"/>
      <c r="AZ197" s="347"/>
      <c r="BA197" s="347"/>
      <c r="BB197" s="347"/>
      <c r="BC197" s="347"/>
      <c r="BD197" s="347"/>
      <c r="BE197" s="347"/>
      <c r="BF197" s="347"/>
      <c r="BG197" s="347"/>
    </row>
    <row r="198" spans="2:59"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47"/>
      <c r="I198" s="347"/>
      <c r="J198" s="347"/>
      <c r="K198" s="347"/>
      <c r="L198" s="347"/>
      <c r="M198" s="347"/>
      <c r="N198" s="347"/>
      <c r="O198" s="347"/>
      <c r="P198" s="347"/>
      <c r="Q198" s="347"/>
      <c r="R198" s="347"/>
      <c r="S198" s="347"/>
      <c r="T198" s="347"/>
      <c r="U198" s="347"/>
      <c r="V198" s="347"/>
      <c r="W198" s="347"/>
      <c r="X198" s="347"/>
      <c r="Y198" s="347"/>
      <c r="Z198" s="347"/>
      <c r="AA198" s="347"/>
      <c r="AB198" s="347"/>
      <c r="AC198" s="347"/>
      <c r="AD198" s="347"/>
      <c r="AE198" s="347"/>
      <c r="AF198" s="347"/>
      <c r="AG198" s="347"/>
      <c r="AH198" s="347"/>
      <c r="AI198" s="347"/>
      <c r="AJ198" s="347"/>
      <c r="AK198" s="347"/>
      <c r="AL198" s="347"/>
      <c r="AM198" s="347"/>
      <c r="AN198" s="347"/>
      <c r="AO198" s="347"/>
      <c r="AP198" s="347"/>
      <c r="AQ198" s="347"/>
      <c r="AR198" s="347"/>
      <c r="AS198" s="347"/>
      <c r="AT198" s="347"/>
      <c r="AU198" s="347"/>
      <c r="AV198" s="347"/>
      <c r="AW198" s="347"/>
      <c r="AX198" s="347"/>
      <c r="AY198" s="347"/>
      <c r="AZ198" s="347"/>
      <c r="BA198" s="347"/>
      <c r="BB198" s="347"/>
      <c r="BC198" s="347"/>
      <c r="BD198" s="347"/>
      <c r="BE198" s="347"/>
      <c r="BF198" s="347"/>
      <c r="BG198" s="347"/>
    </row>
    <row r="199" spans="2:59"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47"/>
      <c r="I199" s="347"/>
      <c r="J199" s="347"/>
      <c r="K199" s="347"/>
      <c r="L199" s="347"/>
      <c r="M199" s="347"/>
      <c r="N199" s="347"/>
      <c r="O199" s="347"/>
      <c r="P199" s="347"/>
      <c r="Q199" s="347"/>
      <c r="R199" s="347"/>
      <c r="S199" s="347"/>
      <c r="T199" s="347"/>
      <c r="U199" s="347"/>
      <c r="V199" s="347"/>
      <c r="W199" s="347"/>
      <c r="X199" s="347"/>
      <c r="Y199" s="347"/>
      <c r="Z199" s="347"/>
      <c r="AA199" s="347"/>
      <c r="AB199" s="347"/>
      <c r="AC199" s="347"/>
      <c r="AD199" s="347"/>
      <c r="AE199" s="347"/>
      <c r="AF199" s="347"/>
      <c r="AG199" s="347"/>
      <c r="AH199" s="347"/>
      <c r="AI199" s="347"/>
      <c r="AJ199" s="347"/>
      <c r="AK199" s="347"/>
      <c r="AL199" s="347"/>
      <c r="AM199" s="347"/>
      <c r="AN199" s="347"/>
      <c r="AO199" s="347"/>
      <c r="AP199" s="347"/>
      <c r="AQ199" s="347"/>
      <c r="AR199" s="347"/>
      <c r="AS199" s="347"/>
      <c r="AT199" s="347"/>
      <c r="AU199" s="347"/>
      <c r="AV199" s="347"/>
      <c r="AW199" s="347"/>
      <c r="AX199" s="347"/>
      <c r="AY199" s="347"/>
      <c r="AZ199" s="347"/>
      <c r="BA199" s="347"/>
      <c r="BB199" s="347"/>
      <c r="BC199" s="347"/>
      <c r="BD199" s="347"/>
      <c r="BE199" s="347"/>
      <c r="BF199" s="347"/>
      <c r="BG199" s="347"/>
    </row>
    <row r="200" spans="2:59"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47"/>
      <c r="I200" s="347"/>
      <c r="J200" s="347"/>
      <c r="K200" s="347"/>
      <c r="L200" s="347"/>
      <c r="M200" s="347"/>
      <c r="N200" s="347"/>
      <c r="O200" s="347"/>
      <c r="P200" s="347"/>
      <c r="Q200" s="347"/>
      <c r="R200" s="347"/>
      <c r="S200" s="347"/>
      <c r="T200" s="347"/>
      <c r="U200" s="347"/>
      <c r="V200" s="347"/>
      <c r="W200" s="347"/>
      <c r="X200" s="347"/>
      <c r="Y200" s="347"/>
      <c r="Z200" s="347"/>
      <c r="AA200" s="347"/>
      <c r="AB200" s="347"/>
      <c r="AC200" s="347"/>
      <c r="AD200" s="347"/>
      <c r="AE200" s="347"/>
      <c r="AF200" s="347"/>
      <c r="AG200" s="347"/>
      <c r="AH200" s="347"/>
      <c r="AI200" s="347"/>
      <c r="AJ200" s="347"/>
      <c r="AK200" s="347"/>
      <c r="AL200" s="347"/>
      <c r="AM200" s="347"/>
      <c r="AN200" s="347"/>
      <c r="AO200" s="347"/>
      <c r="AP200" s="347"/>
      <c r="AQ200" s="347"/>
      <c r="AR200" s="347"/>
      <c r="AS200" s="347"/>
      <c r="AT200" s="347"/>
      <c r="AU200" s="347"/>
      <c r="AV200" s="347"/>
      <c r="AW200" s="347"/>
      <c r="AX200" s="347"/>
      <c r="AY200" s="347"/>
      <c r="AZ200" s="347"/>
      <c r="BA200" s="347"/>
      <c r="BB200" s="347"/>
      <c r="BC200" s="347"/>
      <c r="BD200" s="347"/>
      <c r="BE200" s="347"/>
      <c r="BF200" s="347"/>
      <c r="BG200" s="347"/>
    </row>
    <row r="201" spans="2:59"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47"/>
      <c r="I201" s="347"/>
      <c r="J201" s="347"/>
      <c r="K201" s="347"/>
      <c r="L201" s="347"/>
      <c r="M201" s="347"/>
      <c r="N201" s="347"/>
      <c r="O201" s="347"/>
      <c r="P201" s="347"/>
      <c r="Q201" s="347"/>
      <c r="R201" s="347"/>
      <c r="S201" s="347"/>
      <c r="T201" s="347"/>
      <c r="U201" s="347"/>
      <c r="V201" s="347"/>
      <c r="W201" s="347"/>
      <c r="X201" s="347"/>
      <c r="Y201" s="347"/>
      <c r="Z201" s="347"/>
      <c r="AA201" s="347"/>
      <c r="AB201" s="347"/>
      <c r="AC201" s="347"/>
      <c r="AD201" s="347"/>
      <c r="AE201" s="347"/>
      <c r="AF201" s="347"/>
      <c r="AG201" s="347"/>
      <c r="AH201" s="347"/>
      <c r="AI201" s="347"/>
      <c r="AJ201" s="347"/>
      <c r="AK201" s="347"/>
      <c r="AL201" s="347"/>
      <c r="AM201" s="347"/>
      <c r="AN201" s="347"/>
      <c r="AO201" s="347"/>
      <c r="AP201" s="347"/>
      <c r="AQ201" s="347"/>
      <c r="AR201" s="347"/>
      <c r="AS201" s="347"/>
      <c r="AT201" s="347"/>
      <c r="AU201" s="347"/>
      <c r="AV201" s="347"/>
      <c r="AW201" s="347"/>
      <c r="AX201" s="347"/>
      <c r="AY201" s="347"/>
      <c r="AZ201" s="347"/>
      <c r="BA201" s="347"/>
      <c r="BB201" s="347"/>
      <c r="BC201" s="347"/>
      <c r="BD201" s="347"/>
      <c r="BE201" s="347"/>
      <c r="BF201" s="347"/>
      <c r="BG201" s="347"/>
    </row>
    <row r="202" spans="2:59"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47"/>
      <c r="I202" s="347"/>
      <c r="J202" s="347"/>
      <c r="K202" s="347"/>
      <c r="L202" s="347"/>
      <c r="M202" s="347"/>
      <c r="N202" s="347"/>
      <c r="O202" s="347"/>
      <c r="P202" s="347"/>
      <c r="Q202" s="347"/>
      <c r="R202" s="347"/>
      <c r="S202" s="347"/>
      <c r="T202" s="347"/>
      <c r="U202" s="347"/>
      <c r="V202" s="347"/>
      <c r="W202" s="347"/>
      <c r="X202" s="347"/>
      <c r="Y202" s="347"/>
      <c r="Z202" s="347"/>
      <c r="AA202" s="347"/>
      <c r="AB202" s="347"/>
      <c r="AC202" s="347"/>
      <c r="AD202" s="347"/>
      <c r="AE202" s="347"/>
      <c r="AF202" s="347"/>
      <c r="AG202" s="347"/>
      <c r="AH202" s="347"/>
      <c r="AI202" s="347"/>
      <c r="AJ202" s="347"/>
      <c r="AK202" s="347"/>
      <c r="AL202" s="347"/>
      <c r="AM202" s="347"/>
      <c r="AN202" s="347"/>
      <c r="AO202" s="347"/>
      <c r="AP202" s="347"/>
      <c r="AQ202" s="347"/>
      <c r="AR202" s="347"/>
      <c r="AS202" s="347"/>
      <c r="AT202" s="347"/>
      <c r="AU202" s="347"/>
      <c r="AV202" s="347"/>
      <c r="AW202" s="347"/>
      <c r="AX202" s="347"/>
      <c r="AY202" s="347"/>
      <c r="AZ202" s="347"/>
      <c r="BA202" s="347"/>
      <c r="BB202" s="347"/>
      <c r="BC202" s="347"/>
      <c r="BD202" s="347"/>
      <c r="BE202" s="347"/>
      <c r="BF202" s="347"/>
      <c r="BG202" s="347"/>
    </row>
    <row r="203" spans="2:59"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47"/>
      <c r="I203" s="347"/>
      <c r="J203" s="347"/>
      <c r="K203" s="347"/>
      <c r="L203" s="347"/>
      <c r="M203" s="347"/>
      <c r="N203" s="347"/>
      <c r="O203" s="347"/>
      <c r="P203" s="347"/>
      <c r="Q203" s="347"/>
      <c r="R203" s="347"/>
      <c r="S203" s="347"/>
      <c r="T203" s="347"/>
      <c r="U203" s="347"/>
      <c r="V203" s="347"/>
      <c r="W203" s="347"/>
      <c r="X203" s="347"/>
      <c r="Y203" s="347"/>
      <c r="Z203" s="347"/>
      <c r="AA203" s="347"/>
      <c r="AB203" s="347"/>
      <c r="AC203" s="347"/>
      <c r="AD203" s="347"/>
      <c r="AE203" s="347"/>
      <c r="AF203" s="347"/>
      <c r="AG203" s="347"/>
      <c r="AH203" s="347"/>
      <c r="AI203" s="347"/>
      <c r="AJ203" s="347"/>
      <c r="AK203" s="347"/>
      <c r="AL203" s="347"/>
      <c r="AM203" s="347"/>
      <c r="AN203" s="347"/>
      <c r="AO203" s="347"/>
      <c r="AP203" s="347"/>
      <c r="AQ203" s="347"/>
      <c r="AR203" s="347"/>
      <c r="AS203" s="347"/>
      <c r="AT203" s="347"/>
      <c r="AU203" s="347"/>
      <c r="AV203" s="347"/>
      <c r="AW203" s="347"/>
      <c r="AX203" s="347"/>
      <c r="AY203" s="347"/>
      <c r="AZ203" s="347"/>
      <c r="BA203" s="347"/>
      <c r="BB203" s="347"/>
      <c r="BC203" s="347"/>
      <c r="BD203" s="347"/>
      <c r="BE203" s="347"/>
      <c r="BF203" s="347"/>
      <c r="BG203" s="347"/>
    </row>
    <row r="204" spans="2:59"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47"/>
      <c r="I204" s="347"/>
      <c r="J204" s="347"/>
      <c r="K204" s="347"/>
      <c r="L204" s="347"/>
      <c r="M204" s="347"/>
      <c r="N204" s="347"/>
      <c r="O204" s="347"/>
      <c r="P204" s="347"/>
      <c r="Q204" s="347"/>
      <c r="R204" s="347"/>
      <c r="S204" s="347"/>
      <c r="T204" s="347"/>
      <c r="U204" s="347"/>
      <c r="V204" s="347"/>
      <c r="W204" s="347"/>
      <c r="X204" s="347"/>
      <c r="Y204" s="347"/>
      <c r="Z204" s="347"/>
      <c r="AA204" s="347"/>
      <c r="AB204" s="347"/>
      <c r="AC204" s="347"/>
      <c r="AD204" s="347"/>
      <c r="AE204" s="347"/>
      <c r="AF204" s="347"/>
      <c r="AG204" s="347"/>
      <c r="AH204" s="347"/>
      <c r="AI204" s="347"/>
      <c r="AJ204" s="347"/>
      <c r="AK204" s="347"/>
      <c r="AL204" s="347"/>
      <c r="AM204" s="347"/>
      <c r="AN204" s="347"/>
      <c r="AO204" s="347"/>
      <c r="AP204" s="347"/>
      <c r="AQ204" s="347"/>
      <c r="AR204" s="347"/>
      <c r="AS204" s="347"/>
      <c r="AT204" s="347"/>
      <c r="AU204" s="347"/>
      <c r="AV204" s="347"/>
      <c r="AW204" s="347"/>
      <c r="AX204" s="347"/>
      <c r="AY204" s="347"/>
      <c r="AZ204" s="347"/>
      <c r="BA204" s="347"/>
      <c r="BB204" s="347"/>
      <c r="BC204" s="347"/>
      <c r="BD204" s="347"/>
      <c r="BE204" s="347"/>
      <c r="BF204" s="347"/>
      <c r="BG204" s="347"/>
    </row>
    <row r="205" spans="2:59"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47"/>
      <c r="I205" s="347"/>
      <c r="J205" s="347"/>
      <c r="K205" s="347"/>
      <c r="L205" s="347"/>
      <c r="M205" s="347"/>
      <c r="N205" s="347"/>
      <c r="O205" s="347"/>
      <c r="P205" s="347"/>
      <c r="Q205" s="347"/>
      <c r="R205" s="347"/>
      <c r="S205" s="347"/>
      <c r="T205" s="347"/>
      <c r="U205" s="347"/>
      <c r="V205" s="347"/>
      <c r="W205" s="347"/>
      <c r="X205" s="347"/>
      <c r="Y205" s="347"/>
      <c r="Z205" s="347"/>
      <c r="AA205" s="347"/>
      <c r="AB205" s="347"/>
      <c r="AC205" s="347"/>
      <c r="AD205" s="347"/>
      <c r="AE205" s="347"/>
      <c r="AF205" s="347"/>
      <c r="AG205" s="347"/>
      <c r="AH205" s="347"/>
      <c r="AI205" s="347"/>
      <c r="AJ205" s="347"/>
      <c r="AK205" s="347"/>
      <c r="AL205" s="347"/>
      <c r="AM205" s="347"/>
      <c r="AN205" s="347"/>
      <c r="AO205" s="347"/>
      <c r="AP205" s="347"/>
      <c r="AQ205" s="347"/>
      <c r="AR205" s="347"/>
      <c r="AS205" s="347"/>
      <c r="AT205" s="347"/>
      <c r="AU205" s="347"/>
      <c r="AV205" s="347"/>
      <c r="AW205" s="347"/>
      <c r="AX205" s="347"/>
      <c r="AY205" s="347"/>
      <c r="AZ205" s="347"/>
      <c r="BA205" s="347"/>
      <c r="BB205" s="347"/>
      <c r="BC205" s="347"/>
      <c r="BD205" s="347"/>
      <c r="BE205" s="347"/>
      <c r="BF205" s="347"/>
      <c r="BG205" s="347"/>
    </row>
    <row r="206" spans="2:59"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row>
    <row r="207" spans="2:59"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47"/>
      <c r="I207" s="347"/>
      <c r="J207" s="347"/>
      <c r="K207" s="347"/>
      <c r="L207" s="347"/>
      <c r="M207" s="347"/>
      <c r="N207" s="347"/>
      <c r="O207" s="347"/>
      <c r="P207" s="347"/>
      <c r="Q207" s="347"/>
      <c r="R207" s="347"/>
      <c r="S207" s="347"/>
      <c r="T207" s="347"/>
      <c r="U207" s="347"/>
      <c r="V207" s="347"/>
      <c r="W207" s="347"/>
      <c r="X207" s="347"/>
      <c r="Y207" s="347"/>
      <c r="Z207" s="347"/>
      <c r="AA207" s="347"/>
      <c r="AB207" s="347"/>
      <c r="AC207" s="347"/>
      <c r="AD207" s="347"/>
      <c r="AE207" s="347"/>
      <c r="AF207" s="347"/>
      <c r="AG207" s="347"/>
      <c r="AH207" s="347"/>
      <c r="AI207" s="347"/>
      <c r="AJ207" s="347"/>
      <c r="AK207" s="347"/>
      <c r="AL207" s="347"/>
      <c r="AM207" s="347"/>
      <c r="AN207" s="347"/>
      <c r="AO207" s="347"/>
      <c r="AP207" s="347"/>
      <c r="AQ207" s="347"/>
      <c r="AR207" s="347"/>
      <c r="AS207" s="347"/>
      <c r="AT207" s="347"/>
      <c r="AU207" s="347"/>
      <c r="AV207" s="347"/>
      <c r="AW207" s="347"/>
      <c r="AX207" s="347"/>
      <c r="AY207" s="347"/>
      <c r="AZ207" s="347"/>
      <c r="BA207" s="347"/>
      <c r="BB207" s="347"/>
      <c r="BC207" s="347"/>
      <c r="BD207" s="347"/>
      <c r="BE207" s="347"/>
      <c r="BF207" s="347"/>
      <c r="BG207" s="347"/>
    </row>
    <row r="208" spans="2:59"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47"/>
      <c r="I208" s="347"/>
      <c r="J208" s="347"/>
      <c r="K208" s="347"/>
      <c r="L208" s="347"/>
      <c r="M208" s="347"/>
      <c r="N208" s="347"/>
      <c r="O208" s="347"/>
      <c r="P208" s="347"/>
      <c r="Q208" s="347"/>
      <c r="R208" s="347"/>
      <c r="S208" s="347"/>
      <c r="T208" s="347"/>
      <c r="U208" s="347"/>
      <c r="V208" s="347"/>
      <c r="W208" s="347"/>
      <c r="X208" s="347"/>
      <c r="Y208" s="347"/>
      <c r="Z208" s="347"/>
      <c r="AA208" s="347"/>
      <c r="AB208" s="347"/>
      <c r="AC208" s="347"/>
      <c r="AD208" s="347"/>
      <c r="AE208" s="347"/>
      <c r="AF208" s="347"/>
      <c r="AG208" s="347"/>
      <c r="AH208" s="347"/>
      <c r="AI208" s="347"/>
      <c r="AJ208" s="347"/>
      <c r="AK208" s="347"/>
      <c r="AL208" s="347"/>
      <c r="AM208" s="347"/>
      <c r="AN208" s="347"/>
      <c r="AO208" s="347"/>
      <c r="AP208" s="347"/>
      <c r="AQ208" s="347"/>
      <c r="AR208" s="347"/>
      <c r="AS208" s="347"/>
      <c r="AT208" s="347"/>
      <c r="AU208" s="347"/>
      <c r="AV208" s="347"/>
      <c r="AW208" s="347"/>
      <c r="AX208" s="347"/>
      <c r="AY208" s="347"/>
      <c r="AZ208" s="347"/>
      <c r="BA208" s="347"/>
      <c r="BB208" s="347"/>
      <c r="BC208" s="347"/>
      <c r="BD208" s="347"/>
      <c r="BE208" s="347"/>
      <c r="BF208" s="347"/>
      <c r="BG208" s="347"/>
    </row>
    <row r="209" spans="2:59"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47"/>
      <c r="I209" s="347"/>
      <c r="J209" s="347"/>
      <c r="K209" s="347"/>
      <c r="L209" s="347"/>
      <c r="M209" s="347"/>
      <c r="N209" s="347"/>
      <c r="O209" s="347"/>
      <c r="P209" s="347"/>
      <c r="Q209" s="347"/>
      <c r="R209" s="347"/>
      <c r="S209" s="347"/>
      <c r="T209" s="347"/>
      <c r="U209" s="347"/>
      <c r="V209" s="347"/>
      <c r="W209" s="347"/>
      <c r="X209" s="347"/>
      <c r="Y209" s="347"/>
      <c r="Z209" s="347"/>
      <c r="AA209" s="347"/>
      <c r="AB209" s="347"/>
      <c r="AC209" s="347"/>
      <c r="AD209" s="347"/>
      <c r="AE209" s="347"/>
      <c r="AF209" s="347"/>
      <c r="AG209" s="347"/>
      <c r="AH209" s="347"/>
      <c r="AI209" s="347"/>
      <c r="AJ209" s="347"/>
      <c r="AK209" s="347"/>
      <c r="AL209" s="347"/>
      <c r="AM209" s="347"/>
      <c r="AN209" s="347"/>
      <c r="AO209" s="347"/>
      <c r="AP209" s="347"/>
      <c r="AQ209" s="347"/>
      <c r="AR209" s="347"/>
      <c r="AS209" s="347"/>
      <c r="AT209" s="347"/>
      <c r="AU209" s="347"/>
      <c r="AV209" s="347"/>
      <c r="AW209" s="347"/>
      <c r="AX209" s="347"/>
      <c r="AY209" s="347"/>
      <c r="AZ209" s="347"/>
      <c r="BA209" s="347"/>
      <c r="BB209" s="347"/>
      <c r="BC209" s="347"/>
      <c r="BD209" s="347"/>
      <c r="BE209" s="347"/>
      <c r="BF209" s="347"/>
      <c r="BG209" s="347"/>
    </row>
    <row r="210" spans="2:59"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47"/>
      <c r="I210" s="347"/>
      <c r="J210" s="347"/>
      <c r="K210" s="347"/>
      <c r="L210" s="347"/>
      <c r="M210" s="347"/>
      <c r="N210" s="347"/>
      <c r="O210" s="347"/>
      <c r="P210" s="347"/>
      <c r="Q210" s="347"/>
      <c r="R210" s="347"/>
      <c r="S210" s="347"/>
      <c r="T210" s="347"/>
      <c r="U210" s="347"/>
      <c r="V210" s="347"/>
      <c r="W210" s="347"/>
      <c r="X210" s="347"/>
      <c r="Y210" s="347"/>
      <c r="Z210" s="347"/>
      <c r="AA210" s="347"/>
      <c r="AB210" s="347"/>
      <c r="AC210" s="347"/>
      <c r="AD210" s="347"/>
      <c r="AE210" s="347"/>
      <c r="AF210" s="347"/>
      <c r="AG210" s="347"/>
      <c r="AH210" s="347"/>
      <c r="AI210" s="347"/>
      <c r="AJ210" s="347"/>
      <c r="AK210" s="347"/>
      <c r="AL210" s="347"/>
      <c r="AM210" s="347"/>
      <c r="AN210" s="347"/>
      <c r="AO210" s="347"/>
      <c r="AP210" s="347"/>
      <c r="AQ210" s="347"/>
      <c r="AR210" s="347"/>
      <c r="AS210" s="347"/>
      <c r="AT210" s="347"/>
      <c r="AU210" s="347"/>
      <c r="AV210" s="347"/>
      <c r="AW210" s="347"/>
      <c r="AX210" s="347"/>
      <c r="AY210" s="347"/>
      <c r="AZ210" s="347"/>
      <c r="BA210" s="347"/>
      <c r="BB210" s="347"/>
      <c r="BC210" s="347"/>
      <c r="BD210" s="347"/>
      <c r="BE210" s="347"/>
      <c r="BF210" s="347"/>
      <c r="BG210" s="347"/>
    </row>
    <row r="211" spans="2:59"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47"/>
      <c r="I211" s="347"/>
      <c r="J211" s="347"/>
      <c r="K211" s="347"/>
      <c r="L211" s="347"/>
      <c r="M211" s="347"/>
      <c r="N211" s="347"/>
      <c r="O211" s="347"/>
      <c r="P211" s="347"/>
      <c r="Q211" s="347"/>
      <c r="R211" s="347"/>
      <c r="S211" s="347"/>
      <c r="T211" s="347"/>
      <c r="U211" s="347"/>
      <c r="V211" s="347"/>
      <c r="W211" s="347"/>
      <c r="X211" s="347"/>
      <c r="Y211" s="347"/>
      <c r="Z211" s="347"/>
      <c r="AA211" s="347"/>
      <c r="AB211" s="347"/>
      <c r="AC211" s="347"/>
      <c r="AD211" s="347"/>
      <c r="AE211" s="347"/>
      <c r="AF211" s="347"/>
      <c r="AG211" s="347"/>
      <c r="AH211" s="347"/>
      <c r="AI211" s="347"/>
      <c r="AJ211" s="347"/>
      <c r="AK211" s="347"/>
      <c r="AL211" s="347"/>
      <c r="AM211" s="347"/>
      <c r="AN211" s="347"/>
      <c r="AO211" s="347"/>
      <c r="AP211" s="347"/>
      <c r="AQ211" s="347"/>
      <c r="AR211" s="347"/>
      <c r="AS211" s="347"/>
      <c r="AT211" s="347"/>
      <c r="AU211" s="347"/>
      <c r="AV211" s="347"/>
      <c r="AW211" s="347"/>
      <c r="AX211" s="347"/>
      <c r="AY211" s="347"/>
      <c r="AZ211" s="347"/>
      <c r="BA211" s="347"/>
      <c r="BB211" s="347"/>
      <c r="BC211" s="347"/>
      <c r="BD211" s="347"/>
      <c r="BE211" s="347"/>
      <c r="BF211" s="347"/>
      <c r="BG211" s="347"/>
    </row>
    <row r="212" spans="2:59"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47"/>
      <c r="I212" s="347"/>
      <c r="J212" s="347"/>
      <c r="K212" s="347"/>
      <c r="L212" s="347"/>
      <c r="M212" s="347"/>
      <c r="N212" s="347"/>
      <c r="O212" s="347"/>
      <c r="P212" s="347"/>
      <c r="Q212" s="347"/>
      <c r="R212" s="347"/>
      <c r="S212" s="347"/>
      <c r="T212" s="347"/>
      <c r="U212" s="347"/>
      <c r="V212" s="347"/>
      <c r="W212" s="347"/>
      <c r="X212" s="347"/>
      <c r="Y212" s="347"/>
      <c r="Z212" s="347"/>
      <c r="AA212" s="347"/>
      <c r="AB212" s="347"/>
      <c r="AC212" s="347"/>
      <c r="AD212" s="347"/>
      <c r="AE212" s="347"/>
      <c r="AF212" s="347"/>
      <c r="AG212" s="347"/>
      <c r="AH212" s="347"/>
      <c r="AI212" s="347"/>
      <c r="AJ212" s="347"/>
      <c r="AK212" s="347"/>
      <c r="AL212" s="347"/>
      <c r="AM212" s="347"/>
      <c r="AN212" s="347"/>
      <c r="AO212" s="347"/>
      <c r="AP212" s="347"/>
      <c r="AQ212" s="347"/>
      <c r="AR212" s="347"/>
      <c r="AS212" s="347"/>
      <c r="AT212" s="347"/>
      <c r="AU212" s="347"/>
      <c r="AV212" s="347"/>
      <c r="AW212" s="347"/>
      <c r="AX212" s="347"/>
      <c r="AY212" s="347"/>
      <c r="AZ212" s="347"/>
      <c r="BA212" s="347"/>
      <c r="BB212" s="347"/>
      <c r="BC212" s="347"/>
      <c r="BD212" s="347"/>
      <c r="BE212" s="347"/>
      <c r="BF212" s="347"/>
      <c r="BG212" s="347"/>
    </row>
    <row r="213" spans="2:59"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row>
    <row r="214" spans="2:59"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47"/>
      <c r="I214" s="347"/>
      <c r="J214" s="347"/>
      <c r="K214" s="347"/>
      <c r="L214" s="347"/>
      <c r="M214" s="347"/>
      <c r="N214" s="347"/>
      <c r="O214" s="347"/>
      <c r="P214" s="347"/>
      <c r="Q214" s="347"/>
      <c r="R214" s="347"/>
      <c r="S214" s="347"/>
      <c r="T214" s="347"/>
      <c r="U214" s="347"/>
      <c r="V214" s="347"/>
      <c r="W214" s="347"/>
      <c r="X214" s="347"/>
      <c r="Y214" s="347"/>
      <c r="Z214" s="347"/>
      <c r="AA214" s="347"/>
      <c r="AB214" s="347"/>
      <c r="AC214" s="347"/>
      <c r="AD214" s="347"/>
      <c r="AE214" s="347"/>
      <c r="AF214" s="347"/>
      <c r="AG214" s="347"/>
      <c r="AH214" s="347"/>
      <c r="AI214" s="347"/>
      <c r="AJ214" s="347"/>
      <c r="AK214" s="347"/>
      <c r="AL214" s="347"/>
      <c r="AM214" s="347"/>
      <c r="AN214" s="347"/>
      <c r="AO214" s="347"/>
      <c r="AP214" s="347"/>
      <c r="AQ214" s="347"/>
      <c r="AR214" s="347"/>
      <c r="AS214" s="347"/>
      <c r="AT214" s="347"/>
      <c r="AU214" s="347"/>
      <c r="AV214" s="347"/>
      <c r="AW214" s="347"/>
      <c r="AX214" s="347"/>
      <c r="AY214" s="347"/>
      <c r="AZ214" s="347"/>
      <c r="BA214" s="347"/>
      <c r="BB214" s="347"/>
      <c r="BC214" s="347"/>
      <c r="BD214" s="347"/>
      <c r="BE214" s="347"/>
      <c r="BF214" s="347"/>
      <c r="BG214" s="347"/>
    </row>
    <row r="215" spans="2:59"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47"/>
      <c r="I215" s="347"/>
      <c r="J215" s="347"/>
      <c r="K215" s="347"/>
      <c r="L215" s="347"/>
      <c r="M215" s="347"/>
      <c r="N215" s="347"/>
      <c r="O215" s="347"/>
      <c r="P215" s="347"/>
      <c r="Q215" s="347"/>
      <c r="R215" s="347"/>
      <c r="S215" s="347"/>
      <c r="T215" s="347"/>
      <c r="U215" s="347"/>
      <c r="V215" s="347"/>
      <c r="W215" s="347"/>
      <c r="X215" s="347"/>
      <c r="Y215" s="347"/>
      <c r="Z215" s="347"/>
      <c r="AA215" s="347"/>
      <c r="AB215" s="347"/>
      <c r="AC215" s="347"/>
      <c r="AD215" s="347"/>
      <c r="AE215" s="347"/>
      <c r="AF215" s="347"/>
      <c r="AG215" s="347"/>
      <c r="AH215" s="347"/>
      <c r="AI215" s="347"/>
      <c r="AJ215" s="347"/>
      <c r="AK215" s="347"/>
      <c r="AL215" s="347"/>
      <c r="AM215" s="347"/>
      <c r="AN215" s="347"/>
      <c r="AO215" s="347"/>
      <c r="AP215" s="347"/>
      <c r="AQ215" s="347"/>
      <c r="AR215" s="347"/>
      <c r="AS215" s="347"/>
      <c r="AT215" s="347"/>
      <c r="AU215" s="347"/>
      <c r="AV215" s="347"/>
      <c r="AW215" s="347"/>
      <c r="AX215" s="347"/>
      <c r="AY215" s="347"/>
      <c r="AZ215" s="347"/>
      <c r="BA215" s="347"/>
      <c r="BB215" s="347"/>
      <c r="BC215" s="347"/>
      <c r="BD215" s="347"/>
      <c r="BE215" s="347"/>
      <c r="BF215" s="347"/>
      <c r="BG215" s="347"/>
    </row>
    <row r="216" spans="2:59"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47"/>
      <c r="I216" s="347"/>
      <c r="J216" s="347"/>
      <c r="K216" s="347"/>
      <c r="L216" s="347"/>
      <c r="M216" s="347"/>
      <c r="N216" s="347"/>
      <c r="O216" s="347"/>
      <c r="P216" s="347"/>
      <c r="Q216" s="347"/>
      <c r="R216" s="347"/>
      <c r="S216" s="347"/>
      <c r="T216" s="347"/>
      <c r="U216" s="347"/>
      <c r="V216" s="347"/>
      <c r="W216" s="347"/>
      <c r="X216" s="347"/>
      <c r="Y216" s="347"/>
      <c r="Z216" s="347"/>
      <c r="AA216" s="347"/>
      <c r="AB216" s="347"/>
      <c r="AC216" s="347"/>
      <c r="AD216" s="347"/>
      <c r="AE216" s="347"/>
      <c r="AF216" s="347"/>
      <c r="AG216" s="347"/>
      <c r="AH216" s="347"/>
      <c r="AI216" s="347"/>
      <c r="AJ216" s="347"/>
      <c r="AK216" s="347"/>
      <c r="AL216" s="347"/>
      <c r="AM216" s="347"/>
      <c r="AN216" s="347"/>
      <c r="AO216" s="347"/>
      <c r="AP216" s="347"/>
      <c r="AQ216" s="347"/>
      <c r="AR216" s="347"/>
      <c r="AS216" s="347"/>
      <c r="AT216" s="347"/>
      <c r="AU216" s="347"/>
      <c r="AV216" s="347"/>
      <c r="AW216" s="347"/>
      <c r="AX216" s="347"/>
      <c r="AY216" s="347"/>
      <c r="AZ216" s="347"/>
      <c r="BA216" s="347"/>
      <c r="BB216" s="347"/>
      <c r="BC216" s="347"/>
      <c r="BD216" s="347"/>
      <c r="BE216" s="347"/>
      <c r="BF216" s="347"/>
      <c r="BG216" s="347"/>
    </row>
    <row r="217" spans="2:59"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47"/>
      <c r="I217" s="347"/>
      <c r="J217" s="347"/>
      <c r="K217" s="347"/>
      <c r="L217" s="347"/>
      <c r="M217" s="347"/>
      <c r="N217" s="347"/>
      <c r="O217" s="347"/>
      <c r="P217" s="347"/>
      <c r="Q217" s="347"/>
      <c r="R217" s="347"/>
      <c r="S217" s="347"/>
      <c r="T217" s="347"/>
      <c r="U217" s="347"/>
      <c r="V217" s="347"/>
      <c r="W217" s="347"/>
      <c r="X217" s="347"/>
      <c r="Y217" s="347"/>
      <c r="Z217" s="347"/>
      <c r="AA217" s="347"/>
      <c r="AB217" s="347"/>
      <c r="AC217" s="347"/>
      <c r="AD217" s="347"/>
      <c r="AE217" s="347"/>
      <c r="AF217" s="347"/>
      <c r="AG217" s="347"/>
      <c r="AH217" s="347"/>
      <c r="AI217" s="347"/>
      <c r="AJ217" s="347"/>
      <c r="AK217" s="347"/>
      <c r="AL217" s="347"/>
      <c r="AM217" s="347"/>
      <c r="AN217" s="347"/>
      <c r="AO217" s="347"/>
      <c r="AP217" s="347"/>
      <c r="AQ217" s="347"/>
      <c r="AR217" s="347"/>
      <c r="AS217" s="347"/>
      <c r="AT217" s="347"/>
      <c r="AU217" s="347"/>
      <c r="AV217" s="347"/>
      <c r="AW217" s="347"/>
      <c r="AX217" s="347"/>
      <c r="AY217" s="347"/>
      <c r="AZ217" s="347"/>
      <c r="BA217" s="347"/>
      <c r="BB217" s="347"/>
      <c r="BC217" s="347"/>
      <c r="BD217" s="347"/>
      <c r="BE217" s="347"/>
      <c r="BF217" s="347"/>
      <c r="BG217" s="347"/>
    </row>
    <row r="218" spans="2:59"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47"/>
      <c r="I218" s="347"/>
      <c r="J218" s="347"/>
      <c r="K218" s="347"/>
      <c r="L218" s="347"/>
      <c r="M218" s="347"/>
      <c r="N218" s="347"/>
      <c r="O218" s="347"/>
      <c r="P218" s="347"/>
      <c r="Q218" s="347"/>
      <c r="R218" s="347"/>
      <c r="S218" s="347"/>
      <c r="T218" s="347"/>
      <c r="U218" s="347"/>
      <c r="V218" s="347"/>
      <c r="W218" s="347"/>
      <c r="X218" s="347"/>
      <c r="Y218" s="347"/>
      <c r="Z218" s="347"/>
      <c r="AA218" s="347"/>
      <c r="AB218" s="347"/>
      <c r="AC218" s="347"/>
      <c r="AD218" s="347"/>
      <c r="AE218" s="347"/>
      <c r="AF218" s="347"/>
      <c r="AG218" s="347"/>
      <c r="AH218" s="347"/>
      <c r="AI218" s="347"/>
      <c r="AJ218" s="347"/>
      <c r="AK218" s="347"/>
      <c r="AL218" s="347"/>
      <c r="AM218" s="347"/>
      <c r="AN218" s="347"/>
      <c r="AO218" s="347"/>
      <c r="AP218" s="347"/>
      <c r="AQ218" s="347"/>
      <c r="AR218" s="347"/>
      <c r="AS218" s="347"/>
      <c r="AT218" s="347"/>
      <c r="AU218" s="347"/>
      <c r="AV218" s="347"/>
      <c r="AW218" s="347"/>
      <c r="AX218" s="347"/>
      <c r="AY218" s="347"/>
      <c r="AZ218" s="347"/>
      <c r="BA218" s="347"/>
      <c r="BB218" s="347"/>
      <c r="BC218" s="347"/>
      <c r="BD218" s="347"/>
      <c r="BE218" s="347"/>
      <c r="BF218" s="347"/>
      <c r="BG218" s="347"/>
    </row>
    <row r="219" spans="2:59"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47"/>
      <c r="I219" s="347"/>
      <c r="J219" s="347"/>
      <c r="K219" s="347"/>
      <c r="L219" s="347"/>
      <c r="M219" s="347"/>
      <c r="N219" s="347"/>
      <c r="O219" s="347"/>
      <c r="P219" s="347"/>
      <c r="Q219" s="347"/>
      <c r="R219" s="347"/>
      <c r="S219" s="347"/>
      <c r="T219" s="347"/>
      <c r="U219" s="347"/>
      <c r="V219" s="347"/>
      <c r="W219" s="347"/>
      <c r="X219" s="347"/>
      <c r="Y219" s="347"/>
      <c r="Z219" s="347"/>
      <c r="AA219" s="347"/>
      <c r="AB219" s="347"/>
      <c r="AC219" s="347"/>
      <c r="AD219" s="347"/>
      <c r="AE219" s="347"/>
      <c r="AF219" s="347"/>
      <c r="AG219" s="347"/>
      <c r="AH219" s="347"/>
      <c r="AI219" s="347"/>
      <c r="AJ219" s="347"/>
      <c r="AK219" s="347"/>
      <c r="AL219" s="347"/>
      <c r="AM219" s="347"/>
      <c r="AN219" s="347"/>
      <c r="AO219" s="347"/>
      <c r="AP219" s="347"/>
      <c r="AQ219" s="347"/>
      <c r="AR219" s="347"/>
      <c r="AS219" s="347"/>
      <c r="AT219" s="347"/>
      <c r="AU219" s="347"/>
      <c r="AV219" s="347"/>
      <c r="AW219" s="347"/>
      <c r="AX219" s="347"/>
      <c r="AY219" s="347"/>
      <c r="AZ219" s="347"/>
      <c r="BA219" s="347"/>
      <c r="BB219" s="347"/>
      <c r="BC219" s="347"/>
      <c r="BD219" s="347"/>
      <c r="BE219" s="347"/>
      <c r="BF219" s="347"/>
      <c r="BG219" s="347"/>
    </row>
    <row r="220" spans="2:59"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47"/>
      <c r="I220" s="347"/>
      <c r="J220" s="347"/>
      <c r="K220" s="347"/>
      <c r="L220" s="347"/>
      <c r="M220" s="347"/>
      <c r="N220" s="347"/>
      <c r="O220" s="347"/>
      <c r="P220" s="347"/>
      <c r="Q220" s="347"/>
      <c r="R220" s="347"/>
      <c r="S220" s="347"/>
      <c r="T220" s="347"/>
      <c r="U220" s="347"/>
      <c r="V220" s="347"/>
      <c r="W220" s="347"/>
      <c r="X220" s="347"/>
      <c r="Y220" s="347"/>
      <c r="Z220" s="347"/>
      <c r="AA220" s="347"/>
      <c r="AB220" s="347"/>
      <c r="AC220" s="347"/>
      <c r="AD220" s="347"/>
      <c r="AE220" s="347"/>
      <c r="AF220" s="347"/>
      <c r="AG220" s="347"/>
      <c r="AH220" s="347"/>
      <c r="AI220" s="347"/>
      <c r="AJ220" s="347"/>
      <c r="AK220" s="347"/>
      <c r="AL220" s="347"/>
      <c r="AM220" s="347"/>
      <c r="AN220" s="347"/>
      <c r="AO220" s="347"/>
      <c r="AP220" s="347"/>
      <c r="AQ220" s="347"/>
      <c r="AR220" s="347"/>
      <c r="AS220" s="347"/>
      <c r="AT220" s="347"/>
      <c r="AU220" s="347"/>
      <c r="AV220" s="347"/>
      <c r="AW220" s="347"/>
      <c r="AX220" s="347"/>
      <c r="AY220" s="347"/>
      <c r="AZ220" s="347"/>
      <c r="BA220" s="347"/>
      <c r="BB220" s="347"/>
      <c r="BC220" s="347"/>
      <c r="BD220" s="347"/>
      <c r="BE220" s="347"/>
      <c r="BF220" s="347"/>
      <c r="BG220" s="347"/>
    </row>
    <row r="221" spans="2:59"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47"/>
      <c r="I221" s="347"/>
      <c r="J221" s="347"/>
      <c r="K221" s="347"/>
      <c r="L221" s="347"/>
      <c r="M221" s="347"/>
      <c r="N221" s="347"/>
      <c r="O221" s="347"/>
      <c r="P221" s="347"/>
      <c r="Q221" s="347"/>
      <c r="R221" s="347"/>
      <c r="S221" s="347"/>
      <c r="T221" s="347"/>
      <c r="U221" s="347"/>
      <c r="V221" s="347"/>
      <c r="W221" s="347"/>
      <c r="X221" s="347"/>
      <c r="Y221" s="347"/>
      <c r="Z221" s="347"/>
      <c r="AA221" s="347"/>
      <c r="AB221" s="347"/>
      <c r="AC221" s="347"/>
      <c r="AD221" s="347"/>
      <c r="AE221" s="347"/>
      <c r="AF221" s="347"/>
      <c r="AG221" s="347"/>
      <c r="AH221" s="347"/>
      <c r="AI221" s="347"/>
      <c r="AJ221" s="347"/>
      <c r="AK221" s="347"/>
      <c r="AL221" s="347"/>
      <c r="AM221" s="347"/>
      <c r="AN221" s="347"/>
      <c r="AO221" s="347"/>
      <c r="AP221" s="347"/>
      <c r="AQ221" s="347"/>
      <c r="AR221" s="347"/>
      <c r="AS221" s="347"/>
      <c r="AT221" s="347"/>
      <c r="AU221" s="347"/>
      <c r="AV221" s="347"/>
      <c r="AW221" s="347"/>
      <c r="AX221" s="347"/>
      <c r="AY221" s="347"/>
      <c r="AZ221" s="347"/>
      <c r="BA221" s="347"/>
      <c r="BB221" s="347"/>
      <c r="BC221" s="347"/>
      <c r="BD221" s="347"/>
      <c r="BE221" s="347"/>
      <c r="BF221" s="347"/>
      <c r="BG221" s="347"/>
    </row>
    <row r="222" spans="2:59"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47"/>
      <c r="I222" s="347"/>
      <c r="J222" s="347"/>
      <c r="K222" s="347"/>
      <c r="L222" s="347"/>
      <c r="M222" s="347"/>
      <c r="N222" s="347"/>
      <c r="O222" s="347"/>
      <c r="P222" s="347"/>
      <c r="Q222" s="347"/>
      <c r="R222" s="347"/>
      <c r="S222" s="347"/>
      <c r="T222" s="347"/>
      <c r="U222" s="347"/>
      <c r="V222" s="347"/>
      <c r="W222" s="347"/>
      <c r="X222" s="347"/>
      <c r="Y222" s="347"/>
      <c r="Z222" s="347"/>
      <c r="AA222" s="347"/>
      <c r="AB222" s="347"/>
      <c r="AC222" s="347"/>
      <c r="AD222" s="347"/>
      <c r="AE222" s="347"/>
      <c r="AF222" s="347"/>
      <c r="AG222" s="347"/>
      <c r="AH222" s="347"/>
      <c r="AI222" s="347"/>
      <c r="AJ222" s="347"/>
      <c r="AK222" s="347"/>
      <c r="AL222" s="347"/>
      <c r="AM222" s="347"/>
      <c r="AN222" s="347"/>
      <c r="AO222" s="347"/>
      <c r="AP222" s="347"/>
      <c r="AQ222" s="347"/>
      <c r="AR222" s="347"/>
      <c r="AS222" s="347"/>
      <c r="AT222" s="347"/>
      <c r="AU222" s="347"/>
      <c r="AV222" s="347"/>
      <c r="AW222" s="347"/>
      <c r="AX222" s="347"/>
      <c r="AY222" s="347"/>
      <c r="AZ222" s="347"/>
      <c r="BA222" s="347"/>
      <c r="BB222" s="347"/>
      <c r="BC222" s="347"/>
      <c r="BD222" s="347"/>
      <c r="BE222" s="347"/>
      <c r="BF222" s="347"/>
      <c r="BG222" s="347"/>
    </row>
    <row r="223" spans="2:59"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47"/>
      <c r="I223" s="347"/>
      <c r="J223" s="347"/>
      <c r="K223" s="347"/>
      <c r="L223" s="347"/>
      <c r="M223" s="347"/>
      <c r="N223" s="347"/>
      <c r="O223" s="347"/>
      <c r="P223" s="347"/>
      <c r="Q223" s="347"/>
      <c r="R223" s="347"/>
      <c r="S223" s="347"/>
      <c r="T223" s="347"/>
      <c r="U223" s="347"/>
      <c r="V223" s="347"/>
      <c r="W223" s="347"/>
      <c r="X223" s="347"/>
      <c r="Y223" s="347"/>
      <c r="Z223" s="347"/>
      <c r="AA223" s="347"/>
      <c r="AB223" s="347"/>
      <c r="AC223" s="347"/>
      <c r="AD223" s="347"/>
      <c r="AE223" s="347"/>
      <c r="AF223" s="347"/>
      <c r="AG223" s="347"/>
      <c r="AH223" s="347"/>
      <c r="AI223" s="347"/>
      <c r="AJ223" s="347"/>
      <c r="AK223" s="347"/>
      <c r="AL223" s="347"/>
      <c r="AM223" s="347"/>
      <c r="AN223" s="347"/>
      <c r="AO223" s="347"/>
      <c r="AP223" s="347"/>
      <c r="AQ223" s="347"/>
      <c r="AR223" s="347"/>
      <c r="AS223" s="347"/>
      <c r="AT223" s="347"/>
      <c r="AU223" s="347"/>
      <c r="AV223" s="347"/>
      <c r="AW223" s="347"/>
      <c r="AX223" s="347"/>
      <c r="AY223" s="347"/>
      <c r="AZ223" s="347"/>
      <c r="BA223" s="347"/>
      <c r="BB223" s="347"/>
      <c r="BC223" s="347"/>
      <c r="BD223" s="347"/>
      <c r="BE223" s="347"/>
      <c r="BF223" s="347"/>
      <c r="BG223" s="347"/>
    </row>
    <row r="224" spans="2:59" x14ac:dyDescent="0.25">
      <c r="H224" s="353"/>
      <c r="I224" s="353"/>
      <c r="J224" s="353"/>
      <c r="K224" s="353"/>
      <c r="L224" s="353"/>
      <c r="M224" s="353"/>
      <c r="N224" s="353"/>
      <c r="O224" s="353"/>
      <c r="P224" s="353"/>
      <c r="Q224" s="353"/>
      <c r="R224" s="353"/>
      <c r="S224" s="353"/>
      <c r="T224" s="353"/>
      <c r="U224" s="353"/>
      <c r="V224" s="353"/>
      <c r="W224" s="353"/>
      <c r="X224" s="353"/>
      <c r="Y224" s="353"/>
      <c r="Z224" s="353"/>
      <c r="AA224" s="353"/>
      <c r="AB224" s="353"/>
      <c r="AC224" s="353"/>
      <c r="AD224" s="353"/>
      <c r="AE224" s="353"/>
      <c r="AF224" s="353"/>
      <c r="AG224" s="353"/>
      <c r="AH224" s="353"/>
      <c r="AI224" s="353"/>
      <c r="AJ224" s="353"/>
      <c r="AK224" s="353"/>
      <c r="AL224" s="353"/>
      <c r="AM224" s="353"/>
      <c r="AN224" s="353"/>
      <c r="AO224" s="353"/>
      <c r="AP224" s="353"/>
      <c r="AQ224" s="353"/>
      <c r="AR224" s="353"/>
      <c r="AS224" s="353"/>
      <c r="AT224" s="353"/>
      <c r="AU224" s="353"/>
      <c r="AV224" s="353"/>
      <c r="AW224" s="353"/>
      <c r="AX224" s="353"/>
      <c r="AY224" s="353"/>
      <c r="AZ224" s="353"/>
      <c r="BA224" s="353"/>
      <c r="BB224" s="353"/>
      <c r="BC224" s="353"/>
      <c r="BD224" s="353"/>
      <c r="BE224" s="353"/>
      <c r="BF224" s="353"/>
      <c r="BG224" s="353"/>
    </row>
    <row r="225" spans="8:59" x14ac:dyDescent="0.25">
      <c r="H225" s="353"/>
      <c r="I225" s="353"/>
      <c r="J225" s="353"/>
      <c r="K225" s="353"/>
      <c r="L225" s="353"/>
      <c r="M225" s="353"/>
      <c r="N225" s="353"/>
      <c r="O225" s="353"/>
      <c r="P225" s="353"/>
      <c r="Q225" s="353"/>
      <c r="R225" s="353"/>
      <c r="S225" s="353"/>
      <c r="T225" s="353"/>
      <c r="U225" s="353"/>
      <c r="V225" s="353"/>
      <c r="W225" s="353"/>
      <c r="X225" s="353"/>
      <c r="Y225" s="353"/>
      <c r="Z225" s="353"/>
      <c r="AA225" s="353"/>
      <c r="AB225" s="353"/>
      <c r="AC225" s="353"/>
      <c r="AD225" s="353"/>
      <c r="AE225" s="353"/>
      <c r="AF225" s="353"/>
      <c r="AG225" s="353"/>
      <c r="AH225" s="353"/>
      <c r="AI225" s="353"/>
      <c r="AJ225" s="353"/>
      <c r="AK225" s="353"/>
      <c r="AL225" s="353"/>
      <c r="AM225" s="353"/>
      <c r="AN225" s="353"/>
      <c r="AO225" s="353"/>
      <c r="AP225" s="353"/>
      <c r="AQ225" s="353"/>
      <c r="AR225" s="353"/>
      <c r="AS225" s="353"/>
      <c r="AT225" s="353"/>
      <c r="AU225" s="353"/>
      <c r="AV225" s="353"/>
      <c r="AW225" s="353"/>
      <c r="AX225" s="353"/>
      <c r="AY225" s="353"/>
      <c r="AZ225" s="353"/>
      <c r="BA225" s="353"/>
      <c r="BB225" s="353"/>
      <c r="BC225" s="353"/>
      <c r="BD225" s="353"/>
      <c r="BE225" s="353"/>
      <c r="BF225" s="353"/>
      <c r="BG225" s="353"/>
    </row>
    <row r="226" spans="8:59" x14ac:dyDescent="0.25">
      <c r="H226" s="353"/>
      <c r="I226" s="353"/>
      <c r="J226" s="353"/>
      <c r="K226" s="353"/>
      <c r="L226" s="353"/>
      <c r="M226" s="353"/>
      <c r="N226" s="353"/>
      <c r="O226" s="353"/>
      <c r="P226" s="353"/>
      <c r="Q226" s="353"/>
      <c r="R226" s="353"/>
      <c r="S226" s="353"/>
      <c r="T226" s="353"/>
      <c r="U226" s="353"/>
      <c r="V226" s="353"/>
      <c r="W226" s="353"/>
      <c r="X226" s="353"/>
      <c r="Y226" s="353"/>
      <c r="Z226" s="353"/>
      <c r="AA226" s="353"/>
      <c r="AB226" s="353"/>
      <c r="AC226" s="353"/>
      <c r="AD226" s="353"/>
      <c r="AE226" s="353"/>
      <c r="AF226" s="353"/>
      <c r="AG226" s="353"/>
      <c r="AH226" s="353"/>
      <c r="AI226" s="353"/>
      <c r="AJ226" s="353"/>
      <c r="AK226" s="353"/>
      <c r="AL226" s="353"/>
      <c r="AM226" s="353"/>
      <c r="AN226" s="353"/>
      <c r="AO226" s="353"/>
      <c r="AP226" s="353"/>
      <c r="AQ226" s="353"/>
      <c r="AR226" s="353"/>
      <c r="AS226" s="353"/>
      <c r="AT226" s="353"/>
      <c r="AU226" s="353"/>
      <c r="AV226" s="353"/>
      <c r="AW226" s="353"/>
      <c r="AX226" s="353"/>
      <c r="AY226" s="353"/>
      <c r="AZ226" s="353"/>
      <c r="BA226" s="353"/>
      <c r="BB226" s="353"/>
      <c r="BC226" s="353"/>
      <c r="BD226" s="353"/>
      <c r="BE226" s="353"/>
      <c r="BF226" s="353"/>
      <c r="BG226" s="353"/>
    </row>
    <row r="227" spans="8:59" x14ac:dyDescent="0.25">
      <c r="H227" s="353"/>
      <c r="I227" s="353"/>
      <c r="J227" s="353"/>
      <c r="K227" s="353"/>
      <c r="L227" s="353"/>
      <c r="M227" s="353"/>
      <c r="N227" s="353"/>
      <c r="O227" s="353"/>
      <c r="P227" s="353"/>
      <c r="Q227" s="353"/>
      <c r="R227" s="353"/>
      <c r="S227" s="353"/>
      <c r="T227" s="353"/>
      <c r="U227" s="353"/>
      <c r="V227" s="353"/>
      <c r="W227" s="353"/>
      <c r="X227" s="353"/>
      <c r="Y227" s="353"/>
      <c r="Z227" s="353"/>
      <c r="AA227" s="353"/>
      <c r="AB227" s="353"/>
      <c r="AC227" s="353"/>
      <c r="AD227" s="353"/>
      <c r="AE227" s="353"/>
      <c r="AF227" s="353"/>
      <c r="AG227" s="353"/>
      <c r="AH227" s="353"/>
      <c r="AI227" s="353"/>
      <c r="AJ227" s="353"/>
      <c r="AK227" s="353"/>
      <c r="AL227" s="353"/>
      <c r="AM227" s="353"/>
      <c r="AN227" s="353"/>
      <c r="AO227" s="353"/>
      <c r="AP227" s="353"/>
      <c r="AQ227" s="353"/>
      <c r="AR227" s="353"/>
      <c r="AS227" s="353"/>
      <c r="AT227" s="353"/>
      <c r="AU227" s="353"/>
      <c r="AV227" s="353"/>
      <c r="AW227" s="353"/>
      <c r="AX227" s="353"/>
      <c r="AY227" s="353"/>
      <c r="AZ227" s="353"/>
      <c r="BA227" s="353"/>
      <c r="BB227" s="353"/>
      <c r="BC227" s="353"/>
      <c r="BD227" s="353"/>
      <c r="BE227" s="353"/>
      <c r="BF227" s="353"/>
      <c r="BG227" s="353"/>
    </row>
    <row r="228" spans="8:59" x14ac:dyDescent="0.25">
      <c r="H228" s="353"/>
      <c r="I228" s="353"/>
      <c r="J228" s="353"/>
      <c r="K228" s="353"/>
      <c r="L228" s="353"/>
      <c r="M228" s="353"/>
      <c r="N228" s="353"/>
      <c r="O228" s="353"/>
      <c r="P228" s="353"/>
      <c r="Q228" s="353"/>
      <c r="R228" s="353"/>
      <c r="S228" s="353"/>
      <c r="T228" s="353"/>
      <c r="U228" s="353"/>
      <c r="V228" s="353"/>
      <c r="W228" s="353"/>
      <c r="X228" s="353"/>
      <c r="Y228" s="353"/>
      <c r="Z228" s="353"/>
      <c r="AA228" s="353"/>
      <c r="AB228" s="353"/>
      <c r="AC228" s="353"/>
      <c r="AD228" s="353"/>
      <c r="AE228" s="353"/>
      <c r="AF228" s="353"/>
      <c r="AG228" s="353"/>
      <c r="AH228" s="353"/>
      <c r="AI228" s="353"/>
      <c r="AJ228" s="353"/>
      <c r="AK228" s="353"/>
      <c r="AL228" s="353"/>
      <c r="AM228" s="353"/>
      <c r="AN228" s="353"/>
      <c r="AO228" s="353"/>
      <c r="AP228" s="353"/>
      <c r="AQ228" s="353"/>
      <c r="AR228" s="353"/>
      <c r="AS228" s="353"/>
      <c r="AT228" s="353"/>
      <c r="AU228" s="353"/>
      <c r="AV228" s="353"/>
      <c r="AW228" s="353"/>
      <c r="AX228" s="353"/>
      <c r="AY228" s="353"/>
      <c r="AZ228" s="353"/>
      <c r="BA228" s="353"/>
      <c r="BB228" s="353"/>
      <c r="BC228" s="353"/>
      <c r="BD228" s="353"/>
      <c r="BE228" s="353"/>
      <c r="BF228" s="353"/>
      <c r="BG228" s="353"/>
    </row>
    <row r="229" spans="8:59" x14ac:dyDescent="0.25">
      <c r="H229" s="353"/>
      <c r="I229" s="353"/>
      <c r="J229" s="353"/>
      <c r="K229" s="353"/>
      <c r="L229" s="353"/>
      <c r="M229" s="353"/>
      <c r="N229" s="353"/>
      <c r="O229" s="353"/>
      <c r="P229" s="353"/>
      <c r="Q229" s="353"/>
      <c r="R229" s="353"/>
      <c r="S229" s="353"/>
      <c r="T229" s="353"/>
      <c r="U229" s="353"/>
      <c r="V229" s="353"/>
      <c r="W229" s="353"/>
      <c r="X229" s="353"/>
      <c r="Y229" s="353"/>
      <c r="Z229" s="353"/>
      <c r="AA229" s="353"/>
      <c r="AB229" s="353"/>
      <c r="AC229" s="353"/>
      <c r="AD229" s="353"/>
      <c r="AE229" s="353"/>
      <c r="AF229" s="353"/>
      <c r="AG229" s="353"/>
      <c r="AH229" s="353"/>
      <c r="AI229" s="353"/>
      <c r="AJ229" s="353"/>
      <c r="AK229" s="353"/>
      <c r="AL229" s="353"/>
      <c r="AM229" s="353"/>
      <c r="AN229" s="353"/>
      <c r="AO229" s="353"/>
      <c r="AP229" s="353"/>
      <c r="AQ229" s="353"/>
      <c r="AR229" s="353"/>
      <c r="AS229" s="353"/>
      <c r="AT229" s="353"/>
      <c r="AU229" s="353"/>
      <c r="AV229" s="353"/>
      <c r="AW229" s="353"/>
      <c r="AX229" s="353"/>
      <c r="AY229" s="353"/>
      <c r="AZ229" s="353"/>
      <c r="BA229" s="353"/>
      <c r="BB229" s="353"/>
      <c r="BC229" s="353"/>
      <c r="BD229" s="353"/>
      <c r="BE229" s="353"/>
      <c r="BF229" s="353"/>
      <c r="BG229" s="353"/>
    </row>
    <row r="230" spans="8:59" x14ac:dyDescent="0.25">
      <c r="H230" s="353"/>
      <c r="I230" s="353"/>
      <c r="J230" s="353"/>
      <c r="K230" s="353"/>
      <c r="L230" s="353"/>
      <c r="M230" s="353"/>
      <c r="N230" s="353"/>
      <c r="O230" s="353"/>
      <c r="P230" s="353"/>
      <c r="Q230" s="353"/>
      <c r="R230" s="353"/>
      <c r="S230" s="353"/>
      <c r="T230" s="353"/>
      <c r="U230" s="353"/>
      <c r="V230" s="353"/>
      <c r="W230" s="353"/>
      <c r="X230" s="353"/>
      <c r="Y230" s="353"/>
      <c r="Z230" s="353"/>
      <c r="AA230" s="353"/>
      <c r="AB230" s="353"/>
      <c r="AC230" s="353"/>
      <c r="AD230" s="353"/>
      <c r="AE230" s="353"/>
      <c r="AF230" s="353"/>
      <c r="AG230" s="353"/>
      <c r="AH230" s="353"/>
      <c r="AI230" s="353"/>
      <c r="AJ230" s="353"/>
      <c r="AK230" s="353"/>
      <c r="AL230" s="353"/>
      <c r="AM230" s="353"/>
      <c r="AN230" s="353"/>
      <c r="AO230" s="353"/>
      <c r="AP230" s="353"/>
      <c r="AQ230" s="353"/>
      <c r="AR230" s="353"/>
      <c r="AS230" s="353"/>
      <c r="AT230" s="353"/>
      <c r="AU230" s="353"/>
      <c r="AV230" s="353"/>
      <c r="AW230" s="353"/>
      <c r="AX230" s="353"/>
      <c r="AY230" s="353"/>
      <c r="AZ230" s="353"/>
      <c r="BA230" s="353"/>
      <c r="BB230" s="353"/>
      <c r="BC230" s="353"/>
      <c r="BD230" s="353"/>
      <c r="BE230" s="353"/>
      <c r="BF230" s="353"/>
      <c r="BG230" s="353"/>
    </row>
    <row r="231" spans="8:59" x14ac:dyDescent="0.25">
      <c r="H231" s="353"/>
      <c r="I231" s="353"/>
      <c r="J231" s="353"/>
      <c r="K231" s="353"/>
      <c r="L231" s="353"/>
      <c r="M231" s="353"/>
      <c r="N231" s="353"/>
      <c r="O231" s="353"/>
      <c r="P231" s="353"/>
      <c r="Q231" s="353"/>
      <c r="R231" s="353"/>
      <c r="S231" s="353"/>
      <c r="T231" s="353"/>
      <c r="U231" s="353"/>
      <c r="V231" s="353"/>
      <c r="W231" s="353"/>
      <c r="X231" s="353"/>
      <c r="Y231" s="353"/>
      <c r="Z231" s="353"/>
      <c r="AA231" s="353"/>
      <c r="AB231" s="353"/>
      <c r="AC231" s="353"/>
      <c r="AD231" s="353"/>
      <c r="AE231" s="353"/>
      <c r="AF231" s="353"/>
      <c r="AG231" s="353"/>
      <c r="AH231" s="353"/>
      <c r="AI231" s="353"/>
      <c r="AJ231" s="353"/>
      <c r="AK231" s="353"/>
      <c r="AL231" s="353"/>
      <c r="AM231" s="353"/>
      <c r="AN231" s="353"/>
      <c r="AO231" s="353"/>
      <c r="AP231" s="353"/>
      <c r="AQ231" s="353"/>
      <c r="AR231" s="353"/>
      <c r="AS231" s="353"/>
      <c r="AT231" s="353"/>
      <c r="AU231" s="353"/>
      <c r="AV231" s="353"/>
      <c r="AW231" s="353"/>
      <c r="AX231" s="353"/>
      <c r="AY231" s="353"/>
      <c r="AZ231" s="353"/>
      <c r="BA231" s="353"/>
      <c r="BB231" s="353"/>
      <c r="BC231" s="353"/>
      <c r="BD231" s="353"/>
      <c r="BE231" s="353"/>
      <c r="BF231" s="353"/>
      <c r="BG231" s="353"/>
    </row>
    <row r="232" spans="8:59" x14ac:dyDescent="0.25">
      <c r="H232" s="353"/>
      <c r="I232" s="353"/>
      <c r="J232" s="353"/>
      <c r="K232" s="353"/>
      <c r="L232" s="353"/>
      <c r="M232" s="353"/>
      <c r="N232" s="353"/>
      <c r="O232" s="353"/>
      <c r="P232" s="353"/>
      <c r="Q232" s="353"/>
      <c r="R232" s="353"/>
      <c r="S232" s="353"/>
      <c r="T232" s="353"/>
      <c r="U232" s="353"/>
      <c r="V232" s="353"/>
      <c r="W232" s="353"/>
      <c r="X232" s="353"/>
      <c r="Y232" s="353"/>
      <c r="Z232" s="353"/>
      <c r="AA232" s="353"/>
      <c r="AB232" s="353"/>
      <c r="AC232" s="353"/>
      <c r="AD232" s="353"/>
      <c r="AE232" s="353"/>
      <c r="AF232" s="353"/>
      <c r="AG232" s="353"/>
      <c r="AH232" s="353"/>
      <c r="AI232" s="353"/>
      <c r="AJ232" s="353"/>
      <c r="AK232" s="353"/>
      <c r="AL232" s="353"/>
      <c r="AM232" s="353"/>
      <c r="AN232" s="353"/>
      <c r="AO232" s="353"/>
      <c r="AP232" s="353"/>
      <c r="AQ232" s="353"/>
      <c r="AR232" s="353"/>
      <c r="AS232" s="353"/>
      <c r="AT232" s="353"/>
      <c r="AU232" s="353"/>
      <c r="AV232" s="353"/>
      <c r="AW232" s="353"/>
      <c r="AX232" s="353"/>
      <c r="AY232" s="353"/>
      <c r="AZ232" s="353"/>
      <c r="BA232" s="353"/>
      <c r="BB232" s="353"/>
      <c r="BC232" s="353"/>
      <c r="BD232" s="353"/>
      <c r="BE232" s="353"/>
      <c r="BF232" s="353"/>
      <c r="BG232" s="353"/>
    </row>
    <row r="233" spans="8:59" x14ac:dyDescent="0.25">
      <c r="H233" s="353"/>
      <c r="I233" s="353"/>
      <c r="J233" s="353"/>
      <c r="K233" s="353"/>
      <c r="L233" s="353"/>
      <c r="M233" s="353"/>
      <c r="N233" s="353"/>
      <c r="O233" s="353"/>
      <c r="P233" s="353"/>
      <c r="Q233" s="353"/>
      <c r="R233" s="353"/>
      <c r="S233" s="353"/>
      <c r="T233" s="353"/>
      <c r="U233" s="353"/>
      <c r="V233" s="353"/>
      <c r="W233" s="353"/>
      <c r="X233" s="353"/>
      <c r="Y233" s="353"/>
      <c r="Z233" s="353"/>
      <c r="AA233" s="353"/>
      <c r="AB233" s="353"/>
      <c r="AC233" s="353"/>
      <c r="AD233" s="353"/>
      <c r="AE233" s="353"/>
      <c r="AF233" s="353"/>
      <c r="AG233" s="353"/>
      <c r="AH233" s="353"/>
      <c r="AI233" s="353"/>
      <c r="AJ233" s="353"/>
      <c r="AK233" s="353"/>
      <c r="AL233" s="353"/>
      <c r="AM233" s="353"/>
      <c r="AN233" s="353"/>
      <c r="AO233" s="353"/>
      <c r="AP233" s="353"/>
      <c r="AQ233" s="353"/>
      <c r="AR233" s="353"/>
      <c r="AS233" s="353"/>
      <c r="AT233" s="353"/>
      <c r="AU233" s="353"/>
      <c r="AV233" s="353"/>
      <c r="AW233" s="353"/>
      <c r="AX233" s="353"/>
      <c r="AY233" s="353"/>
      <c r="AZ233" s="353"/>
      <c r="BA233" s="353"/>
      <c r="BB233" s="353"/>
      <c r="BC233" s="353"/>
      <c r="BD233" s="353"/>
      <c r="BE233" s="353"/>
      <c r="BF233" s="353"/>
      <c r="BG233" s="353"/>
    </row>
    <row r="234" spans="8:59" x14ac:dyDescent="0.25">
      <c r="H234" s="353"/>
      <c r="I234" s="353"/>
      <c r="J234" s="353"/>
      <c r="K234" s="353"/>
      <c r="L234" s="353"/>
      <c r="M234" s="353"/>
      <c r="N234" s="353"/>
      <c r="O234" s="353"/>
      <c r="P234" s="353"/>
      <c r="Q234" s="353"/>
      <c r="R234" s="353"/>
      <c r="S234" s="353"/>
      <c r="T234" s="353"/>
      <c r="U234" s="353"/>
      <c r="V234" s="353"/>
      <c r="W234" s="353"/>
      <c r="X234" s="353"/>
      <c r="Y234" s="353"/>
      <c r="Z234" s="353"/>
      <c r="AA234" s="353"/>
      <c r="AB234" s="353"/>
      <c r="AC234" s="353"/>
      <c r="AD234" s="353"/>
      <c r="AE234" s="353"/>
      <c r="AF234" s="353"/>
      <c r="AG234" s="353"/>
      <c r="AH234" s="353"/>
      <c r="AI234" s="353"/>
      <c r="AJ234" s="353"/>
      <c r="AK234" s="353"/>
      <c r="AL234" s="353"/>
      <c r="AM234" s="353"/>
      <c r="AN234" s="353"/>
      <c r="AO234" s="353"/>
      <c r="AP234" s="353"/>
      <c r="AQ234" s="353"/>
      <c r="AR234" s="353"/>
      <c r="AS234" s="353"/>
      <c r="AT234" s="353"/>
      <c r="AU234" s="353"/>
      <c r="AV234" s="353"/>
      <c r="AW234" s="353"/>
      <c r="AX234" s="353"/>
      <c r="AY234" s="353"/>
      <c r="AZ234" s="353"/>
      <c r="BA234" s="353"/>
      <c r="BB234" s="353"/>
      <c r="BC234" s="353"/>
      <c r="BD234" s="353"/>
      <c r="BE234" s="353"/>
      <c r="BF234" s="353"/>
      <c r="BG234" s="353"/>
    </row>
    <row r="235" spans="8:59" x14ac:dyDescent="0.25">
      <c r="H235" s="353"/>
      <c r="I235" s="353"/>
      <c r="J235" s="353"/>
      <c r="K235" s="353"/>
      <c r="L235" s="353"/>
      <c r="M235" s="353"/>
      <c r="N235" s="353"/>
      <c r="O235" s="353"/>
      <c r="P235" s="353"/>
      <c r="Q235" s="353"/>
      <c r="R235" s="353"/>
      <c r="S235" s="353"/>
      <c r="T235" s="353"/>
      <c r="U235" s="353"/>
      <c r="V235" s="353"/>
      <c r="W235" s="353"/>
      <c r="X235" s="353"/>
      <c r="Y235" s="353"/>
      <c r="Z235" s="353"/>
      <c r="AA235" s="353"/>
      <c r="AB235" s="353"/>
      <c r="AC235" s="353"/>
      <c r="AD235" s="353"/>
      <c r="AE235" s="353"/>
      <c r="AF235" s="353"/>
      <c r="AG235" s="353"/>
      <c r="AH235" s="353"/>
      <c r="AI235" s="353"/>
      <c r="AJ235" s="353"/>
      <c r="AK235" s="353"/>
      <c r="AL235" s="353"/>
      <c r="AM235" s="353"/>
      <c r="AN235" s="353"/>
      <c r="AO235" s="353"/>
      <c r="AP235" s="353"/>
      <c r="AQ235" s="353"/>
      <c r="AR235" s="353"/>
      <c r="AS235" s="353"/>
      <c r="AT235" s="353"/>
      <c r="AU235" s="353"/>
      <c r="AV235" s="353"/>
      <c r="AW235" s="353"/>
      <c r="AX235" s="353"/>
      <c r="AY235" s="353"/>
      <c r="AZ235" s="353"/>
      <c r="BA235" s="353"/>
      <c r="BB235" s="353"/>
      <c r="BC235" s="353"/>
      <c r="BD235" s="353"/>
      <c r="BE235" s="353"/>
      <c r="BF235" s="353"/>
      <c r="BG235" s="353"/>
    </row>
    <row r="236" spans="8:59" x14ac:dyDescent="0.25">
      <c r="H236" s="353"/>
      <c r="I236" s="353"/>
      <c r="J236" s="353"/>
      <c r="K236" s="353"/>
      <c r="L236" s="353"/>
      <c r="M236" s="353"/>
      <c r="N236" s="353"/>
      <c r="O236" s="353"/>
      <c r="P236" s="353"/>
      <c r="Q236" s="353"/>
      <c r="R236" s="353"/>
      <c r="S236" s="353"/>
      <c r="T236" s="353"/>
      <c r="U236" s="353"/>
      <c r="V236" s="353"/>
      <c r="W236" s="353"/>
      <c r="X236" s="353"/>
      <c r="Y236" s="353"/>
      <c r="Z236" s="353"/>
      <c r="AA236" s="353"/>
      <c r="AB236" s="353"/>
      <c r="AC236" s="353"/>
      <c r="AD236" s="353"/>
      <c r="AE236" s="353"/>
      <c r="AF236" s="353"/>
      <c r="AG236" s="353"/>
      <c r="AH236" s="353"/>
      <c r="AI236" s="353"/>
      <c r="AJ236" s="353"/>
      <c r="AK236" s="353"/>
      <c r="AL236" s="353"/>
      <c r="AM236" s="353"/>
      <c r="AN236" s="353"/>
      <c r="AO236" s="353"/>
      <c r="AP236" s="353"/>
      <c r="AQ236" s="353"/>
      <c r="AR236" s="353"/>
      <c r="AS236" s="353"/>
      <c r="AT236" s="353"/>
      <c r="AU236" s="353"/>
      <c r="AV236" s="353"/>
      <c r="AW236" s="353"/>
      <c r="AX236" s="353"/>
      <c r="AY236" s="353"/>
      <c r="AZ236" s="353"/>
      <c r="BA236" s="353"/>
      <c r="BB236" s="353"/>
      <c r="BC236" s="353"/>
      <c r="BD236" s="353"/>
      <c r="BE236" s="353"/>
      <c r="BF236" s="353"/>
      <c r="BG236" s="353"/>
    </row>
    <row r="237" spans="8:59" x14ac:dyDescent="0.25">
      <c r="H237" s="353"/>
      <c r="I237" s="353"/>
      <c r="J237" s="353"/>
      <c r="K237" s="353"/>
      <c r="L237" s="353"/>
      <c r="M237" s="353"/>
      <c r="N237" s="353"/>
      <c r="O237" s="353"/>
      <c r="P237" s="353"/>
      <c r="Q237" s="353"/>
      <c r="R237" s="353"/>
      <c r="S237" s="353"/>
      <c r="T237" s="353"/>
      <c r="U237" s="353"/>
      <c r="V237" s="353"/>
      <c r="W237" s="353"/>
      <c r="X237" s="353"/>
      <c r="Y237" s="353"/>
      <c r="Z237" s="353"/>
      <c r="AA237" s="353"/>
      <c r="AB237" s="353"/>
      <c r="AC237" s="353"/>
      <c r="AD237" s="353"/>
      <c r="AE237" s="353"/>
      <c r="AF237" s="353"/>
      <c r="AG237" s="353"/>
      <c r="AH237" s="353"/>
      <c r="AI237" s="353"/>
      <c r="AJ237" s="353"/>
      <c r="AK237" s="353"/>
      <c r="AL237" s="353"/>
      <c r="AM237" s="353"/>
      <c r="AN237" s="353"/>
      <c r="AO237" s="353"/>
      <c r="AP237" s="353"/>
      <c r="AQ237" s="353"/>
      <c r="AR237" s="353"/>
      <c r="AS237" s="353"/>
      <c r="AT237" s="353"/>
      <c r="AU237" s="353"/>
      <c r="AV237" s="353"/>
      <c r="AW237" s="353"/>
      <c r="AX237" s="353"/>
      <c r="AY237" s="353"/>
      <c r="AZ237" s="353"/>
      <c r="BA237" s="353"/>
      <c r="BB237" s="353"/>
      <c r="BC237" s="353"/>
      <c r="BD237" s="353"/>
      <c r="BE237" s="353"/>
      <c r="BF237" s="353"/>
      <c r="BG237" s="353"/>
    </row>
    <row r="238" spans="8:59" x14ac:dyDescent="0.25">
      <c r="H238" s="353"/>
      <c r="I238" s="353"/>
      <c r="J238" s="353"/>
      <c r="K238" s="353"/>
      <c r="L238" s="353"/>
      <c r="M238" s="353"/>
      <c r="N238" s="353"/>
      <c r="O238" s="353"/>
      <c r="P238" s="353"/>
      <c r="Q238" s="353"/>
      <c r="R238" s="353"/>
      <c r="S238" s="353"/>
      <c r="T238" s="353"/>
      <c r="U238" s="353"/>
      <c r="V238" s="353"/>
      <c r="W238" s="353"/>
      <c r="X238" s="353"/>
      <c r="Y238" s="353"/>
      <c r="Z238" s="353"/>
      <c r="AA238" s="353"/>
      <c r="AB238" s="353"/>
      <c r="AC238" s="353"/>
      <c r="AD238" s="353"/>
      <c r="AE238" s="353"/>
      <c r="AF238" s="353"/>
      <c r="AG238" s="353"/>
      <c r="AH238" s="353"/>
      <c r="AI238" s="353"/>
      <c r="AJ238" s="353"/>
      <c r="AK238" s="353"/>
      <c r="AL238" s="353"/>
      <c r="AM238" s="353"/>
      <c r="AN238" s="353"/>
      <c r="AO238" s="353"/>
      <c r="AP238" s="353"/>
      <c r="AQ238" s="353"/>
      <c r="AR238" s="353"/>
      <c r="AS238" s="353"/>
      <c r="AT238" s="353"/>
      <c r="AU238" s="353"/>
      <c r="AV238" s="353"/>
      <c r="AW238" s="353"/>
      <c r="AX238" s="353"/>
      <c r="AY238" s="353"/>
      <c r="AZ238" s="353"/>
      <c r="BA238" s="353"/>
      <c r="BB238" s="353"/>
      <c r="BC238" s="353"/>
      <c r="BD238" s="353"/>
      <c r="BE238" s="353"/>
      <c r="BF238" s="353"/>
      <c r="BG238" s="353"/>
    </row>
    <row r="239" spans="8:59" x14ac:dyDescent="0.25">
      <c r="H239" s="353"/>
      <c r="I239" s="353"/>
      <c r="J239" s="353"/>
      <c r="K239" s="353"/>
      <c r="L239" s="353"/>
      <c r="M239" s="353"/>
      <c r="N239" s="353"/>
      <c r="O239" s="353"/>
      <c r="P239" s="353"/>
      <c r="Q239" s="353"/>
      <c r="R239" s="353"/>
      <c r="S239" s="353"/>
      <c r="T239" s="353"/>
      <c r="U239" s="353"/>
      <c r="V239" s="353"/>
      <c r="W239" s="353"/>
      <c r="X239" s="353"/>
      <c r="Y239" s="353"/>
      <c r="Z239" s="353"/>
      <c r="AA239" s="353"/>
      <c r="AB239" s="353"/>
      <c r="AC239" s="353"/>
      <c r="AD239" s="353"/>
      <c r="AE239" s="353"/>
      <c r="AF239" s="353"/>
      <c r="AG239" s="353"/>
      <c r="AH239" s="353"/>
      <c r="AI239" s="353"/>
      <c r="AJ239" s="353"/>
      <c r="AK239" s="353"/>
      <c r="AL239" s="353"/>
      <c r="AM239" s="353"/>
      <c r="AN239" s="353"/>
      <c r="AO239" s="353"/>
      <c r="AP239" s="353"/>
      <c r="AQ239" s="353"/>
      <c r="AR239" s="353"/>
      <c r="AS239" s="353"/>
      <c r="AT239" s="353"/>
      <c r="AU239" s="353"/>
      <c r="AV239" s="353"/>
      <c r="AW239" s="353"/>
      <c r="AX239" s="353"/>
      <c r="AY239" s="353"/>
      <c r="AZ239" s="353"/>
      <c r="BA239" s="353"/>
      <c r="BB239" s="353"/>
      <c r="BC239" s="353"/>
      <c r="BD239" s="353"/>
      <c r="BE239" s="353"/>
      <c r="BF239" s="353"/>
      <c r="BG239" s="353"/>
    </row>
    <row r="240" spans="8:59" x14ac:dyDescent="0.25">
      <c r="H240" s="353"/>
      <c r="I240" s="353"/>
      <c r="J240" s="353"/>
      <c r="K240" s="353"/>
      <c r="L240" s="353"/>
      <c r="M240" s="353"/>
      <c r="N240" s="353"/>
      <c r="O240" s="353"/>
      <c r="P240" s="353"/>
      <c r="Q240" s="353"/>
      <c r="R240" s="353"/>
      <c r="S240" s="353"/>
      <c r="T240" s="353"/>
      <c r="U240" s="353"/>
      <c r="V240" s="353"/>
      <c r="W240" s="353"/>
      <c r="X240" s="353"/>
      <c r="Y240" s="353"/>
      <c r="Z240" s="353"/>
      <c r="AA240" s="353"/>
      <c r="AB240" s="353"/>
      <c r="AC240" s="353"/>
      <c r="AD240" s="353"/>
      <c r="AE240" s="353"/>
      <c r="AF240" s="353"/>
      <c r="AG240" s="353"/>
      <c r="AH240" s="353"/>
      <c r="AI240" s="353"/>
      <c r="AJ240" s="353"/>
      <c r="AK240" s="353"/>
      <c r="AL240" s="353"/>
      <c r="AM240" s="353"/>
      <c r="AN240" s="353"/>
      <c r="AO240" s="353"/>
      <c r="AP240" s="353"/>
      <c r="AQ240" s="353"/>
      <c r="AR240" s="353"/>
      <c r="AS240" s="353"/>
      <c r="AT240" s="353"/>
      <c r="AU240" s="353"/>
      <c r="AV240" s="353"/>
      <c r="AW240" s="353"/>
      <c r="AX240" s="353"/>
      <c r="AY240" s="353"/>
      <c r="AZ240" s="353"/>
      <c r="BA240" s="353"/>
      <c r="BB240" s="353"/>
      <c r="BC240" s="353"/>
      <c r="BD240" s="353"/>
      <c r="BE240" s="353"/>
      <c r="BF240" s="353"/>
      <c r="BG240" s="353"/>
    </row>
    <row r="241" spans="8:59" x14ac:dyDescent="0.25">
      <c r="H241" s="353"/>
      <c r="I241" s="353"/>
      <c r="J241" s="353"/>
      <c r="K241" s="353"/>
      <c r="L241" s="353"/>
      <c r="M241" s="353"/>
      <c r="N241" s="353"/>
      <c r="O241" s="353"/>
      <c r="P241" s="353"/>
      <c r="Q241" s="353"/>
      <c r="R241" s="353"/>
      <c r="S241" s="353"/>
      <c r="T241" s="353"/>
      <c r="U241" s="353"/>
      <c r="V241" s="353"/>
      <c r="W241" s="353"/>
      <c r="X241" s="353"/>
      <c r="Y241" s="353"/>
      <c r="Z241" s="353"/>
      <c r="AA241" s="353"/>
      <c r="AB241" s="353"/>
      <c r="AC241" s="353"/>
      <c r="AD241" s="353"/>
      <c r="AE241" s="353"/>
      <c r="AF241" s="353"/>
      <c r="AG241" s="353"/>
      <c r="AH241" s="353"/>
      <c r="AI241" s="353"/>
      <c r="AJ241" s="353"/>
      <c r="AK241" s="353"/>
      <c r="AL241" s="353"/>
      <c r="AM241" s="353"/>
      <c r="AN241" s="353"/>
      <c r="AO241" s="353"/>
      <c r="AP241" s="353"/>
      <c r="AQ241" s="353"/>
      <c r="AR241" s="353"/>
      <c r="AS241" s="353"/>
      <c r="AT241" s="353"/>
      <c r="AU241" s="353"/>
      <c r="AV241" s="353"/>
      <c r="AW241" s="353"/>
      <c r="AX241" s="353"/>
      <c r="AY241" s="353"/>
      <c r="AZ241" s="353"/>
      <c r="BA241" s="353"/>
      <c r="BB241" s="353"/>
      <c r="BC241" s="353"/>
      <c r="BD241" s="353"/>
      <c r="BE241" s="353"/>
      <c r="BF241" s="353"/>
      <c r="BG241" s="353"/>
    </row>
    <row r="242" spans="8:59" x14ac:dyDescent="0.25">
      <c r="H242" s="353"/>
      <c r="I242" s="353"/>
      <c r="J242" s="353"/>
      <c r="K242" s="353"/>
      <c r="L242" s="353"/>
      <c r="M242" s="353"/>
      <c r="N242" s="353"/>
      <c r="O242" s="353"/>
      <c r="P242" s="353"/>
      <c r="Q242" s="353"/>
      <c r="R242" s="353"/>
      <c r="S242" s="353"/>
      <c r="T242" s="353"/>
      <c r="U242" s="353"/>
      <c r="V242" s="353"/>
      <c r="W242" s="353"/>
      <c r="X242" s="353"/>
      <c r="Y242" s="353"/>
      <c r="Z242" s="353"/>
      <c r="AA242" s="353"/>
      <c r="AB242" s="353"/>
      <c r="AC242" s="353"/>
      <c r="AD242" s="353"/>
      <c r="AE242" s="353"/>
      <c r="AF242" s="353"/>
      <c r="AG242" s="353"/>
      <c r="AH242" s="353"/>
      <c r="AI242" s="353"/>
      <c r="AJ242" s="353"/>
      <c r="AK242" s="353"/>
      <c r="AL242" s="353"/>
      <c r="AM242" s="353"/>
      <c r="AN242" s="353"/>
      <c r="AO242" s="353"/>
      <c r="AP242" s="353"/>
      <c r="AQ242" s="353"/>
      <c r="AR242" s="353"/>
      <c r="AS242" s="353"/>
      <c r="AT242" s="353"/>
      <c r="AU242" s="353"/>
      <c r="AV242" s="353"/>
      <c r="AW242" s="353"/>
      <c r="AX242" s="353"/>
      <c r="AY242" s="353"/>
      <c r="AZ242" s="353"/>
      <c r="BA242" s="353"/>
      <c r="BB242" s="353"/>
      <c r="BC242" s="353"/>
      <c r="BD242" s="353"/>
      <c r="BE242" s="353"/>
      <c r="BF242" s="353"/>
      <c r="BG242" s="353"/>
    </row>
    <row r="243" spans="8:59" x14ac:dyDescent="0.25">
      <c r="H243" s="353"/>
      <c r="I243" s="353"/>
      <c r="J243" s="353"/>
      <c r="K243" s="353"/>
      <c r="L243" s="353"/>
      <c r="M243" s="353"/>
      <c r="N243" s="353"/>
      <c r="O243" s="353"/>
      <c r="P243" s="353"/>
      <c r="Q243" s="353"/>
      <c r="R243" s="353"/>
      <c r="S243" s="353"/>
      <c r="T243" s="353"/>
      <c r="U243" s="353"/>
      <c r="V243" s="353"/>
      <c r="W243" s="353"/>
      <c r="X243" s="353"/>
      <c r="Y243" s="353"/>
      <c r="Z243" s="353"/>
      <c r="AA243" s="353"/>
      <c r="AB243" s="353"/>
      <c r="AC243" s="353"/>
      <c r="AD243" s="353"/>
      <c r="AE243" s="353"/>
      <c r="AF243" s="353"/>
      <c r="AG243" s="353"/>
      <c r="AH243" s="353"/>
      <c r="AI243" s="353"/>
      <c r="AJ243" s="353"/>
      <c r="AK243" s="353"/>
      <c r="AL243" s="353"/>
      <c r="AM243" s="353"/>
      <c r="AN243" s="353"/>
      <c r="AO243" s="353"/>
      <c r="AP243" s="353"/>
      <c r="AQ243" s="353"/>
      <c r="AR243" s="353"/>
      <c r="AS243" s="353"/>
      <c r="AT243" s="353"/>
      <c r="AU243" s="353"/>
      <c r="AV243" s="353"/>
      <c r="AW243" s="353"/>
      <c r="AX243" s="353"/>
      <c r="AY243" s="353"/>
      <c r="AZ243" s="353"/>
      <c r="BA243" s="353"/>
      <c r="BB243" s="353"/>
      <c r="BC243" s="353"/>
      <c r="BD243" s="353"/>
      <c r="BE243" s="353"/>
      <c r="BF243" s="353"/>
      <c r="BG243" s="353"/>
    </row>
    <row r="244" spans="8:59" x14ac:dyDescent="0.25">
      <c r="H244" s="353"/>
      <c r="I244" s="353"/>
      <c r="J244" s="353"/>
      <c r="K244" s="353"/>
      <c r="L244" s="353"/>
      <c r="M244" s="353"/>
      <c r="N244" s="353"/>
      <c r="O244" s="353"/>
      <c r="P244" s="353"/>
      <c r="Q244" s="353"/>
      <c r="R244" s="353"/>
      <c r="S244" s="353"/>
      <c r="T244" s="353"/>
      <c r="U244" s="353"/>
      <c r="V244" s="353"/>
      <c r="W244" s="353"/>
      <c r="X244" s="353"/>
      <c r="Y244" s="353"/>
      <c r="Z244" s="353"/>
      <c r="AA244" s="353"/>
      <c r="AB244" s="353"/>
      <c r="AC244" s="353"/>
      <c r="AD244" s="353"/>
      <c r="AE244" s="353"/>
      <c r="AF244" s="353"/>
      <c r="AG244" s="353"/>
      <c r="AH244" s="353"/>
      <c r="AI244" s="353"/>
      <c r="AJ244" s="353"/>
      <c r="AK244" s="353"/>
      <c r="AL244" s="353"/>
      <c r="AM244" s="353"/>
      <c r="AN244" s="353"/>
      <c r="AO244" s="353"/>
      <c r="AP244" s="353"/>
      <c r="AQ244" s="353"/>
      <c r="AR244" s="353"/>
      <c r="AS244" s="353"/>
      <c r="AT244" s="353"/>
      <c r="AU244" s="353"/>
      <c r="AV244" s="353"/>
      <c r="AW244" s="353"/>
      <c r="AX244" s="353"/>
      <c r="AY244" s="353"/>
      <c r="AZ244" s="353"/>
      <c r="BA244" s="353"/>
      <c r="BB244" s="353"/>
      <c r="BC244" s="353"/>
      <c r="BD244" s="353"/>
      <c r="BE244" s="353"/>
      <c r="BF244" s="353"/>
      <c r="BG244" s="353"/>
    </row>
    <row r="245" spans="8:59" x14ac:dyDescent="0.25">
      <c r="H245" s="353"/>
      <c r="I245" s="353"/>
      <c r="J245" s="353"/>
      <c r="K245" s="353"/>
      <c r="L245" s="353"/>
      <c r="M245" s="353"/>
      <c r="N245" s="353"/>
      <c r="O245" s="353"/>
      <c r="P245" s="353"/>
      <c r="Q245" s="353"/>
      <c r="R245" s="353"/>
      <c r="S245" s="353"/>
      <c r="T245" s="353"/>
      <c r="U245" s="353"/>
      <c r="V245" s="353"/>
      <c r="W245" s="353"/>
      <c r="X245" s="353"/>
      <c r="Y245" s="353"/>
      <c r="Z245" s="353"/>
      <c r="AA245" s="353"/>
      <c r="AB245" s="353"/>
      <c r="AC245" s="353"/>
      <c r="AD245" s="353"/>
      <c r="AE245" s="353"/>
      <c r="AF245" s="353"/>
      <c r="AG245" s="353"/>
      <c r="AH245" s="353"/>
      <c r="AI245" s="353"/>
      <c r="AJ245" s="353"/>
      <c r="AK245" s="353"/>
      <c r="AL245" s="353"/>
      <c r="AM245" s="353"/>
      <c r="AN245" s="353"/>
      <c r="AO245" s="353"/>
      <c r="AP245" s="353"/>
      <c r="AQ245" s="353"/>
      <c r="AR245" s="353"/>
      <c r="AS245" s="353"/>
      <c r="AT245" s="353"/>
      <c r="AU245" s="353"/>
      <c r="AV245" s="353"/>
      <c r="AW245" s="353"/>
      <c r="AX245" s="353"/>
      <c r="AY245" s="353"/>
      <c r="AZ245" s="353"/>
      <c r="BA245" s="353"/>
      <c r="BB245" s="353"/>
      <c r="BC245" s="353"/>
      <c r="BD245" s="353"/>
      <c r="BE245" s="353"/>
      <c r="BF245" s="353"/>
      <c r="BG245" s="353"/>
    </row>
    <row r="246" spans="8:59" x14ac:dyDescent="0.25">
      <c r="H246" s="353"/>
      <c r="I246" s="353"/>
      <c r="J246" s="353"/>
      <c r="K246" s="353"/>
      <c r="L246" s="353"/>
      <c r="M246" s="353"/>
      <c r="N246" s="353"/>
      <c r="O246" s="353"/>
      <c r="P246" s="353"/>
      <c r="Q246" s="353"/>
      <c r="R246" s="353"/>
      <c r="S246" s="353"/>
      <c r="T246" s="353"/>
      <c r="U246" s="353"/>
      <c r="V246" s="353"/>
      <c r="W246" s="353"/>
      <c r="X246" s="353"/>
      <c r="Y246" s="353"/>
      <c r="Z246" s="353"/>
      <c r="AA246" s="353"/>
      <c r="AB246" s="353"/>
      <c r="AC246" s="353"/>
      <c r="AD246" s="353"/>
      <c r="AE246" s="353"/>
      <c r="AF246" s="353"/>
      <c r="AG246" s="353"/>
      <c r="AH246" s="353"/>
      <c r="AI246" s="353"/>
      <c r="AJ246" s="353"/>
      <c r="AK246" s="353"/>
      <c r="AL246" s="353"/>
      <c r="AM246" s="353"/>
      <c r="AN246" s="353"/>
      <c r="AO246" s="353"/>
      <c r="AP246" s="353"/>
      <c r="AQ246" s="353"/>
      <c r="AR246" s="353"/>
      <c r="AS246" s="353"/>
      <c r="AT246" s="353"/>
      <c r="AU246" s="353"/>
      <c r="AV246" s="353"/>
      <c r="AW246" s="353"/>
      <c r="AX246" s="353"/>
      <c r="AY246" s="353"/>
      <c r="AZ246" s="353"/>
      <c r="BA246" s="353"/>
      <c r="BB246" s="353"/>
      <c r="BC246" s="353"/>
      <c r="BD246" s="353"/>
      <c r="BE246" s="353"/>
      <c r="BF246" s="353"/>
      <c r="BG246" s="353"/>
    </row>
  </sheetData>
  <sheetProtection algorithmName="SHA-512" hashValue="kbJJ47R4Ijt4vAPw9yh5hyswTpA0QSKeSfaw4nOx6pTlxwFb6sr99cO5w27vvOgV/3/rOxhq+cpogvo2haDIQw==" saltValue="ZGnsyIli9FnpX5yWth4zOQ==" spinCount="100000" sheet="1" objects="1" scenarios="1"/>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1165</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1164</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43961</v>
      </c>
      <c r="B6" s="87">
        <f ca="1">IF('Critical resources'!$D$3="",TODAY()-WEEKDAY(TODAY(),3)+7,'Critical resources'!D3-WEEKDAY('Critical resources'!D3,3))</f>
        <v>43955</v>
      </c>
      <c r="C6" s="67">
        <v>1</v>
      </c>
      <c r="D6" s="67">
        <f ca="1">YEAR(B6)</f>
        <v>2020</v>
      </c>
      <c r="E6" s="67" t="str">
        <f t="shared" ref="E6:E54" ca="1" si="0">IF(TEXT(B6,"MMM")=TEXT(B5,"MMM")," ",TEXT(B6,"MMM"))</f>
        <v>May</v>
      </c>
      <c r="F6" s="67">
        <f ca="1">WEEKNUM(B6,21)</f>
        <v>19</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43968</v>
      </c>
      <c r="B7" s="87">
        <f ca="1">B6+7</f>
        <v>43962</v>
      </c>
      <c r="C7" s="67">
        <v>2</v>
      </c>
      <c r="D7" s="67" t="str">
        <f ca="1">IF(YEAR(B7)=YEAR(B6),"",YEAR(B7))</f>
        <v/>
      </c>
      <c r="E7" s="67" t="str">
        <f t="shared" ca="1" si="0"/>
        <v xml:space="preserve"> </v>
      </c>
      <c r="F7" s="67">
        <f t="shared" ref="F7:F57" ca="1" si="7">WEEKNUM(B7,21)</f>
        <v>20</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43975</v>
      </c>
      <c r="B8" s="87">
        <f t="shared" ref="B8:B57" ca="1" si="9">B7+7</f>
        <v>43969</v>
      </c>
      <c r="C8" s="67">
        <v>3</v>
      </c>
      <c r="D8" s="67" t="str">
        <f t="shared" ref="D8:D57" ca="1" si="10">IF(YEAR(B8)=YEAR(B7),"",YEAR(B8))</f>
        <v/>
      </c>
      <c r="E8" s="67" t="str">
        <f t="shared" ca="1" si="0"/>
        <v xml:space="preserve"> </v>
      </c>
      <c r="F8" s="67">
        <f t="shared" ca="1" si="7"/>
        <v>21</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43982</v>
      </c>
      <c r="B9" s="87">
        <f t="shared" ca="1" si="9"/>
        <v>43976</v>
      </c>
      <c r="C9" s="67">
        <v>4</v>
      </c>
      <c r="D9" s="67" t="str">
        <f t="shared" ca="1" si="10"/>
        <v/>
      </c>
      <c r="E9" s="67" t="str">
        <f t="shared" ca="1" si="0"/>
        <v xml:space="preserve"> </v>
      </c>
      <c r="F9" s="67">
        <f t="shared" ca="1" si="7"/>
        <v>22</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43989</v>
      </c>
      <c r="B10" s="87">
        <f t="shared" ca="1" si="9"/>
        <v>43983</v>
      </c>
      <c r="C10" s="67">
        <v>5</v>
      </c>
      <c r="D10" s="67" t="str">
        <f t="shared" ca="1" si="10"/>
        <v/>
      </c>
      <c r="E10" s="67" t="str">
        <f t="shared" ca="1" si="0"/>
        <v>Jun</v>
      </c>
      <c r="F10" s="67">
        <f t="shared" ca="1" si="7"/>
        <v>23</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43996</v>
      </c>
      <c r="B11" s="87">
        <f t="shared" ca="1" si="9"/>
        <v>43990</v>
      </c>
      <c r="C11" s="67">
        <v>6</v>
      </c>
      <c r="D11" s="67" t="str">
        <f t="shared" ca="1" si="10"/>
        <v/>
      </c>
      <c r="E11" s="67" t="str">
        <f t="shared" ca="1" si="0"/>
        <v xml:space="preserve"> </v>
      </c>
      <c r="F11" s="67">
        <f t="shared" ca="1" si="7"/>
        <v>24</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44003</v>
      </c>
      <c r="B12" s="87">
        <f t="shared" ca="1" si="9"/>
        <v>43997</v>
      </c>
      <c r="C12" s="67">
        <v>7</v>
      </c>
      <c r="D12" s="67" t="str">
        <f t="shared" ca="1" si="10"/>
        <v/>
      </c>
      <c r="E12" s="67" t="str">
        <f t="shared" ca="1" si="0"/>
        <v xml:space="preserve"> </v>
      </c>
      <c r="F12" s="67">
        <f t="shared" ca="1" si="7"/>
        <v>25</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44010</v>
      </c>
      <c r="B13" s="87">
        <f t="shared" ca="1" si="9"/>
        <v>44004</v>
      </c>
      <c r="C13" s="67">
        <v>8</v>
      </c>
      <c r="D13" s="67" t="str">
        <f t="shared" ca="1" si="10"/>
        <v/>
      </c>
      <c r="E13" s="67" t="str">
        <f t="shared" ca="1" si="0"/>
        <v xml:space="preserve"> </v>
      </c>
      <c r="F13" s="67">
        <f t="shared" ca="1" si="7"/>
        <v>26</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44017</v>
      </c>
      <c r="B14" s="87">
        <f t="shared" ca="1" si="9"/>
        <v>44011</v>
      </c>
      <c r="C14" s="67">
        <v>9</v>
      </c>
      <c r="D14" s="67" t="str">
        <f t="shared" ca="1" si="10"/>
        <v/>
      </c>
      <c r="E14" s="67" t="str">
        <f t="shared" ca="1" si="0"/>
        <v xml:space="preserve"> </v>
      </c>
      <c r="F14" s="67">
        <f t="shared" ca="1" si="7"/>
        <v>27</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44024</v>
      </c>
      <c r="B15" s="87">
        <f t="shared" ca="1" si="9"/>
        <v>44018</v>
      </c>
      <c r="C15" s="67">
        <v>10</v>
      </c>
      <c r="D15" s="67" t="str">
        <f t="shared" ca="1" si="10"/>
        <v/>
      </c>
      <c r="E15" s="67" t="str">
        <f t="shared" ca="1" si="0"/>
        <v>Jul</v>
      </c>
      <c r="F15" s="67">
        <f t="shared" ca="1" si="7"/>
        <v>28</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44031</v>
      </c>
      <c r="B16" s="87">
        <f t="shared" ca="1" si="9"/>
        <v>44025</v>
      </c>
      <c r="C16" s="67">
        <v>11</v>
      </c>
      <c r="D16" s="67" t="str">
        <f t="shared" ca="1" si="10"/>
        <v/>
      </c>
      <c r="E16" s="67" t="str">
        <f t="shared" ca="1" si="0"/>
        <v xml:space="preserve"> </v>
      </c>
      <c r="F16" s="67">
        <f t="shared" ca="1" si="7"/>
        <v>29</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44038</v>
      </c>
      <c r="B17" s="87">
        <f t="shared" ca="1" si="9"/>
        <v>44032</v>
      </c>
      <c r="C17" s="67">
        <v>12</v>
      </c>
      <c r="D17" s="67" t="str">
        <f t="shared" ca="1" si="10"/>
        <v/>
      </c>
      <c r="E17" s="67" t="str">
        <f t="shared" ca="1" si="0"/>
        <v xml:space="preserve"> </v>
      </c>
      <c r="F17" s="67">
        <f t="shared" ca="1" si="7"/>
        <v>30</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44045</v>
      </c>
      <c r="B18" s="87">
        <f t="shared" ca="1" si="9"/>
        <v>44039</v>
      </c>
      <c r="C18" s="67">
        <v>13</v>
      </c>
      <c r="D18" s="67" t="str">
        <f t="shared" ca="1" si="10"/>
        <v/>
      </c>
      <c r="E18" s="67" t="str">
        <f t="shared" ca="1" si="0"/>
        <v xml:space="preserve"> </v>
      </c>
      <c r="F18" s="67">
        <f t="shared" ca="1" si="7"/>
        <v>31</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44052</v>
      </c>
      <c r="B19" s="87">
        <f t="shared" ca="1" si="9"/>
        <v>44046</v>
      </c>
      <c r="C19" s="67">
        <v>14</v>
      </c>
      <c r="D19" s="67" t="str">
        <f t="shared" ca="1" si="10"/>
        <v/>
      </c>
      <c r="E19" s="67" t="str">
        <f t="shared" ca="1" si="0"/>
        <v>Aug</v>
      </c>
      <c r="F19" s="67">
        <f t="shared" ca="1" si="7"/>
        <v>32</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44059</v>
      </c>
      <c r="B20" s="87">
        <f t="shared" ca="1" si="9"/>
        <v>44053</v>
      </c>
      <c r="C20" s="67">
        <v>15</v>
      </c>
      <c r="D20" s="67" t="str">
        <f t="shared" ca="1" si="10"/>
        <v/>
      </c>
      <c r="E20" s="67" t="str">
        <f t="shared" ca="1" si="0"/>
        <v xml:space="preserve"> </v>
      </c>
      <c r="F20" s="67">
        <f t="shared" ca="1" si="7"/>
        <v>33</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44066</v>
      </c>
      <c r="B21" s="87">
        <f t="shared" ca="1" si="9"/>
        <v>44060</v>
      </c>
      <c r="C21" s="67">
        <v>16</v>
      </c>
      <c r="D21" s="67" t="str">
        <f t="shared" ca="1" si="10"/>
        <v/>
      </c>
      <c r="E21" s="67" t="str">
        <f t="shared" ca="1" si="0"/>
        <v xml:space="preserve"> </v>
      </c>
      <c r="F21" s="67">
        <f t="shared" ca="1" si="7"/>
        <v>34</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44073</v>
      </c>
      <c r="B22" s="87">
        <f t="shared" ca="1" si="9"/>
        <v>44067</v>
      </c>
      <c r="C22" s="67">
        <v>17</v>
      </c>
      <c r="D22" s="67" t="str">
        <f t="shared" ca="1" si="10"/>
        <v/>
      </c>
      <c r="E22" s="67" t="str">
        <f t="shared" ca="1" si="0"/>
        <v xml:space="preserve"> </v>
      </c>
      <c r="F22" s="67">
        <f t="shared" ca="1" si="7"/>
        <v>35</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44080</v>
      </c>
      <c r="B23" s="87">
        <f t="shared" ca="1" si="9"/>
        <v>44074</v>
      </c>
      <c r="C23" s="67">
        <v>18</v>
      </c>
      <c r="D23" s="67" t="str">
        <f t="shared" ca="1" si="10"/>
        <v/>
      </c>
      <c r="E23" s="67" t="str">
        <f t="shared" ca="1" si="0"/>
        <v xml:space="preserve"> </v>
      </c>
      <c r="F23" s="67">
        <f t="shared" ca="1" si="7"/>
        <v>36</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44087</v>
      </c>
      <c r="B24" s="87">
        <f t="shared" ca="1" si="9"/>
        <v>44081</v>
      </c>
      <c r="C24" s="67">
        <v>19</v>
      </c>
      <c r="D24" s="67" t="str">
        <f t="shared" ca="1" si="10"/>
        <v/>
      </c>
      <c r="E24" s="67" t="str">
        <f t="shared" ca="1" si="0"/>
        <v>Sep</v>
      </c>
      <c r="F24" s="67">
        <f t="shared" ca="1" si="7"/>
        <v>37</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44094</v>
      </c>
      <c r="B25" s="87">
        <f t="shared" ca="1" si="9"/>
        <v>44088</v>
      </c>
      <c r="C25" s="67">
        <v>20</v>
      </c>
      <c r="D25" s="67" t="str">
        <f t="shared" ca="1" si="10"/>
        <v/>
      </c>
      <c r="E25" s="67" t="str">
        <f t="shared" ca="1" si="0"/>
        <v xml:space="preserve"> </v>
      </c>
      <c r="F25" s="67">
        <f t="shared" ca="1" si="7"/>
        <v>38</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44101</v>
      </c>
      <c r="B26" s="87">
        <f t="shared" ca="1" si="9"/>
        <v>44095</v>
      </c>
      <c r="C26" s="67">
        <v>21</v>
      </c>
      <c r="D26" s="67" t="str">
        <f t="shared" ca="1" si="10"/>
        <v/>
      </c>
      <c r="E26" s="67" t="str">
        <f t="shared" ca="1" si="0"/>
        <v xml:space="preserve"> </v>
      </c>
      <c r="F26" s="67">
        <f t="shared" ca="1" si="7"/>
        <v>39</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44108</v>
      </c>
      <c r="B27" s="87">
        <f t="shared" ca="1" si="9"/>
        <v>44102</v>
      </c>
      <c r="C27" s="67">
        <v>22</v>
      </c>
      <c r="D27" s="67" t="str">
        <f t="shared" ca="1" si="10"/>
        <v/>
      </c>
      <c r="E27" s="67" t="str">
        <f t="shared" ca="1" si="0"/>
        <v xml:space="preserve"> </v>
      </c>
      <c r="F27" s="67">
        <f t="shared" ca="1" si="7"/>
        <v>40</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44115</v>
      </c>
      <c r="B28" s="87">
        <f t="shared" ca="1" si="9"/>
        <v>44109</v>
      </c>
      <c r="C28" s="67">
        <v>23</v>
      </c>
      <c r="D28" s="67" t="str">
        <f t="shared" ca="1" si="10"/>
        <v/>
      </c>
      <c r="E28" s="67" t="str">
        <f t="shared" ca="1" si="0"/>
        <v>Oct</v>
      </c>
      <c r="F28" s="67">
        <f t="shared" ca="1" si="7"/>
        <v>41</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44122</v>
      </c>
      <c r="B29" s="87">
        <f t="shared" ca="1" si="9"/>
        <v>44116</v>
      </c>
      <c r="C29" s="67">
        <v>24</v>
      </c>
      <c r="D29" s="67" t="str">
        <f t="shared" ca="1" si="10"/>
        <v/>
      </c>
      <c r="E29" s="67" t="str">
        <f t="shared" ca="1" si="0"/>
        <v xml:space="preserve"> </v>
      </c>
      <c r="F29" s="67">
        <f t="shared" ca="1" si="7"/>
        <v>42</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44129</v>
      </c>
      <c r="B30" s="87">
        <f t="shared" ca="1" si="9"/>
        <v>44123</v>
      </c>
      <c r="C30" s="67">
        <v>25</v>
      </c>
      <c r="D30" s="67" t="str">
        <f t="shared" ca="1" si="10"/>
        <v/>
      </c>
      <c r="E30" s="67" t="str">
        <f t="shared" ca="1" si="0"/>
        <v xml:space="preserve"> </v>
      </c>
      <c r="F30" s="67">
        <f t="shared" ca="1" si="7"/>
        <v>43</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44136</v>
      </c>
      <c r="B31" s="87">
        <f t="shared" ca="1" si="9"/>
        <v>44130</v>
      </c>
      <c r="C31" s="67">
        <v>26</v>
      </c>
      <c r="D31" s="67" t="str">
        <f t="shared" ca="1" si="10"/>
        <v/>
      </c>
      <c r="E31" s="67" t="str">
        <f t="shared" ca="1" si="0"/>
        <v xml:space="preserve"> </v>
      </c>
      <c r="F31" s="67">
        <f t="shared" ca="1" si="7"/>
        <v>44</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44143</v>
      </c>
      <c r="B32" s="87">
        <f t="shared" ca="1" si="9"/>
        <v>44137</v>
      </c>
      <c r="C32" s="67">
        <v>27</v>
      </c>
      <c r="D32" s="67" t="str">
        <f t="shared" ca="1" si="10"/>
        <v/>
      </c>
      <c r="E32" s="67" t="str">
        <f t="shared" ca="1" si="0"/>
        <v>Nov</v>
      </c>
      <c r="F32" s="67">
        <f t="shared" ca="1" si="7"/>
        <v>45</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44150</v>
      </c>
      <c r="B33" s="87">
        <f t="shared" ca="1" si="9"/>
        <v>44144</v>
      </c>
      <c r="C33" s="67">
        <v>28</v>
      </c>
      <c r="D33" s="67" t="str">
        <f t="shared" ca="1" si="10"/>
        <v/>
      </c>
      <c r="E33" s="67" t="str">
        <f t="shared" ca="1" si="0"/>
        <v xml:space="preserve"> </v>
      </c>
      <c r="F33" s="67">
        <f t="shared" ca="1" si="7"/>
        <v>46</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44157</v>
      </c>
      <c r="B34" s="87">
        <f t="shared" ca="1" si="9"/>
        <v>44151</v>
      </c>
      <c r="C34" s="67">
        <v>29</v>
      </c>
      <c r="D34" s="67" t="str">
        <f t="shared" ca="1" si="10"/>
        <v/>
      </c>
      <c r="E34" s="67" t="str">
        <f t="shared" ca="1" si="0"/>
        <v xml:space="preserve"> </v>
      </c>
      <c r="F34" s="67">
        <f t="shared" ca="1" si="7"/>
        <v>47</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44164</v>
      </c>
      <c r="B35" s="87">
        <f t="shared" ca="1" si="9"/>
        <v>44158</v>
      </c>
      <c r="C35" s="67">
        <v>30</v>
      </c>
      <c r="D35" s="67" t="str">
        <f t="shared" ca="1" si="10"/>
        <v/>
      </c>
      <c r="E35" s="67" t="str">
        <f t="shared" ca="1" si="0"/>
        <v xml:space="preserve"> </v>
      </c>
      <c r="F35" s="67">
        <f t="shared" ca="1" si="7"/>
        <v>48</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44171</v>
      </c>
      <c r="B36" s="87">
        <f t="shared" ca="1" si="9"/>
        <v>44165</v>
      </c>
      <c r="C36" s="67">
        <v>31</v>
      </c>
      <c r="D36" s="67" t="str">
        <f t="shared" ca="1" si="10"/>
        <v/>
      </c>
      <c r="E36" s="67" t="str">
        <f t="shared" ca="1" si="0"/>
        <v xml:space="preserve"> </v>
      </c>
      <c r="F36" s="67">
        <f t="shared" ca="1" si="7"/>
        <v>49</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44178</v>
      </c>
      <c r="B37" s="87">
        <f t="shared" ca="1" si="9"/>
        <v>44172</v>
      </c>
      <c r="C37" s="67">
        <v>32</v>
      </c>
      <c r="D37" s="67" t="str">
        <f t="shared" ca="1" si="10"/>
        <v/>
      </c>
      <c r="E37" s="67" t="str">
        <f t="shared" ca="1" si="0"/>
        <v>Dec</v>
      </c>
      <c r="F37" s="67">
        <f t="shared" ca="1" si="7"/>
        <v>50</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44185</v>
      </c>
      <c r="B38" s="87">
        <f t="shared" ca="1" si="9"/>
        <v>44179</v>
      </c>
      <c r="C38" s="67">
        <v>33</v>
      </c>
      <c r="D38" s="67" t="str">
        <f t="shared" ca="1" si="10"/>
        <v/>
      </c>
      <c r="E38" s="67" t="str">
        <f t="shared" ca="1" si="0"/>
        <v xml:space="preserve"> </v>
      </c>
      <c r="F38" s="67">
        <f t="shared" ca="1" si="7"/>
        <v>51</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44192</v>
      </c>
      <c r="B39" s="87">
        <f t="shared" ca="1" si="9"/>
        <v>44186</v>
      </c>
      <c r="C39" s="67">
        <v>34</v>
      </c>
      <c r="D39" s="67" t="str">
        <f t="shared" ca="1" si="10"/>
        <v/>
      </c>
      <c r="E39" s="67" t="str">
        <f t="shared" ca="1" si="0"/>
        <v xml:space="preserve"> </v>
      </c>
      <c r="F39" s="67">
        <f t="shared" ca="1" si="7"/>
        <v>52</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44199</v>
      </c>
      <c r="B40" s="87">
        <f t="shared" ca="1" si="9"/>
        <v>44193</v>
      </c>
      <c r="C40" s="67">
        <v>35</v>
      </c>
      <c r="D40" s="67" t="str">
        <f t="shared" ca="1" si="10"/>
        <v/>
      </c>
      <c r="E40" s="67" t="str">
        <f t="shared" ca="1" si="0"/>
        <v xml:space="preserve"> </v>
      </c>
      <c r="F40" s="67">
        <f t="shared" ca="1" si="7"/>
        <v>53</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44206</v>
      </c>
      <c r="B41" s="87">
        <f t="shared" ca="1" si="9"/>
        <v>44200</v>
      </c>
      <c r="C41" s="67">
        <v>36</v>
      </c>
      <c r="D41" s="67">
        <f t="shared" ca="1" si="10"/>
        <v>2021</v>
      </c>
      <c r="E41" s="67" t="str">
        <f t="shared" ca="1" si="0"/>
        <v>Jan</v>
      </c>
      <c r="F41" s="67">
        <f t="shared" ca="1" si="7"/>
        <v>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44213</v>
      </c>
      <c r="B42" s="87">
        <f t="shared" ca="1" si="9"/>
        <v>44207</v>
      </c>
      <c r="C42" s="67">
        <v>37</v>
      </c>
      <c r="D42" s="67" t="str">
        <f t="shared" ca="1" si="10"/>
        <v/>
      </c>
      <c r="E42" s="67" t="str">
        <f t="shared" ca="1" si="0"/>
        <v xml:space="preserve"> </v>
      </c>
      <c r="F42" s="67">
        <f t="shared" ca="1" si="7"/>
        <v>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44220</v>
      </c>
      <c r="B43" s="87">
        <f t="shared" ca="1" si="9"/>
        <v>44214</v>
      </c>
      <c r="C43" s="67">
        <v>38</v>
      </c>
      <c r="D43" s="67" t="str">
        <f t="shared" ca="1" si="10"/>
        <v/>
      </c>
      <c r="E43" s="67" t="str">
        <f t="shared" ca="1" si="0"/>
        <v xml:space="preserve"> </v>
      </c>
      <c r="F43" s="67">
        <f t="shared" ca="1" si="7"/>
        <v>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44227</v>
      </c>
      <c r="B44" s="87">
        <f t="shared" ca="1" si="9"/>
        <v>44221</v>
      </c>
      <c r="C44" s="67">
        <v>39</v>
      </c>
      <c r="D44" s="67" t="str">
        <f t="shared" ca="1" si="10"/>
        <v/>
      </c>
      <c r="E44" s="67" t="str">
        <f t="shared" ca="1" si="0"/>
        <v xml:space="preserve"> </v>
      </c>
      <c r="F44" s="67">
        <f t="shared" ca="1" si="7"/>
        <v>4</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44234</v>
      </c>
      <c r="B45" s="87">
        <f t="shared" ca="1" si="9"/>
        <v>44228</v>
      </c>
      <c r="C45" s="67">
        <v>40</v>
      </c>
      <c r="D45" s="67" t="str">
        <f t="shared" ca="1" si="10"/>
        <v/>
      </c>
      <c r="E45" s="67" t="str">
        <f t="shared" ca="1" si="0"/>
        <v>Feb</v>
      </c>
      <c r="F45" s="67">
        <f t="shared" ca="1" si="7"/>
        <v>5</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44241</v>
      </c>
      <c r="B46" s="87">
        <f t="shared" ca="1" si="9"/>
        <v>44235</v>
      </c>
      <c r="C46" s="67">
        <v>41</v>
      </c>
      <c r="D46" s="67" t="str">
        <f t="shared" ca="1" si="10"/>
        <v/>
      </c>
      <c r="E46" s="67" t="str">
        <f t="shared" ca="1" si="0"/>
        <v xml:space="preserve"> </v>
      </c>
      <c r="F46" s="67">
        <f t="shared" ca="1" si="7"/>
        <v>6</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44248</v>
      </c>
      <c r="B47" s="87">
        <f t="shared" ca="1" si="9"/>
        <v>44242</v>
      </c>
      <c r="C47" s="67">
        <v>42</v>
      </c>
      <c r="D47" s="67" t="str">
        <f t="shared" ca="1" si="10"/>
        <v/>
      </c>
      <c r="E47" s="67" t="str">
        <f t="shared" ca="1" si="0"/>
        <v xml:space="preserve"> </v>
      </c>
      <c r="F47" s="67">
        <f t="shared" ca="1" si="7"/>
        <v>7</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44255</v>
      </c>
      <c r="B48" s="87">
        <f t="shared" ca="1" si="9"/>
        <v>44249</v>
      </c>
      <c r="C48" s="67">
        <v>43</v>
      </c>
      <c r="D48" s="67" t="str">
        <f t="shared" ca="1" si="10"/>
        <v/>
      </c>
      <c r="E48" s="67" t="str">
        <f t="shared" ca="1" si="0"/>
        <v xml:space="preserve"> </v>
      </c>
      <c r="F48" s="67">
        <f t="shared" ca="1" si="7"/>
        <v>8</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44262</v>
      </c>
      <c r="B49" s="87">
        <f t="shared" ca="1" si="9"/>
        <v>44256</v>
      </c>
      <c r="C49" s="67">
        <v>44</v>
      </c>
      <c r="D49" s="67" t="str">
        <f t="shared" ca="1" si="10"/>
        <v/>
      </c>
      <c r="E49" s="67" t="str">
        <f t="shared" ca="1" si="0"/>
        <v>Mar</v>
      </c>
      <c r="F49" s="67">
        <f t="shared" ca="1" si="7"/>
        <v>9</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44269</v>
      </c>
      <c r="B50" s="87">
        <f t="shared" ca="1" si="9"/>
        <v>44263</v>
      </c>
      <c r="C50" s="67">
        <v>45</v>
      </c>
      <c r="D50" s="67" t="str">
        <f t="shared" ca="1" si="10"/>
        <v/>
      </c>
      <c r="E50" s="67" t="str">
        <f t="shared" ca="1" si="0"/>
        <v xml:space="preserve"> </v>
      </c>
      <c r="F50" s="67">
        <f t="shared" ca="1" si="7"/>
        <v>10</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44276</v>
      </c>
      <c r="B51" s="87">
        <f t="shared" ca="1" si="9"/>
        <v>44270</v>
      </c>
      <c r="C51" s="67">
        <v>46</v>
      </c>
      <c r="D51" s="67" t="str">
        <f t="shared" ca="1" si="10"/>
        <v/>
      </c>
      <c r="E51" s="67" t="str">
        <f t="shared" ca="1" si="0"/>
        <v xml:space="preserve"> </v>
      </c>
      <c r="F51" s="67">
        <f t="shared" ca="1" si="7"/>
        <v>11</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44283</v>
      </c>
      <c r="B52" s="87">
        <f t="shared" ca="1" si="9"/>
        <v>44277</v>
      </c>
      <c r="C52" s="67">
        <v>47</v>
      </c>
      <c r="D52" s="67" t="str">
        <f t="shared" ca="1" si="10"/>
        <v/>
      </c>
      <c r="E52" s="67" t="str">
        <f t="shared" ca="1" si="0"/>
        <v xml:space="preserve"> </v>
      </c>
      <c r="F52" s="67">
        <f t="shared" ca="1" si="7"/>
        <v>12</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44290</v>
      </c>
      <c r="B53" s="87">
        <f t="shared" ca="1" si="9"/>
        <v>44284</v>
      </c>
      <c r="C53" s="67">
        <v>48</v>
      </c>
      <c r="D53" s="67" t="str">
        <f t="shared" ca="1" si="10"/>
        <v/>
      </c>
      <c r="E53" s="67" t="str">
        <f t="shared" ca="1" si="0"/>
        <v xml:space="preserve"> </v>
      </c>
      <c r="F53" s="67">
        <f t="shared" ca="1" si="7"/>
        <v>13</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44297</v>
      </c>
      <c r="B54" s="87">
        <f t="shared" ca="1" si="9"/>
        <v>44291</v>
      </c>
      <c r="C54" s="67">
        <v>49</v>
      </c>
      <c r="D54" s="67" t="str">
        <f t="shared" ca="1" si="10"/>
        <v/>
      </c>
      <c r="E54" s="67" t="str">
        <f t="shared" ca="1" si="0"/>
        <v>Apr</v>
      </c>
      <c r="F54" s="67">
        <f t="shared" ca="1" si="7"/>
        <v>14</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44304</v>
      </c>
      <c r="B55" s="87">
        <f t="shared" ca="1" si="9"/>
        <v>44298</v>
      </c>
      <c r="C55" s="67">
        <v>50</v>
      </c>
      <c r="D55" s="67" t="str">
        <f t="shared" ca="1" si="10"/>
        <v/>
      </c>
      <c r="E55" s="67" t="str">
        <f ca="1">IF(TEXT(B55,"MMM")=TEXT(B54,"MMM")," ",TEXT(B55,"MMM"))</f>
        <v xml:space="preserve"> </v>
      </c>
      <c r="F55" s="67">
        <f t="shared" ca="1" si="7"/>
        <v>15</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44311</v>
      </c>
      <c r="B56" s="87">
        <f t="shared" ca="1" si="9"/>
        <v>44305</v>
      </c>
      <c r="C56" s="67">
        <v>51</v>
      </c>
      <c r="D56" s="67" t="str">
        <f t="shared" ca="1" si="10"/>
        <v/>
      </c>
      <c r="E56" s="67" t="str">
        <f t="shared" ref="E56:E57" ca="1" si="25">IF(TEXT(B56,"MMM")=TEXT(B55,"MMM")," ",TEXT(B56,"MMM"))</f>
        <v xml:space="preserve"> </v>
      </c>
      <c r="F56" s="67">
        <f t="shared" ca="1" si="7"/>
        <v>16</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44318</v>
      </c>
      <c r="B57" s="87">
        <f t="shared" ca="1" si="9"/>
        <v>44312</v>
      </c>
      <c r="C57" s="67">
        <v>52</v>
      </c>
      <c r="D57" s="67" t="str">
        <f t="shared" ca="1" si="10"/>
        <v/>
      </c>
      <c r="E57" s="67" t="str">
        <f t="shared" ca="1" si="25"/>
        <v xml:space="preserve"> </v>
      </c>
      <c r="F57" s="67">
        <f t="shared" ca="1" si="7"/>
        <v>17</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(points)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19</v>
      </c>
      <c r="BL3" s="59">
        <f ca="1">OFFSET('Critical resources (hide)'!$F$6,COLUMN(B1)-1,0,1,1)</f>
        <v>20</v>
      </c>
      <c r="BM3" s="59">
        <f ca="1">OFFSET('Critical resources (hide)'!$F$6,COLUMN(C1)-1,0,1,1)</f>
        <v>21</v>
      </c>
      <c r="BN3" s="59">
        <f ca="1">OFFSET('Critical resources (hide)'!$F$6,COLUMN(D1)-1,0,1,1)</f>
        <v>22</v>
      </c>
      <c r="BO3" s="59">
        <f ca="1">OFFSET('Critical resources (hide)'!$F$6,COLUMN(E1)-1,0,1,1)</f>
        <v>23</v>
      </c>
      <c r="BP3" s="59">
        <f ca="1">OFFSET('Critical resources (hide)'!$F$6,COLUMN(F1)-1,0,1,1)</f>
        <v>24</v>
      </c>
      <c r="BQ3" s="59">
        <f ca="1">OFFSET('Critical resources (hide)'!$F$6,COLUMN(G1)-1,0,1,1)</f>
        <v>25</v>
      </c>
      <c r="BR3" s="59">
        <f ca="1">OFFSET('Critical resources (hide)'!$F$6,COLUMN(H1)-1,0,1,1)</f>
        <v>26</v>
      </c>
      <c r="BS3" s="59">
        <f ca="1">OFFSET('Critical resources (hide)'!$F$6,COLUMN(I1)-1,0,1,1)</f>
        <v>27</v>
      </c>
      <c r="BT3" s="59">
        <f ca="1">OFFSET('Critical resources (hide)'!$F$6,COLUMN(J1)-1,0,1,1)</f>
        <v>28</v>
      </c>
      <c r="BU3" s="59">
        <f ca="1">OFFSET('Critical resources (hide)'!$F$6,COLUMN(K1)-1,0,1,1)</f>
        <v>29</v>
      </c>
      <c r="BV3" s="59">
        <f ca="1">OFFSET('Critical resources (hide)'!$F$6,COLUMN(L1)-1,0,1,1)</f>
        <v>30</v>
      </c>
      <c r="BW3" s="59">
        <f ca="1">OFFSET('Critical resources (hide)'!$F$6,COLUMN(M1)-1,0,1,1)</f>
        <v>31</v>
      </c>
      <c r="BX3" s="59">
        <f ca="1">OFFSET('Critical resources (hide)'!$F$6,COLUMN(N1)-1,0,1,1)</f>
        <v>32</v>
      </c>
      <c r="BY3" s="59">
        <f ca="1">OFFSET('Critical resources (hide)'!$F$6,COLUMN(O1)-1,0,1,1)</f>
        <v>33</v>
      </c>
      <c r="BZ3" s="59">
        <f ca="1">OFFSET('Critical resources (hide)'!$F$6,COLUMN(P1)-1,0,1,1)</f>
        <v>34</v>
      </c>
      <c r="CA3" s="59">
        <f ca="1">OFFSET('Critical resources (hide)'!$F$6,COLUMN(Q1)-1,0,1,1)</f>
        <v>35</v>
      </c>
      <c r="CB3" s="59">
        <f ca="1">OFFSET('Critical resources (hide)'!$F$6,COLUMN(R1)-1,0,1,1)</f>
        <v>36</v>
      </c>
      <c r="CC3" s="59">
        <f ca="1">OFFSET('Critical resources (hide)'!$F$6,COLUMN(S1)-1,0,1,1)</f>
        <v>37</v>
      </c>
      <c r="CD3" s="59">
        <f ca="1">OFFSET('Critical resources (hide)'!$F$6,COLUMN(T1)-1,0,1,1)</f>
        <v>38</v>
      </c>
      <c r="CE3" s="59">
        <f ca="1">OFFSET('Critical resources (hide)'!$F$6,COLUMN(U1)-1,0,1,1)</f>
        <v>39</v>
      </c>
      <c r="CF3" s="59">
        <f ca="1">OFFSET('Critical resources (hide)'!$F$6,COLUMN(V1)-1,0,1,1)</f>
        <v>40</v>
      </c>
      <c r="CG3" s="59">
        <f ca="1">OFFSET('Critical resources (hide)'!$F$6,COLUMN(W1)-1,0,1,1)</f>
        <v>41</v>
      </c>
      <c r="CH3" s="59">
        <f ca="1">OFFSET('Critical resources (hide)'!$F$6,COLUMN(X1)-1,0,1,1)</f>
        <v>42</v>
      </c>
      <c r="CI3" s="59">
        <f ca="1">OFFSET('Critical resources (hide)'!$F$6,COLUMN(Y1)-1,0,1,1)</f>
        <v>43</v>
      </c>
      <c r="CJ3" s="59">
        <f ca="1">OFFSET('Critical resources (hide)'!$F$6,COLUMN(Z1)-1,0,1,1)</f>
        <v>44</v>
      </c>
      <c r="CK3" s="59">
        <f ca="1">OFFSET('Critical resources (hide)'!$F$6,COLUMN(AA1)-1,0,1,1)</f>
        <v>45</v>
      </c>
      <c r="CL3" s="59">
        <f ca="1">OFFSET('Critical resources (hide)'!$F$6,COLUMN(AB1)-1,0,1,1)</f>
        <v>46</v>
      </c>
      <c r="CM3" s="59">
        <f ca="1">OFFSET('Critical resources (hide)'!$F$6,COLUMN(AC1)-1,0,1,1)</f>
        <v>47</v>
      </c>
      <c r="CN3" s="59">
        <f ca="1">OFFSET('Critical resources (hide)'!$F$6,COLUMN(AD1)-1,0,1,1)</f>
        <v>48</v>
      </c>
      <c r="CO3" s="59">
        <f ca="1">OFFSET('Critical resources (hide)'!$F$6,COLUMN(AE1)-1,0,1,1)</f>
        <v>49</v>
      </c>
      <c r="CP3" s="59">
        <f ca="1">OFFSET('Critical resources (hide)'!$F$6,COLUMN(AF1)-1,0,1,1)</f>
        <v>50</v>
      </c>
      <c r="CQ3" s="59">
        <f ca="1">OFFSET('Critical resources (hide)'!$F$6,COLUMN(AG1)-1,0,1,1)</f>
        <v>51</v>
      </c>
      <c r="CR3" s="59">
        <f ca="1">OFFSET('Critical resources (hide)'!$F$6,COLUMN(AH1)-1,0,1,1)</f>
        <v>52</v>
      </c>
      <c r="CS3" s="59">
        <f ca="1">OFFSET('Critical resources (hide)'!$F$6,COLUMN(AI1)-1,0,1,1)</f>
        <v>53</v>
      </c>
      <c r="CT3" s="59">
        <f ca="1">OFFSET('Critical resources (hide)'!$F$6,COLUMN(AJ1)-1,0,1,1)</f>
        <v>1</v>
      </c>
      <c r="CU3" s="59">
        <f ca="1">OFFSET('Critical resources (hide)'!$F$6,COLUMN(AK1)-1,0,1,1)</f>
        <v>2</v>
      </c>
      <c r="CV3" s="59">
        <f ca="1">OFFSET('Critical resources (hide)'!$F$6,COLUMN(AL1)-1,0,1,1)</f>
        <v>3</v>
      </c>
      <c r="CW3" s="59">
        <f ca="1">OFFSET('Critical resources (hide)'!$F$6,COLUMN(AM1)-1,0,1,1)</f>
        <v>4</v>
      </c>
      <c r="CX3" s="59">
        <f ca="1">OFFSET('Critical resources (hide)'!$F$6,COLUMN(AN1)-1,0,1,1)</f>
        <v>5</v>
      </c>
      <c r="CY3" s="59">
        <f ca="1">OFFSET('Critical resources (hide)'!$F$6,COLUMN(AO1)-1,0,1,1)</f>
        <v>6</v>
      </c>
      <c r="CZ3" s="59">
        <f ca="1">OFFSET('Critical resources (hide)'!$F$6,COLUMN(AP1)-1,0,1,1)</f>
        <v>7</v>
      </c>
      <c r="DA3" s="59">
        <f ca="1">OFFSET('Critical resources (hide)'!$F$6,COLUMN(AQ1)-1,0,1,1)</f>
        <v>8</v>
      </c>
      <c r="DB3" s="59">
        <f ca="1">OFFSET('Critical resources (hide)'!$F$6,COLUMN(AR1)-1,0,1,1)</f>
        <v>9</v>
      </c>
      <c r="DC3" s="59">
        <f ca="1">OFFSET('Critical resources (hide)'!$F$6,COLUMN(AS1)-1,0,1,1)</f>
        <v>10</v>
      </c>
      <c r="DD3" s="59">
        <f ca="1">OFFSET('Critical resources (hide)'!$F$6,COLUMN(AT1)-1,0,1,1)</f>
        <v>11</v>
      </c>
      <c r="DE3" s="59">
        <f ca="1">OFFSET('Critical resources (hide)'!$F$6,COLUMN(AU1)-1,0,1,1)</f>
        <v>12</v>
      </c>
      <c r="DF3" s="59">
        <f ca="1">OFFSET('Critical resources (hide)'!$F$6,COLUMN(AV1)-1,0,1,1)</f>
        <v>13</v>
      </c>
      <c r="DG3" s="59">
        <f ca="1">OFFSET('Critical resources (hide)'!$F$6,COLUMN(AW1)-1,0,1,1)</f>
        <v>14</v>
      </c>
      <c r="DH3" s="59">
        <f ca="1">OFFSET('Critical resources (hide)'!$F$6,COLUMN(AX1)-1,0,1,1)</f>
        <v>15</v>
      </c>
      <c r="DI3" s="59">
        <f ca="1">OFFSET('Critical resources (hide)'!$F$6,COLUMN(AY1)-1,0,1,1)</f>
        <v>16</v>
      </c>
      <c r="DJ3" s="59">
        <f ca="1">OFFSET('Critical resources (hide)'!$F$6,COLUMN(AZ1)-1,0,1,1)</f>
        <v>17</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si="0">SUM(BK5:BK104)</f>
        <v>20</v>
      </c>
      <c r="BL4" s="312">
        <f t="shared" si="0"/>
        <v>20</v>
      </c>
      <c r="BM4" s="312">
        <f t="shared" si="0"/>
        <v>20</v>
      </c>
      <c r="BN4" s="312">
        <f t="shared" si="0"/>
        <v>20</v>
      </c>
      <c r="BO4" s="312">
        <f t="shared" si="0"/>
        <v>20</v>
      </c>
      <c r="BP4" s="312">
        <f t="shared" si="0"/>
        <v>20</v>
      </c>
      <c r="BQ4" s="312">
        <f t="shared" si="0"/>
        <v>40</v>
      </c>
      <c r="BR4" s="312">
        <f t="shared" si="0"/>
        <v>80</v>
      </c>
      <c r="BS4" s="312">
        <f t="shared" si="0"/>
        <v>120</v>
      </c>
      <c r="BT4" s="312">
        <f t="shared" si="0"/>
        <v>150</v>
      </c>
      <c r="BU4" s="312">
        <f t="shared" si="0"/>
        <v>180</v>
      </c>
      <c r="BV4" s="312">
        <f t="shared" si="0"/>
        <v>180</v>
      </c>
      <c r="BW4" s="312">
        <f t="shared" ca="1" si="0"/>
        <v>4038.4615384615386</v>
      </c>
      <c r="BX4" s="312">
        <f t="shared" ca="1" si="0"/>
        <v>4038.4615384615386</v>
      </c>
      <c r="BY4" s="312">
        <f t="shared" ca="1" si="0"/>
        <v>4038.4615384615386</v>
      </c>
      <c r="BZ4" s="312">
        <f t="shared" ca="1" si="0"/>
        <v>4038.4615384615386</v>
      </c>
      <c r="CA4" s="312">
        <f t="shared" ca="1" si="0"/>
        <v>4038.4615384615386</v>
      </c>
      <c r="CB4" s="312">
        <f t="shared" ca="1" si="0"/>
        <v>4038.4615384615386</v>
      </c>
      <c r="CC4" s="312">
        <f t="shared" ca="1" si="0"/>
        <v>4038.4615384615386</v>
      </c>
      <c r="CD4" s="312">
        <f t="shared" ca="1" si="0"/>
        <v>4038.4615384615386</v>
      </c>
      <c r="CE4" s="312">
        <f t="shared" ca="1" si="0"/>
        <v>4038.4615384615386</v>
      </c>
      <c r="CF4" s="312">
        <f t="shared" ca="1" si="0"/>
        <v>4038.4615384615386</v>
      </c>
      <c r="CG4" s="312">
        <f t="shared" ca="1" si="0"/>
        <v>4038.4615384615386</v>
      </c>
      <c r="CH4" s="312">
        <f t="shared" ca="1" si="0"/>
        <v>4038.4615384615386</v>
      </c>
      <c r="CI4" s="312">
        <f t="shared" ca="1" si="0"/>
        <v>4038.4615384615386</v>
      </c>
      <c r="CJ4" s="312">
        <f t="shared" ca="1" si="0"/>
        <v>4038.4615384615386</v>
      </c>
      <c r="CK4" s="312">
        <f t="shared" ca="1" si="0"/>
        <v>4038.4615384615386</v>
      </c>
      <c r="CL4" s="312">
        <f t="shared" ca="1" si="0"/>
        <v>4038.4615384615386</v>
      </c>
      <c r="CM4" s="312">
        <f t="shared" ca="1" si="0"/>
        <v>4038.4615384615386</v>
      </c>
      <c r="CN4" s="312">
        <f t="shared" ca="1" si="0"/>
        <v>4038.4615384615386</v>
      </c>
      <c r="CO4" s="312">
        <f t="shared" ca="1" si="0"/>
        <v>4038.4615384615386</v>
      </c>
      <c r="CP4" s="312">
        <f t="shared" ca="1" si="0"/>
        <v>4038.4615384615386</v>
      </c>
      <c r="CQ4" s="312">
        <f t="shared" ref="CQ4:DJ4" ca="1" si="1">SUM(CQ5:CQ104)</f>
        <v>4038.4615384615386</v>
      </c>
      <c r="CR4" s="312">
        <f t="shared" ca="1" si="1"/>
        <v>4038.4615384615386</v>
      </c>
      <c r="CS4" s="312">
        <f t="shared" ca="1" si="1"/>
        <v>4038.4615384615386</v>
      </c>
      <c r="CT4" s="312">
        <f t="shared" ca="1" si="1"/>
        <v>4038.4615384615386</v>
      </c>
      <c r="CU4" s="312">
        <f t="shared" ca="1" si="1"/>
        <v>4038.4615384615386</v>
      </c>
      <c r="CV4" s="312">
        <f t="shared" ca="1" si="1"/>
        <v>4038.4615384615386</v>
      </c>
      <c r="CW4" s="312">
        <f t="shared" ca="1" si="1"/>
        <v>4038.4615384615386</v>
      </c>
      <c r="CX4" s="312">
        <f t="shared" ca="1" si="1"/>
        <v>4038.4615384615386</v>
      </c>
      <c r="CY4" s="312">
        <f t="shared" ca="1" si="1"/>
        <v>4038.4615384615386</v>
      </c>
      <c r="CZ4" s="312">
        <f t="shared" ca="1" si="1"/>
        <v>4038.4615384615386</v>
      </c>
      <c r="DA4" s="312">
        <f t="shared" ca="1" si="1"/>
        <v>4038.4615384615386</v>
      </c>
      <c r="DB4" s="312">
        <f t="shared" ca="1" si="1"/>
        <v>4038.4615384615386</v>
      </c>
      <c r="DC4" s="312">
        <f t="shared" ca="1" si="1"/>
        <v>4038.4615384615386</v>
      </c>
      <c r="DD4" s="312">
        <f t="shared" ca="1" si="1"/>
        <v>4038.4615384615386</v>
      </c>
      <c r="DE4" s="312">
        <f t="shared" ca="1" si="1"/>
        <v>4038.4615384615386</v>
      </c>
      <c r="DF4" s="312">
        <f t="shared" ca="1" si="1"/>
        <v>4038.4615384615386</v>
      </c>
      <c r="DG4" s="312">
        <f t="shared" ca="1" si="1"/>
        <v>4038.4615384615386</v>
      </c>
      <c r="DH4" s="312">
        <f t="shared" ca="1" si="1"/>
        <v>4038.4615384615386</v>
      </c>
      <c r="DI4" s="312">
        <f t="shared" ca="1" si="1"/>
        <v>4038.4615384615386</v>
      </c>
      <c r="DJ4" s="312">
        <f t="shared" ca="1" si="1"/>
        <v>4038.4615384615386</v>
      </c>
      <c r="DK4" s="136">
        <f ca="1">SUM(BK4:DJ4)</f>
        <v>162408.46153846139</v>
      </c>
      <c r="DL4" s="5">
        <f>SUM(DL5:DL104)</f>
        <v>210000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4038.4615384615386</v>
      </c>
      <c r="BK5" s="312">
        <f>IF($BI5&lt;&gt;"",IF('Capacity summary'!$D$14="Yes",IF(COUNTBLANK('Capacity summary'!$H124:$BG124)&lt;52,IF('Capacity summary'!H124&lt;&gt;"",IF(LOWER('Capacity summary'!H124)="x",$BI5*H5,VALUE('Capacity summary'!H124)),0),H5*$BI5),H5*$BI5),0)</f>
        <v>20</v>
      </c>
      <c r="BL5" s="312">
        <f>IF($BI5&lt;&gt;"",IF('Capacity summary'!$D$14="Yes",IF(COUNTBLANK('Capacity summary'!$H124:$BG124)&lt;52,IF('Capacity summary'!I124&lt;&gt;"",IF(LOWER('Capacity summary'!I124)="x",$BI5*I5,VALUE('Capacity summary'!I124)),0),I5*$BI5),I5*$BI5),0)</f>
        <v>20</v>
      </c>
      <c r="BM5" s="312">
        <f>IF($BI5&lt;&gt;"",IF('Capacity summary'!$D$14="Yes",IF(COUNTBLANK('Capacity summary'!$H124:$BG124)&lt;52,IF('Capacity summary'!J124&lt;&gt;"",IF(LOWER('Capacity summary'!J124)="x",$BI5*J5,VALUE('Capacity summary'!J124)),0),J5*$BI5),J5*$BI5),0)</f>
        <v>20</v>
      </c>
      <c r="BN5" s="312">
        <f>IF($BI5&lt;&gt;"",IF('Capacity summary'!$D$14="Yes",IF(COUNTBLANK('Capacity summary'!$H124:$BG124)&lt;52,IF('Capacity summary'!K124&lt;&gt;"",IF(LOWER('Capacity summary'!K124)="x",$BI5*K5,VALUE('Capacity summary'!K124)),0),K5*$BI5),K5*$BI5),0)</f>
        <v>20</v>
      </c>
      <c r="BO5" s="312">
        <f>IF($BI5&lt;&gt;"",IF('Capacity summary'!$D$14="Yes",IF(COUNTBLANK('Capacity summary'!$H124:$BG124)&lt;52,IF('Capacity summary'!L124&lt;&gt;"",IF(LOWER('Capacity summary'!L124)="x",$BI5*L5,VALUE('Capacity summary'!L124)),0),L5*$BI5),L5*$BI5),0)</f>
        <v>20</v>
      </c>
      <c r="BP5" s="312">
        <f>IF($BI5&lt;&gt;"",IF('Capacity summary'!$D$14="Yes",IF(COUNTBLANK('Capacity summary'!$H124:$BG124)&lt;52,IF('Capacity summary'!M124&lt;&gt;"",IF(LOWER('Capacity summary'!M124)="x",$BI5*M5,VALUE('Capacity summary'!M124)),0),M5*$BI5),M5*$BI5),0)</f>
        <v>20</v>
      </c>
      <c r="BQ5" s="312">
        <f>IF($BI5&lt;&gt;"",IF('Capacity summary'!$D$14="Yes",IF(COUNTBLANK('Capacity summary'!$H124:$BG124)&lt;52,IF('Capacity summary'!N124&lt;&gt;"",IF(LOWER('Capacity summary'!N124)="x",$BI5*N5,VALUE('Capacity summary'!N124)),0),N5*$BI5),N5*$BI5),0)</f>
        <v>40</v>
      </c>
      <c r="BR5" s="312">
        <f>IF($BI5&lt;&gt;"",IF('Capacity summary'!$D$14="Yes",IF(COUNTBLANK('Capacity summary'!$H124:$BG124)&lt;52,IF('Capacity summary'!O124&lt;&gt;"",IF(LOWER('Capacity summary'!O124)="x",$BI5*O5,VALUE('Capacity summary'!O124)),0),O5*$BI5),O5*$BI5),0)</f>
        <v>80</v>
      </c>
      <c r="BS5" s="312">
        <f>IF($BI5&lt;&gt;"",IF('Capacity summary'!$D$14="Yes",IF(COUNTBLANK('Capacity summary'!$H124:$BG124)&lt;52,IF('Capacity summary'!P124&lt;&gt;"",IF(LOWER('Capacity summary'!P124)="x",$BI5*P5,VALUE('Capacity summary'!P124)),0),P5*$BI5),P5*$BI5),0)</f>
        <v>120</v>
      </c>
      <c r="BT5" s="312">
        <f>IF($BI5&lt;&gt;"",IF('Capacity summary'!$D$14="Yes",IF(COUNTBLANK('Capacity summary'!$H124:$BG124)&lt;52,IF('Capacity summary'!Q124&lt;&gt;"",IF(LOWER('Capacity summary'!Q124)="x",$BI5*Q5,VALUE('Capacity summary'!Q124)),0),Q5*$BI5),Q5*$BI5),0)</f>
        <v>150</v>
      </c>
      <c r="BU5" s="312">
        <f>IF($BI5&lt;&gt;"",IF('Capacity summary'!$D$14="Yes",IF(COUNTBLANK('Capacity summary'!$H124:$BG124)&lt;52,IF('Capacity summary'!R124&lt;&gt;"",IF(LOWER('Capacity summary'!R124)="x",$BI5*R5,VALUE('Capacity summary'!R124)),0),R5*$BI5),R5*$BI5),0)</f>
        <v>180</v>
      </c>
      <c r="BV5" s="312">
        <f>IF($BI5&lt;&gt;"",IF('Capacity summary'!$D$14="Yes",IF(COUNTBLANK('Capacity summary'!$H124:$BG124)&lt;52,IF('Capacity summary'!S124&lt;&gt;"",IF(LOWER('Capacity summary'!S124)="x",$BI5*S5,VALUE('Capacity summary'!S124)),0),S5*$BI5),S5*$BI5),0)</f>
        <v>180</v>
      </c>
      <c r="BW5" s="312">
        <f ca="1">IF($BI5&lt;&gt;"",IF('Capacity summary'!$D$14="Yes",IF(COUNTBLANK('Capacity summary'!$H124:$BG124)&lt;52,IF('Capacity summary'!T124&lt;&gt;"",IF(LOWER('Capacity summary'!T124)="x",$BI5*T5,VALUE('Capacity summary'!T124)),0),T5*$BI5),T5*$BI5),0)</f>
        <v>4038.4615384615386</v>
      </c>
      <c r="BX5" s="312">
        <f ca="1">IF($BI5&lt;&gt;"",IF('Capacity summary'!$D$14="Yes",IF(COUNTBLANK('Capacity summary'!$H124:$BG124)&lt;52,IF('Capacity summary'!U124&lt;&gt;"",IF(LOWER('Capacity summary'!U124)="x",$BI5*U5,VALUE('Capacity summary'!U124)),0),U5*$BI5),U5*$BI5),0)</f>
        <v>4038.4615384615386</v>
      </c>
      <c r="BY5" s="312">
        <f ca="1">IF($BI5&lt;&gt;"",IF('Capacity summary'!$D$14="Yes",IF(COUNTBLANK('Capacity summary'!$H124:$BG124)&lt;52,IF('Capacity summary'!V124&lt;&gt;"",IF(LOWER('Capacity summary'!V124)="x",$BI5*V5,VALUE('Capacity summary'!V124)),0),V5*$BI5),V5*$BI5),0)</f>
        <v>4038.4615384615386</v>
      </c>
      <c r="BZ5" s="312">
        <f ca="1">IF($BI5&lt;&gt;"",IF('Capacity summary'!$D$14="Yes",IF(COUNTBLANK('Capacity summary'!$H124:$BG124)&lt;52,IF('Capacity summary'!W124&lt;&gt;"",IF(LOWER('Capacity summary'!W124)="x",$BI5*W5,VALUE('Capacity summary'!W124)),0),W5*$BI5),W5*$BI5),0)</f>
        <v>4038.4615384615386</v>
      </c>
      <c r="CA5" s="312">
        <f ca="1">IF($BI5&lt;&gt;"",IF('Capacity summary'!$D$14="Yes",IF(COUNTBLANK('Capacity summary'!$H124:$BG124)&lt;52,IF('Capacity summary'!X124&lt;&gt;"",IF(LOWER('Capacity summary'!X124)="x",$BI5*X5,VALUE('Capacity summary'!X124)),0),X5*$BI5),X5*$BI5),0)</f>
        <v>4038.4615384615386</v>
      </c>
      <c r="CB5" s="312">
        <f ca="1">IF($BI5&lt;&gt;"",IF('Capacity summary'!$D$14="Yes",IF(COUNTBLANK('Capacity summary'!$H124:$BG124)&lt;52,IF('Capacity summary'!Y124&lt;&gt;"",IF(LOWER('Capacity summary'!Y124)="x",$BI5*Y5,VALUE('Capacity summary'!Y124)),0),Y5*$BI5),Y5*$BI5),0)</f>
        <v>4038.4615384615386</v>
      </c>
      <c r="CC5" s="312">
        <f ca="1">IF($BI5&lt;&gt;"",IF('Capacity summary'!$D$14="Yes",IF(COUNTBLANK('Capacity summary'!$H124:$BG124)&lt;52,IF('Capacity summary'!Z124&lt;&gt;"",IF(LOWER('Capacity summary'!Z124)="x",$BI5*Z5,VALUE('Capacity summary'!Z124)),0),Z5*$BI5),Z5*$BI5),0)</f>
        <v>4038.4615384615386</v>
      </c>
      <c r="CD5" s="312">
        <f ca="1">IF($BI5&lt;&gt;"",IF('Capacity summary'!$D$14="Yes",IF(COUNTBLANK('Capacity summary'!$H124:$BG124)&lt;52,IF('Capacity summary'!AA124&lt;&gt;"",IF(LOWER('Capacity summary'!AA124)="x",$BI5*AA5,VALUE('Capacity summary'!AA124)),0),AA5*$BI5),AA5*$BI5),0)</f>
        <v>4038.4615384615386</v>
      </c>
      <c r="CE5" s="312">
        <f ca="1">IF($BI5&lt;&gt;"",IF('Capacity summary'!$D$14="Yes",IF(COUNTBLANK('Capacity summary'!$H124:$BG124)&lt;52,IF('Capacity summary'!AB124&lt;&gt;"",IF(LOWER('Capacity summary'!AB124)="x",$BI5*AB5,VALUE('Capacity summary'!AB124)),0),AB5*$BI5),AB5*$BI5),0)</f>
        <v>4038.4615384615386</v>
      </c>
      <c r="CF5" s="312">
        <f ca="1">IF($BI5&lt;&gt;"",IF('Capacity summary'!$D$14="Yes",IF(COUNTBLANK('Capacity summary'!$H124:$BG124)&lt;52,IF('Capacity summary'!AC124&lt;&gt;"",IF(LOWER('Capacity summary'!AC124)="x",$BI5*AC5,VALUE('Capacity summary'!AC124)),0),AC5*$BI5),AC5*$BI5),0)</f>
        <v>4038.4615384615386</v>
      </c>
      <c r="CG5" s="312">
        <f ca="1">IF($BI5&lt;&gt;"",IF('Capacity summary'!$D$14="Yes",IF(COUNTBLANK('Capacity summary'!$H124:$BG124)&lt;52,IF('Capacity summary'!AD124&lt;&gt;"",IF(LOWER('Capacity summary'!AD124)="x",$BI5*AD5,VALUE('Capacity summary'!AD124)),0),AD5*$BI5),AD5*$BI5),0)</f>
        <v>4038.4615384615386</v>
      </c>
      <c r="CH5" s="312">
        <f ca="1">IF($BI5&lt;&gt;"",IF('Capacity summary'!$D$14="Yes",IF(COUNTBLANK('Capacity summary'!$H124:$BG124)&lt;52,IF('Capacity summary'!AE124&lt;&gt;"",IF(LOWER('Capacity summary'!AE124)="x",$BI5*AE5,VALUE('Capacity summary'!AE124)),0),AE5*$BI5),AE5*$BI5),0)</f>
        <v>4038.4615384615386</v>
      </c>
      <c r="CI5" s="312">
        <f ca="1">IF($BI5&lt;&gt;"",IF('Capacity summary'!$D$14="Yes",IF(COUNTBLANK('Capacity summary'!$H124:$BG124)&lt;52,IF('Capacity summary'!AF124&lt;&gt;"",IF(LOWER('Capacity summary'!AF124)="x",$BI5*AF5,VALUE('Capacity summary'!AF124)),0),AF5*$BI5),AF5*$BI5),0)</f>
        <v>4038.4615384615386</v>
      </c>
      <c r="CJ5" s="312">
        <f ca="1">IF($BI5&lt;&gt;"",IF('Capacity summary'!$D$14="Yes",IF(COUNTBLANK('Capacity summary'!$H124:$BG124)&lt;52,IF('Capacity summary'!AG124&lt;&gt;"",IF(LOWER('Capacity summary'!AG124)="x",$BI5*AG5,VALUE('Capacity summary'!AG124)),0),AG5*$BI5),AG5*$BI5),0)</f>
        <v>4038.4615384615386</v>
      </c>
      <c r="CK5" s="312">
        <f ca="1">IF($BI5&lt;&gt;"",IF('Capacity summary'!$D$14="Yes",IF(COUNTBLANK('Capacity summary'!$H124:$BG124)&lt;52,IF('Capacity summary'!AH124&lt;&gt;"",IF(LOWER('Capacity summary'!AH124)="x",$BI5*AH5,VALUE('Capacity summary'!AH124)),0),AH5*$BI5),AH5*$BI5),0)</f>
        <v>4038.4615384615386</v>
      </c>
      <c r="CL5" s="312">
        <f ca="1">IF($BI5&lt;&gt;"",IF('Capacity summary'!$D$14="Yes",IF(COUNTBLANK('Capacity summary'!$H124:$BG124)&lt;52,IF('Capacity summary'!AI124&lt;&gt;"",IF(LOWER('Capacity summary'!AI124)="x",$BI5*AI5,VALUE('Capacity summary'!AI124)),0),AI5*$BI5),AI5*$BI5),0)</f>
        <v>4038.4615384615386</v>
      </c>
      <c r="CM5" s="312">
        <f ca="1">IF($BI5&lt;&gt;"",IF('Capacity summary'!$D$14="Yes",IF(COUNTBLANK('Capacity summary'!$H124:$BG124)&lt;52,IF('Capacity summary'!AJ124&lt;&gt;"",IF(LOWER('Capacity summary'!AJ124)="x",$BI5*AJ5,VALUE('Capacity summary'!AJ124)),0),AJ5*$BI5),AJ5*$BI5),0)</f>
        <v>4038.4615384615386</v>
      </c>
      <c r="CN5" s="312">
        <f ca="1">IF($BI5&lt;&gt;"",IF('Capacity summary'!$D$14="Yes",IF(COUNTBLANK('Capacity summary'!$H124:$BG124)&lt;52,IF('Capacity summary'!AK124&lt;&gt;"",IF(LOWER('Capacity summary'!AK124)="x",$BI5*AK5,VALUE('Capacity summary'!AK124)),0),AK5*$BI5),AK5*$BI5),0)</f>
        <v>4038.4615384615386</v>
      </c>
      <c r="CO5" s="312">
        <f ca="1">IF($BI5&lt;&gt;"",IF('Capacity summary'!$D$14="Yes",IF(COUNTBLANK('Capacity summary'!$H124:$BG124)&lt;52,IF('Capacity summary'!AL124&lt;&gt;"",IF(LOWER('Capacity summary'!AL124)="x",$BI5*AL5,VALUE('Capacity summary'!AL124)),0),AL5*$BI5),AL5*$BI5),0)</f>
        <v>4038.4615384615386</v>
      </c>
      <c r="CP5" s="312">
        <f ca="1">IF($BI5&lt;&gt;"",IF('Capacity summary'!$D$14="Yes",IF(COUNTBLANK('Capacity summary'!$H124:$BG124)&lt;52,IF('Capacity summary'!AM124&lt;&gt;"",IF(LOWER('Capacity summary'!AM124)="x",$BI5*AM5,VALUE('Capacity summary'!AM124)),0),AM5*$BI5),AM5*$BI5),0)</f>
        <v>4038.4615384615386</v>
      </c>
      <c r="CQ5" s="312">
        <f ca="1">IF($BI5&lt;&gt;"",IF('Capacity summary'!$D$14="Yes",IF(COUNTBLANK('Capacity summary'!$H124:$BG124)&lt;52,IF('Capacity summary'!AN124&lt;&gt;"",IF(LOWER('Capacity summary'!AN124)="x",$BI5*AN5,VALUE('Capacity summary'!AN124)),0),AN5*$BI5),AN5*$BI5),0)</f>
        <v>4038.4615384615386</v>
      </c>
      <c r="CR5" s="312">
        <f ca="1">IF($BI5&lt;&gt;"",IF('Capacity summary'!$D$14="Yes",IF(COUNTBLANK('Capacity summary'!$H124:$BG124)&lt;52,IF('Capacity summary'!AO124&lt;&gt;"",IF(LOWER('Capacity summary'!AO124)="x",$BI5*AO5,VALUE('Capacity summary'!AO124)),0),AO5*$BI5),AO5*$BI5),0)</f>
        <v>4038.4615384615386</v>
      </c>
      <c r="CS5" s="312">
        <f ca="1">IF($BI5&lt;&gt;"",IF('Capacity summary'!$D$14="Yes",IF(COUNTBLANK('Capacity summary'!$H124:$BG124)&lt;52,IF('Capacity summary'!AP124&lt;&gt;"",IF(LOWER('Capacity summary'!AP124)="x",$BI5*AP5,VALUE('Capacity summary'!AP124)),0),AP5*$BI5),AP5*$BI5),0)</f>
        <v>4038.4615384615386</v>
      </c>
      <c r="CT5" s="312">
        <f ca="1">IF($BI5&lt;&gt;"",IF('Capacity summary'!$D$14="Yes",IF(COUNTBLANK('Capacity summary'!$H124:$BG124)&lt;52,IF('Capacity summary'!AQ124&lt;&gt;"",IF(LOWER('Capacity summary'!AQ124)="x",$BI5*AQ5,VALUE('Capacity summary'!AQ124)),0),AQ5*$BI5),AQ5*$BI5),0)</f>
        <v>4038.4615384615386</v>
      </c>
      <c r="CU5" s="312">
        <f ca="1">IF($BI5&lt;&gt;"",IF('Capacity summary'!$D$14="Yes",IF(COUNTBLANK('Capacity summary'!$H124:$BG124)&lt;52,IF('Capacity summary'!AR124&lt;&gt;"",IF(LOWER('Capacity summary'!AR124)="x",$BI5*AR5,VALUE('Capacity summary'!AR124)),0),AR5*$BI5),AR5*$BI5),0)</f>
        <v>4038.4615384615386</v>
      </c>
      <c r="CV5" s="312">
        <f ca="1">IF($BI5&lt;&gt;"",IF('Capacity summary'!$D$14="Yes",IF(COUNTBLANK('Capacity summary'!$H124:$BG124)&lt;52,IF('Capacity summary'!AS124&lt;&gt;"",IF(LOWER('Capacity summary'!AS124)="x",$BI5*AS5,VALUE('Capacity summary'!AS124)),0),AS5*$BI5),AS5*$BI5),0)</f>
        <v>4038.4615384615386</v>
      </c>
      <c r="CW5" s="312">
        <f ca="1">IF($BI5&lt;&gt;"",IF('Capacity summary'!$D$14="Yes",IF(COUNTBLANK('Capacity summary'!$H124:$BG124)&lt;52,IF('Capacity summary'!AT124&lt;&gt;"",IF(LOWER('Capacity summary'!AT124)="x",$BI5*AT5,VALUE('Capacity summary'!AT124)),0),AT5*$BI5),AT5*$BI5),0)</f>
        <v>4038.4615384615386</v>
      </c>
      <c r="CX5" s="312">
        <f ca="1">IF($BI5&lt;&gt;"",IF('Capacity summary'!$D$14="Yes",IF(COUNTBLANK('Capacity summary'!$H124:$BG124)&lt;52,IF('Capacity summary'!AU124&lt;&gt;"",IF(LOWER('Capacity summary'!AU124)="x",$BI5*AU5,VALUE('Capacity summary'!AU124)),0),AU5*$BI5),AU5*$BI5),0)</f>
        <v>4038.4615384615386</v>
      </c>
      <c r="CY5" s="312">
        <f ca="1">IF($BI5&lt;&gt;"",IF('Capacity summary'!$D$14="Yes",IF(COUNTBLANK('Capacity summary'!$H124:$BG124)&lt;52,IF('Capacity summary'!AV124&lt;&gt;"",IF(LOWER('Capacity summary'!AV124)="x",$BI5*AV5,VALUE('Capacity summary'!AV124)),0),AV5*$BI5),AV5*$BI5),0)</f>
        <v>4038.4615384615386</v>
      </c>
      <c r="CZ5" s="312">
        <f ca="1">IF($BI5&lt;&gt;"",IF('Capacity summary'!$D$14="Yes",IF(COUNTBLANK('Capacity summary'!$H124:$BG124)&lt;52,IF('Capacity summary'!AW124&lt;&gt;"",IF(LOWER('Capacity summary'!AW124)="x",$BI5*AW5,VALUE('Capacity summary'!AW124)),0),AW5*$BI5),AW5*$BI5),0)</f>
        <v>4038.4615384615386</v>
      </c>
      <c r="DA5" s="312">
        <f ca="1">IF($BI5&lt;&gt;"",IF('Capacity summary'!$D$14="Yes",IF(COUNTBLANK('Capacity summary'!$H124:$BG124)&lt;52,IF('Capacity summary'!AX124&lt;&gt;"",IF(LOWER('Capacity summary'!AX124)="x",$BI5*AX5,VALUE('Capacity summary'!AX124)),0),AX5*$BI5),AX5*$BI5),0)</f>
        <v>4038.4615384615386</v>
      </c>
      <c r="DB5" s="312">
        <f ca="1">IF($BI5&lt;&gt;"",IF('Capacity summary'!$D$14="Yes",IF(COUNTBLANK('Capacity summary'!$H124:$BG124)&lt;52,IF('Capacity summary'!AY124&lt;&gt;"",IF(LOWER('Capacity summary'!AY124)="x",$BI5*AY5,VALUE('Capacity summary'!AY124)),0),AY5*$BI5),AY5*$BI5),0)</f>
        <v>4038.4615384615386</v>
      </c>
      <c r="DC5" s="312">
        <f ca="1">IF($BI5&lt;&gt;"",IF('Capacity summary'!$D$14="Yes",IF(COUNTBLANK('Capacity summary'!$H124:$BG124)&lt;52,IF('Capacity summary'!AZ124&lt;&gt;"",IF(LOWER('Capacity summary'!AZ124)="x",$BI5*AZ5,VALUE('Capacity summary'!AZ124)),0),AZ5*$BI5),AZ5*$BI5),0)</f>
        <v>4038.4615384615386</v>
      </c>
      <c r="DD5" s="312">
        <f ca="1">IF($BI5&lt;&gt;"",IF('Capacity summary'!$D$14="Yes",IF(COUNTBLANK('Capacity summary'!$H124:$BG124)&lt;52,IF('Capacity summary'!BA124&lt;&gt;"",IF(LOWER('Capacity summary'!BA124)="x",$BI5*BA5,VALUE('Capacity summary'!BA124)),0),BA5*$BI5),BA5*$BI5),0)</f>
        <v>4038.4615384615386</v>
      </c>
      <c r="DE5" s="312">
        <f ca="1">IF($BI5&lt;&gt;"",IF('Capacity summary'!$D$14="Yes",IF(COUNTBLANK('Capacity summary'!$H124:$BG124)&lt;52,IF('Capacity summary'!BB124&lt;&gt;"",IF(LOWER('Capacity summary'!BB124)="x",$BI5*BB5,VALUE('Capacity summary'!BB124)),0),BB5*$BI5),BB5*$BI5),0)</f>
        <v>4038.4615384615386</v>
      </c>
      <c r="DF5" s="312">
        <f ca="1">IF($BI5&lt;&gt;"",IF('Capacity summary'!$D$14="Yes",IF(COUNTBLANK('Capacity summary'!$H124:$BG124)&lt;52,IF('Capacity summary'!BC124&lt;&gt;"",IF(LOWER('Capacity summary'!BC124)="x",$BI5*BC5,VALUE('Capacity summary'!BC124)),0),BC5*$BI5),BC5*$BI5),0)</f>
        <v>4038.4615384615386</v>
      </c>
      <c r="DG5" s="312">
        <f ca="1">IF($BI5&lt;&gt;"",IF('Capacity summary'!$D$14="Yes",IF(COUNTBLANK('Capacity summary'!$H124:$BG124)&lt;52,IF('Capacity summary'!BD124&lt;&gt;"",IF(LOWER('Capacity summary'!BD124)="x",$BI5*BD5,VALUE('Capacity summary'!BD124)),0),BD5*$BI5),BD5*$BI5),0)</f>
        <v>4038.4615384615386</v>
      </c>
      <c r="DH5" s="312">
        <f ca="1">IF($BI5&lt;&gt;"",IF('Capacity summary'!$D$14="Yes",IF(COUNTBLANK('Capacity summary'!$H124:$BG124)&lt;52,IF('Capacity summary'!BE124&lt;&gt;"",IF(LOWER('Capacity summary'!BE124)="x",$BI5*BE5,VALUE('Capacity summary'!BE124)),0),BE5*$BI5),BE5*$BI5),0)</f>
        <v>4038.4615384615386</v>
      </c>
      <c r="DI5" s="312">
        <f ca="1">IF($BI5&lt;&gt;"",IF('Capacity summary'!$D$14="Yes",IF(COUNTBLANK('Capacity summary'!$H124:$BG124)&lt;52,IF('Capacity summary'!BF124&lt;&gt;"",IF(LOWER('Capacity summary'!BF124)="x",$BI5*BF5,VALUE('Capacity summary'!BF124)),0),BF5*$BI5),BF5*$BI5),0)</f>
        <v>4038.4615384615386</v>
      </c>
      <c r="DJ5" s="312">
        <f ca="1">IF($BI5&lt;&gt;"",IF('Capacity summary'!$D$14="Yes",IF(COUNTBLANK('Capacity summary'!$H124:$BG124)&lt;52,IF('Capacity summary'!BG124&lt;&gt;"",IF(LOWER('Capacity summary'!BG124)="x",$BI5*BG5,VALUE('Capacity summary'!BG124)),0),BG5*$BI5),BG5*$BI5),0)</f>
        <v>4038.4615384615386</v>
      </c>
      <c r="DK5" s="136">
        <f t="shared" ref="DK5:DK68" ca="1" si="2">SUM(BK5:DJ5)</f>
        <v>162408.46153846139</v>
      </c>
      <c r="DL5" s="312">
        <f>Capacity!H17</f>
        <v>210000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2">
        <f>IF($BI6&lt;&gt;"",IF('Capacity summary'!$D$14="Yes",IF(COUNTBLANK('Capacity summary'!$H125:$BG125)&lt;52,IF('Capacity summary'!H125&lt;&gt;"",IF(LOWER('Capacity summary'!H125)="x",$BI6*H6,VALUE('Capacity summary'!H125)),0),H6*$BI6),H6*$BI6),0)</f>
        <v>0</v>
      </c>
      <c r="BL6" s="312">
        <f>IF($BI6&lt;&gt;"",IF('Capacity summary'!$D$14="Yes",IF(COUNTBLANK('Capacity summary'!$H125:$BG125)&lt;52,IF('Capacity summary'!I125&lt;&gt;"",IF(LOWER('Capacity summary'!I125)="x",$BI6*I6,VALUE('Capacity summary'!I125)),0),I6*$BI6),I6*$BI6),0)</f>
        <v>0</v>
      </c>
      <c r="BM6" s="312">
        <f>IF($BI6&lt;&gt;"",IF('Capacity summary'!$D$14="Yes",IF(COUNTBLANK('Capacity summary'!$H125:$BG125)&lt;52,IF('Capacity summary'!J125&lt;&gt;"",IF(LOWER('Capacity summary'!J125)="x",$BI6*J6,VALUE('Capacity summary'!J125)),0),J6*$BI6),J6*$BI6),0)</f>
        <v>0</v>
      </c>
      <c r="BN6" s="312">
        <f>IF($BI6&lt;&gt;"",IF('Capacity summary'!$D$14="Yes",IF(COUNTBLANK('Capacity summary'!$H125:$BG125)&lt;52,IF('Capacity summary'!K125&lt;&gt;"",IF(LOWER('Capacity summary'!K125)="x",$BI6*K6,VALUE('Capacity summary'!K125)),0),K6*$BI6),K6*$BI6),0)</f>
        <v>0</v>
      </c>
      <c r="BO6" s="312">
        <f>IF($BI6&lt;&gt;"",IF('Capacity summary'!$D$14="Yes",IF(COUNTBLANK('Capacity summary'!$H125:$BG125)&lt;52,IF('Capacity summary'!L125&lt;&gt;"",IF(LOWER('Capacity summary'!L125)="x",$BI6*L6,VALUE('Capacity summary'!L125)),0),L6*$BI6),L6*$BI6),0)</f>
        <v>0</v>
      </c>
      <c r="BP6" s="312">
        <f>IF($BI6&lt;&gt;"",IF('Capacity summary'!$D$14="Yes",IF(COUNTBLANK('Capacity summary'!$H125:$BG125)&lt;52,IF('Capacity summary'!M125&lt;&gt;"",IF(LOWER('Capacity summary'!M125)="x",$BI6*M6,VALUE('Capacity summary'!M125)),0),M6*$BI6),M6*$BI6),0)</f>
        <v>0</v>
      </c>
      <c r="BQ6" s="312">
        <f>IF($BI6&lt;&gt;"",IF('Capacity summary'!$D$14="Yes",IF(COUNTBLANK('Capacity summary'!$H125:$BG125)&lt;52,IF('Capacity summary'!N125&lt;&gt;"",IF(LOWER('Capacity summary'!N125)="x",$BI6*N6,VALUE('Capacity summary'!N125)),0),N6*$BI6),N6*$BI6),0)</f>
        <v>0</v>
      </c>
      <c r="BR6" s="312">
        <f>IF($BI6&lt;&gt;"",IF('Capacity summary'!$D$14="Yes",IF(COUNTBLANK('Capacity summary'!$H125:$BG125)&lt;52,IF('Capacity summary'!O125&lt;&gt;"",IF(LOWER('Capacity summary'!O125)="x",$BI6*O6,VALUE('Capacity summary'!O125)),0),O6*$BI6),O6*$BI6),0)</f>
        <v>0</v>
      </c>
      <c r="BS6" s="312">
        <f>IF($BI6&lt;&gt;"",IF('Capacity summary'!$D$14="Yes",IF(COUNTBLANK('Capacity summary'!$H125:$BG125)&lt;52,IF('Capacity summary'!P125&lt;&gt;"",IF(LOWER('Capacity summary'!P125)="x",$BI6*P6,VALUE('Capacity summary'!P125)),0),P6*$BI6),P6*$BI6),0)</f>
        <v>0</v>
      </c>
      <c r="BT6" s="312">
        <f>IF($BI6&lt;&gt;"",IF('Capacity summary'!$D$14="Yes",IF(COUNTBLANK('Capacity summary'!$H125:$BG125)&lt;52,IF('Capacity summary'!Q125&lt;&gt;"",IF(LOWER('Capacity summary'!Q125)="x",$BI6*Q6,VALUE('Capacity summary'!Q125)),0),Q6*$BI6),Q6*$BI6),0)</f>
        <v>0</v>
      </c>
      <c r="BU6" s="312">
        <f>IF($BI6&lt;&gt;"",IF('Capacity summary'!$D$14="Yes",IF(COUNTBLANK('Capacity summary'!$H125:$BG125)&lt;52,IF('Capacity summary'!R125&lt;&gt;"",IF(LOWER('Capacity summary'!R125)="x",$BI6*R6,VALUE('Capacity summary'!R125)),0),R6*$BI6),R6*$BI6),0)</f>
        <v>0</v>
      </c>
      <c r="BV6" s="312">
        <f>IF($BI6&lt;&gt;"",IF('Capacity summary'!$D$14="Yes",IF(COUNTBLANK('Capacity summary'!$H125:$BG125)&lt;52,IF('Capacity summary'!S125&lt;&gt;"",IF(LOWER('Capacity summary'!S125)="x",$BI6*S6,VALUE('Capacity summary'!S125)),0),S6*$BI6),S6*$BI6),0)</f>
        <v>0</v>
      </c>
      <c r="BW6" s="312">
        <f>IF($BI6&lt;&gt;"",IF('Capacity summary'!$D$14="Yes",IF(COUNTBLANK('Capacity summary'!$H125:$BG125)&lt;52,IF('Capacity summary'!T125&lt;&gt;"",IF(LOWER('Capacity summary'!T125)="x",$BI6*T6,VALUE('Capacity summary'!T125)),0),T6*$BI6),T6*$BI6),0)</f>
        <v>0</v>
      </c>
      <c r="BX6" s="312">
        <f>IF($BI6&lt;&gt;"",IF('Capacity summary'!$D$14="Yes",IF(COUNTBLANK('Capacity summary'!$H125:$BG125)&lt;52,IF('Capacity summary'!U125&lt;&gt;"",IF(LOWER('Capacity summary'!U125)="x",$BI6*U6,VALUE('Capacity summary'!U125)),0),U6*$BI6),U6*$BI6),0)</f>
        <v>0</v>
      </c>
      <c r="BY6" s="312">
        <f>IF($BI6&lt;&gt;"",IF('Capacity summary'!$D$14="Yes",IF(COUNTBLANK('Capacity summary'!$H125:$BG125)&lt;52,IF('Capacity summary'!V125&lt;&gt;"",IF(LOWER('Capacity summary'!V125)="x",$BI6*V6,VALUE('Capacity summary'!V125)),0),V6*$BI6),V6*$BI6),0)</f>
        <v>0</v>
      </c>
      <c r="BZ6" s="312">
        <f>IF($BI6&lt;&gt;"",IF('Capacity summary'!$D$14="Yes",IF(COUNTBLANK('Capacity summary'!$H125:$BG125)&lt;52,IF('Capacity summary'!W125&lt;&gt;"",IF(LOWER('Capacity summary'!W125)="x",$BI6*W6,VALUE('Capacity summary'!W125)),0),W6*$BI6),W6*$BI6),0)</f>
        <v>0</v>
      </c>
      <c r="CA6" s="312">
        <f>IF($BI6&lt;&gt;"",IF('Capacity summary'!$D$14="Yes",IF(COUNTBLANK('Capacity summary'!$H125:$BG125)&lt;52,IF('Capacity summary'!X125&lt;&gt;"",IF(LOWER('Capacity summary'!X125)="x",$BI6*X6,VALUE('Capacity summary'!X125)),0),X6*$BI6),X6*$BI6),0)</f>
        <v>0</v>
      </c>
      <c r="CB6" s="312">
        <f>IF($BI6&lt;&gt;"",IF('Capacity summary'!$D$14="Yes",IF(COUNTBLANK('Capacity summary'!$H125:$BG125)&lt;52,IF('Capacity summary'!Y125&lt;&gt;"",IF(LOWER('Capacity summary'!Y125)="x",$BI6*Y6,VALUE('Capacity summary'!Y125)),0),Y6*$BI6),Y6*$BI6),0)</f>
        <v>0</v>
      </c>
      <c r="CC6" s="312">
        <f>IF($BI6&lt;&gt;"",IF('Capacity summary'!$D$14="Yes",IF(COUNTBLANK('Capacity summary'!$H125:$BG125)&lt;52,IF('Capacity summary'!Z125&lt;&gt;"",IF(LOWER('Capacity summary'!Z125)="x",$BI6*Z6,VALUE('Capacity summary'!Z125)),0),Z6*$BI6),Z6*$BI6),0)</f>
        <v>0</v>
      </c>
      <c r="CD6" s="312">
        <f>IF($BI6&lt;&gt;"",IF('Capacity summary'!$D$14="Yes",IF(COUNTBLANK('Capacity summary'!$H125:$BG125)&lt;52,IF('Capacity summary'!AA125&lt;&gt;"",IF(LOWER('Capacity summary'!AA125)="x",$BI6*AA6,VALUE('Capacity summary'!AA125)),0),AA6*$BI6),AA6*$BI6),0)</f>
        <v>0</v>
      </c>
      <c r="CE6" s="312">
        <f>IF($BI6&lt;&gt;"",IF('Capacity summary'!$D$14="Yes",IF(COUNTBLANK('Capacity summary'!$H125:$BG125)&lt;52,IF('Capacity summary'!AB125&lt;&gt;"",IF(LOWER('Capacity summary'!AB125)="x",$BI6*AB6,VALUE('Capacity summary'!AB125)),0),AB6*$BI6),AB6*$BI6),0)</f>
        <v>0</v>
      </c>
      <c r="CF6" s="312">
        <f>IF($BI6&lt;&gt;"",IF('Capacity summary'!$D$14="Yes",IF(COUNTBLANK('Capacity summary'!$H125:$BG125)&lt;52,IF('Capacity summary'!AC125&lt;&gt;"",IF(LOWER('Capacity summary'!AC125)="x",$BI6*AC6,VALUE('Capacity summary'!AC125)),0),AC6*$BI6),AC6*$BI6),0)</f>
        <v>0</v>
      </c>
      <c r="CG6" s="312">
        <f>IF($BI6&lt;&gt;"",IF('Capacity summary'!$D$14="Yes",IF(COUNTBLANK('Capacity summary'!$H125:$BG125)&lt;52,IF('Capacity summary'!AD125&lt;&gt;"",IF(LOWER('Capacity summary'!AD125)="x",$BI6*AD6,VALUE('Capacity summary'!AD125)),0),AD6*$BI6),AD6*$BI6),0)</f>
        <v>0</v>
      </c>
      <c r="CH6" s="312">
        <f>IF($BI6&lt;&gt;"",IF('Capacity summary'!$D$14="Yes",IF(COUNTBLANK('Capacity summary'!$H125:$BG125)&lt;52,IF('Capacity summary'!AE125&lt;&gt;"",IF(LOWER('Capacity summary'!AE125)="x",$BI6*AE6,VALUE('Capacity summary'!AE125)),0),AE6*$BI6),AE6*$BI6),0)</f>
        <v>0</v>
      </c>
      <c r="CI6" s="312">
        <f>IF($BI6&lt;&gt;"",IF('Capacity summary'!$D$14="Yes",IF(COUNTBLANK('Capacity summary'!$H125:$BG125)&lt;52,IF('Capacity summary'!AF125&lt;&gt;"",IF(LOWER('Capacity summary'!AF125)="x",$BI6*AF6,VALUE('Capacity summary'!AF125)),0),AF6*$BI6),AF6*$BI6),0)</f>
        <v>0</v>
      </c>
      <c r="CJ6" s="312">
        <f>IF($BI6&lt;&gt;"",IF('Capacity summary'!$D$14="Yes",IF(COUNTBLANK('Capacity summary'!$H125:$BG125)&lt;52,IF('Capacity summary'!AG125&lt;&gt;"",IF(LOWER('Capacity summary'!AG125)="x",$BI6*AG6,VALUE('Capacity summary'!AG125)),0),AG6*$BI6),AG6*$BI6),0)</f>
        <v>0</v>
      </c>
      <c r="CK6" s="312">
        <f>IF($BI6&lt;&gt;"",IF('Capacity summary'!$D$14="Yes",IF(COUNTBLANK('Capacity summary'!$H125:$BG125)&lt;52,IF('Capacity summary'!AH125&lt;&gt;"",IF(LOWER('Capacity summary'!AH125)="x",$BI6*AH6,VALUE('Capacity summary'!AH125)),0),AH6*$BI6),AH6*$BI6),0)</f>
        <v>0</v>
      </c>
      <c r="CL6" s="312">
        <f>IF($BI6&lt;&gt;"",IF('Capacity summary'!$D$14="Yes",IF(COUNTBLANK('Capacity summary'!$H125:$BG125)&lt;52,IF('Capacity summary'!AI125&lt;&gt;"",IF(LOWER('Capacity summary'!AI125)="x",$BI6*AI6,VALUE('Capacity summary'!AI125)),0),AI6*$BI6),AI6*$BI6),0)</f>
        <v>0</v>
      </c>
      <c r="CM6" s="312">
        <f>IF($BI6&lt;&gt;"",IF('Capacity summary'!$D$14="Yes",IF(COUNTBLANK('Capacity summary'!$H125:$BG125)&lt;52,IF('Capacity summary'!AJ125&lt;&gt;"",IF(LOWER('Capacity summary'!AJ125)="x",$BI6*AJ6,VALUE('Capacity summary'!AJ125)),0),AJ6*$BI6),AJ6*$BI6),0)</f>
        <v>0</v>
      </c>
      <c r="CN6" s="312">
        <f>IF($BI6&lt;&gt;"",IF('Capacity summary'!$D$14="Yes",IF(COUNTBLANK('Capacity summary'!$H125:$BG125)&lt;52,IF('Capacity summary'!AK125&lt;&gt;"",IF(LOWER('Capacity summary'!AK125)="x",$BI6*AK6,VALUE('Capacity summary'!AK125)),0),AK6*$BI6),AK6*$BI6),0)</f>
        <v>0</v>
      </c>
      <c r="CO6" s="312">
        <f>IF($BI6&lt;&gt;"",IF('Capacity summary'!$D$14="Yes",IF(COUNTBLANK('Capacity summary'!$H125:$BG125)&lt;52,IF('Capacity summary'!AL125&lt;&gt;"",IF(LOWER('Capacity summary'!AL125)="x",$BI6*AL6,VALUE('Capacity summary'!AL125)),0),AL6*$BI6),AL6*$BI6),0)</f>
        <v>0</v>
      </c>
      <c r="CP6" s="312">
        <f>IF($BI6&lt;&gt;"",IF('Capacity summary'!$D$14="Yes",IF(COUNTBLANK('Capacity summary'!$H125:$BG125)&lt;52,IF('Capacity summary'!AM125&lt;&gt;"",IF(LOWER('Capacity summary'!AM125)="x",$BI6*AM6,VALUE('Capacity summary'!AM125)),0),AM6*$BI6),AM6*$BI6),0)</f>
        <v>0</v>
      </c>
      <c r="CQ6" s="312">
        <f>IF($BI6&lt;&gt;"",IF('Capacity summary'!$D$14="Yes",IF(COUNTBLANK('Capacity summary'!$H125:$BG125)&lt;52,IF('Capacity summary'!AN125&lt;&gt;"",IF(LOWER('Capacity summary'!AN125)="x",$BI6*AN6,VALUE('Capacity summary'!AN125)),0),AN6*$BI6),AN6*$BI6),0)</f>
        <v>0</v>
      </c>
      <c r="CR6" s="312">
        <f>IF($BI6&lt;&gt;"",IF('Capacity summary'!$D$14="Yes",IF(COUNTBLANK('Capacity summary'!$H125:$BG125)&lt;52,IF('Capacity summary'!AO125&lt;&gt;"",IF(LOWER('Capacity summary'!AO125)="x",$BI6*AO6,VALUE('Capacity summary'!AO125)),0),AO6*$BI6),AO6*$BI6),0)</f>
        <v>0</v>
      </c>
      <c r="CS6" s="312">
        <f>IF($BI6&lt;&gt;"",IF('Capacity summary'!$D$14="Yes",IF(COUNTBLANK('Capacity summary'!$H125:$BG125)&lt;52,IF('Capacity summary'!AP125&lt;&gt;"",IF(LOWER('Capacity summary'!AP125)="x",$BI6*AP6,VALUE('Capacity summary'!AP125)),0),AP6*$BI6),AP6*$BI6),0)</f>
        <v>0</v>
      </c>
      <c r="CT6" s="312">
        <f>IF($BI6&lt;&gt;"",IF('Capacity summary'!$D$14="Yes",IF(COUNTBLANK('Capacity summary'!$H125:$BG125)&lt;52,IF('Capacity summary'!AQ125&lt;&gt;"",IF(LOWER('Capacity summary'!AQ125)="x",$BI6*AQ6,VALUE('Capacity summary'!AQ125)),0),AQ6*$BI6),AQ6*$BI6),0)</f>
        <v>0</v>
      </c>
      <c r="CU6" s="312">
        <f>IF($BI6&lt;&gt;"",IF('Capacity summary'!$D$14="Yes",IF(COUNTBLANK('Capacity summary'!$H125:$BG125)&lt;52,IF('Capacity summary'!AR125&lt;&gt;"",IF(LOWER('Capacity summary'!AR125)="x",$BI6*AR6,VALUE('Capacity summary'!AR125)),0),AR6*$BI6),AR6*$BI6),0)</f>
        <v>0</v>
      </c>
      <c r="CV6" s="312">
        <f>IF($BI6&lt;&gt;"",IF('Capacity summary'!$D$14="Yes",IF(COUNTBLANK('Capacity summary'!$H125:$BG125)&lt;52,IF('Capacity summary'!AS125&lt;&gt;"",IF(LOWER('Capacity summary'!AS125)="x",$BI6*AS6,VALUE('Capacity summary'!AS125)),0),AS6*$BI6),AS6*$BI6),0)</f>
        <v>0</v>
      </c>
      <c r="CW6" s="312">
        <f>IF($BI6&lt;&gt;"",IF('Capacity summary'!$D$14="Yes",IF(COUNTBLANK('Capacity summary'!$H125:$BG125)&lt;52,IF('Capacity summary'!AT125&lt;&gt;"",IF(LOWER('Capacity summary'!AT125)="x",$BI6*AT6,VALUE('Capacity summary'!AT125)),0),AT6*$BI6),AT6*$BI6),0)</f>
        <v>0</v>
      </c>
      <c r="CX6" s="312">
        <f>IF($BI6&lt;&gt;"",IF('Capacity summary'!$D$14="Yes",IF(COUNTBLANK('Capacity summary'!$H125:$BG125)&lt;52,IF('Capacity summary'!AU125&lt;&gt;"",IF(LOWER('Capacity summary'!AU125)="x",$BI6*AU6,VALUE('Capacity summary'!AU125)),0),AU6*$BI6),AU6*$BI6),0)</f>
        <v>0</v>
      </c>
      <c r="CY6" s="312">
        <f>IF($BI6&lt;&gt;"",IF('Capacity summary'!$D$14="Yes",IF(COUNTBLANK('Capacity summary'!$H125:$BG125)&lt;52,IF('Capacity summary'!AV125&lt;&gt;"",IF(LOWER('Capacity summary'!AV125)="x",$BI6*AV6,VALUE('Capacity summary'!AV125)),0),AV6*$BI6),AV6*$BI6),0)</f>
        <v>0</v>
      </c>
      <c r="CZ6" s="312">
        <f>IF($BI6&lt;&gt;"",IF('Capacity summary'!$D$14="Yes",IF(COUNTBLANK('Capacity summary'!$H125:$BG125)&lt;52,IF('Capacity summary'!AW125&lt;&gt;"",IF(LOWER('Capacity summary'!AW125)="x",$BI6*AW6,VALUE('Capacity summary'!AW125)),0),AW6*$BI6),AW6*$BI6),0)</f>
        <v>0</v>
      </c>
      <c r="DA6" s="312">
        <f>IF($BI6&lt;&gt;"",IF('Capacity summary'!$D$14="Yes",IF(COUNTBLANK('Capacity summary'!$H125:$BG125)&lt;52,IF('Capacity summary'!AX125&lt;&gt;"",IF(LOWER('Capacity summary'!AX125)="x",$BI6*AX6,VALUE('Capacity summary'!AX125)),0),AX6*$BI6),AX6*$BI6),0)</f>
        <v>0</v>
      </c>
      <c r="DB6" s="312">
        <f>IF($BI6&lt;&gt;"",IF('Capacity summary'!$D$14="Yes",IF(COUNTBLANK('Capacity summary'!$H125:$BG125)&lt;52,IF('Capacity summary'!AY125&lt;&gt;"",IF(LOWER('Capacity summary'!AY125)="x",$BI6*AY6,VALUE('Capacity summary'!AY125)),0),AY6*$BI6),AY6*$BI6),0)</f>
        <v>0</v>
      </c>
      <c r="DC6" s="312">
        <f>IF($BI6&lt;&gt;"",IF('Capacity summary'!$D$14="Yes",IF(COUNTBLANK('Capacity summary'!$H125:$BG125)&lt;52,IF('Capacity summary'!AZ125&lt;&gt;"",IF(LOWER('Capacity summary'!AZ125)="x",$BI6*AZ6,VALUE('Capacity summary'!AZ125)),0),AZ6*$BI6),AZ6*$BI6),0)</f>
        <v>0</v>
      </c>
      <c r="DD6" s="312">
        <f>IF($BI6&lt;&gt;"",IF('Capacity summary'!$D$14="Yes",IF(COUNTBLANK('Capacity summary'!$H125:$BG125)&lt;52,IF('Capacity summary'!BA125&lt;&gt;"",IF(LOWER('Capacity summary'!BA125)="x",$BI6*BA6,VALUE('Capacity summary'!BA125)),0),BA6*$BI6),BA6*$BI6),0)</f>
        <v>0</v>
      </c>
      <c r="DE6" s="312">
        <f>IF($BI6&lt;&gt;"",IF('Capacity summary'!$D$14="Yes",IF(COUNTBLANK('Capacity summary'!$H125:$BG125)&lt;52,IF('Capacity summary'!BB125&lt;&gt;"",IF(LOWER('Capacity summary'!BB125)="x",$BI6*BB6,VALUE('Capacity summary'!BB125)),0),BB6*$BI6),BB6*$BI6),0)</f>
        <v>0</v>
      </c>
      <c r="DF6" s="312">
        <f>IF($BI6&lt;&gt;"",IF('Capacity summary'!$D$14="Yes",IF(COUNTBLANK('Capacity summary'!$H125:$BG125)&lt;52,IF('Capacity summary'!BC125&lt;&gt;"",IF(LOWER('Capacity summary'!BC125)="x",$BI6*BC6,VALUE('Capacity summary'!BC125)),0),BC6*$BI6),BC6*$BI6),0)</f>
        <v>0</v>
      </c>
      <c r="DG6" s="312">
        <f>IF($BI6&lt;&gt;"",IF('Capacity summary'!$D$14="Yes",IF(COUNTBLANK('Capacity summary'!$H125:$BG125)&lt;52,IF('Capacity summary'!BD125&lt;&gt;"",IF(LOWER('Capacity summary'!BD125)="x",$BI6*BD6,VALUE('Capacity summary'!BD125)),0),BD6*$BI6),BD6*$BI6),0)</f>
        <v>0</v>
      </c>
      <c r="DH6" s="312">
        <f>IF($BI6&lt;&gt;"",IF('Capacity summary'!$D$14="Yes",IF(COUNTBLANK('Capacity summary'!$H125:$BG125)&lt;52,IF('Capacity summary'!BE125&lt;&gt;"",IF(LOWER('Capacity summary'!BE125)="x",$BI6*BE6,VALUE('Capacity summary'!BE125)),0),BE6*$BI6),BE6*$BI6),0)</f>
        <v>0</v>
      </c>
      <c r="DI6" s="312">
        <f>IF($BI6&lt;&gt;"",IF('Capacity summary'!$D$14="Yes",IF(COUNTBLANK('Capacity summary'!$H125:$BG125)&lt;52,IF('Capacity summary'!BF125&lt;&gt;"",IF(LOWER('Capacity summary'!BF125)="x",$BI6*BF6,VALUE('Capacity summary'!BF125)),0),BF6*$BI6),BF6*$BI6),0)</f>
        <v>0</v>
      </c>
      <c r="DJ6" s="312">
        <f>IF($BI6&lt;&gt;"",IF('Capacity summary'!$D$14="Yes",IF(COUNTBLANK('Capacity summary'!$H125:$BG125)&lt;52,IF('Capacity summary'!BG125&lt;&gt;"",IF(LOWER('Capacity summary'!BG125)="x",$BI6*BG6,VALUE('Capacity summary'!BG125)),0),BG6*$BI6),BG6*$BI6),0)</f>
        <v>0</v>
      </c>
      <c r="DK6" s="136">
        <f t="shared" si="2"/>
        <v>0</v>
      </c>
      <c r="DL6" s="312"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2">
        <f>IF($BI7&lt;&gt;"",IF('Capacity summary'!$D$14="Yes",IF(COUNTBLANK('Capacity summary'!$H126:$BG126)&lt;52,IF('Capacity summary'!H126&lt;&gt;"",IF(LOWER('Capacity summary'!H126)="x",$BI7*H7,VALUE('Capacity summary'!H126)),0),H7*$BI7),H7*$BI7),0)</f>
        <v>0</v>
      </c>
      <c r="BL7" s="312">
        <f>IF($BI7&lt;&gt;"",IF('Capacity summary'!$D$14="Yes",IF(COUNTBLANK('Capacity summary'!$H126:$BG126)&lt;52,IF('Capacity summary'!I126&lt;&gt;"",IF(LOWER('Capacity summary'!I126)="x",$BI7*I7,VALUE('Capacity summary'!I126)),0),I7*$BI7),I7*$BI7),0)</f>
        <v>0</v>
      </c>
      <c r="BM7" s="312">
        <f>IF($BI7&lt;&gt;"",IF('Capacity summary'!$D$14="Yes",IF(COUNTBLANK('Capacity summary'!$H126:$BG126)&lt;52,IF('Capacity summary'!J126&lt;&gt;"",IF(LOWER('Capacity summary'!J126)="x",$BI7*J7,VALUE('Capacity summary'!J126)),0),J7*$BI7),J7*$BI7),0)</f>
        <v>0</v>
      </c>
      <c r="BN7" s="312">
        <f>IF($BI7&lt;&gt;"",IF('Capacity summary'!$D$14="Yes",IF(COUNTBLANK('Capacity summary'!$H126:$BG126)&lt;52,IF('Capacity summary'!K126&lt;&gt;"",IF(LOWER('Capacity summary'!K126)="x",$BI7*K7,VALUE('Capacity summary'!K126)),0),K7*$BI7),K7*$BI7),0)</f>
        <v>0</v>
      </c>
      <c r="BO7" s="312">
        <f>IF($BI7&lt;&gt;"",IF('Capacity summary'!$D$14="Yes",IF(COUNTBLANK('Capacity summary'!$H126:$BG126)&lt;52,IF('Capacity summary'!L126&lt;&gt;"",IF(LOWER('Capacity summary'!L126)="x",$BI7*L7,VALUE('Capacity summary'!L126)),0),L7*$BI7),L7*$BI7),0)</f>
        <v>0</v>
      </c>
      <c r="BP7" s="312">
        <f>IF($BI7&lt;&gt;"",IF('Capacity summary'!$D$14="Yes",IF(COUNTBLANK('Capacity summary'!$H126:$BG126)&lt;52,IF('Capacity summary'!M126&lt;&gt;"",IF(LOWER('Capacity summary'!M126)="x",$BI7*M7,VALUE('Capacity summary'!M126)),0),M7*$BI7),M7*$BI7),0)</f>
        <v>0</v>
      </c>
      <c r="BQ7" s="312">
        <f>IF($BI7&lt;&gt;"",IF('Capacity summary'!$D$14="Yes",IF(COUNTBLANK('Capacity summary'!$H126:$BG126)&lt;52,IF('Capacity summary'!N126&lt;&gt;"",IF(LOWER('Capacity summary'!N126)="x",$BI7*N7,VALUE('Capacity summary'!N126)),0),N7*$BI7),N7*$BI7),0)</f>
        <v>0</v>
      </c>
      <c r="BR7" s="312">
        <f>IF($BI7&lt;&gt;"",IF('Capacity summary'!$D$14="Yes",IF(COUNTBLANK('Capacity summary'!$H126:$BG126)&lt;52,IF('Capacity summary'!O126&lt;&gt;"",IF(LOWER('Capacity summary'!O126)="x",$BI7*O7,VALUE('Capacity summary'!O126)),0),O7*$BI7),O7*$BI7),0)</f>
        <v>0</v>
      </c>
      <c r="BS7" s="312">
        <f>IF($BI7&lt;&gt;"",IF('Capacity summary'!$D$14="Yes",IF(COUNTBLANK('Capacity summary'!$H126:$BG126)&lt;52,IF('Capacity summary'!P126&lt;&gt;"",IF(LOWER('Capacity summary'!P126)="x",$BI7*P7,VALUE('Capacity summary'!P126)),0),P7*$BI7),P7*$BI7),0)</f>
        <v>0</v>
      </c>
      <c r="BT7" s="312">
        <f>IF($BI7&lt;&gt;"",IF('Capacity summary'!$D$14="Yes",IF(COUNTBLANK('Capacity summary'!$H126:$BG126)&lt;52,IF('Capacity summary'!Q126&lt;&gt;"",IF(LOWER('Capacity summary'!Q126)="x",$BI7*Q7,VALUE('Capacity summary'!Q126)),0),Q7*$BI7),Q7*$BI7),0)</f>
        <v>0</v>
      </c>
      <c r="BU7" s="312">
        <f>IF($BI7&lt;&gt;"",IF('Capacity summary'!$D$14="Yes",IF(COUNTBLANK('Capacity summary'!$H126:$BG126)&lt;52,IF('Capacity summary'!R126&lt;&gt;"",IF(LOWER('Capacity summary'!R126)="x",$BI7*R7,VALUE('Capacity summary'!R126)),0),R7*$BI7),R7*$BI7),0)</f>
        <v>0</v>
      </c>
      <c r="BV7" s="312">
        <f>IF($BI7&lt;&gt;"",IF('Capacity summary'!$D$14="Yes",IF(COUNTBLANK('Capacity summary'!$H126:$BG126)&lt;52,IF('Capacity summary'!S126&lt;&gt;"",IF(LOWER('Capacity summary'!S126)="x",$BI7*S7,VALUE('Capacity summary'!S126)),0),S7*$BI7),S7*$BI7),0)</f>
        <v>0</v>
      </c>
      <c r="BW7" s="312">
        <f>IF($BI7&lt;&gt;"",IF('Capacity summary'!$D$14="Yes",IF(COUNTBLANK('Capacity summary'!$H126:$BG126)&lt;52,IF('Capacity summary'!T126&lt;&gt;"",IF(LOWER('Capacity summary'!T126)="x",$BI7*T7,VALUE('Capacity summary'!T126)),0),T7*$BI7),T7*$BI7),0)</f>
        <v>0</v>
      </c>
      <c r="BX7" s="312">
        <f>IF($BI7&lt;&gt;"",IF('Capacity summary'!$D$14="Yes",IF(COUNTBLANK('Capacity summary'!$H126:$BG126)&lt;52,IF('Capacity summary'!U126&lt;&gt;"",IF(LOWER('Capacity summary'!U126)="x",$BI7*U7,VALUE('Capacity summary'!U126)),0),U7*$BI7),U7*$BI7),0)</f>
        <v>0</v>
      </c>
      <c r="BY7" s="312">
        <f>IF($BI7&lt;&gt;"",IF('Capacity summary'!$D$14="Yes",IF(COUNTBLANK('Capacity summary'!$H126:$BG126)&lt;52,IF('Capacity summary'!V126&lt;&gt;"",IF(LOWER('Capacity summary'!V126)="x",$BI7*V7,VALUE('Capacity summary'!V126)),0),V7*$BI7),V7*$BI7),0)</f>
        <v>0</v>
      </c>
      <c r="BZ7" s="312">
        <f>IF($BI7&lt;&gt;"",IF('Capacity summary'!$D$14="Yes",IF(COUNTBLANK('Capacity summary'!$H126:$BG126)&lt;52,IF('Capacity summary'!W126&lt;&gt;"",IF(LOWER('Capacity summary'!W126)="x",$BI7*W7,VALUE('Capacity summary'!W126)),0),W7*$BI7),W7*$BI7),0)</f>
        <v>0</v>
      </c>
      <c r="CA7" s="312">
        <f>IF($BI7&lt;&gt;"",IF('Capacity summary'!$D$14="Yes",IF(COUNTBLANK('Capacity summary'!$H126:$BG126)&lt;52,IF('Capacity summary'!X126&lt;&gt;"",IF(LOWER('Capacity summary'!X126)="x",$BI7*X7,VALUE('Capacity summary'!X126)),0),X7*$BI7),X7*$BI7),0)</f>
        <v>0</v>
      </c>
      <c r="CB7" s="312">
        <f>IF($BI7&lt;&gt;"",IF('Capacity summary'!$D$14="Yes",IF(COUNTBLANK('Capacity summary'!$H126:$BG126)&lt;52,IF('Capacity summary'!Y126&lt;&gt;"",IF(LOWER('Capacity summary'!Y126)="x",$BI7*Y7,VALUE('Capacity summary'!Y126)),0),Y7*$BI7),Y7*$BI7),0)</f>
        <v>0</v>
      </c>
      <c r="CC7" s="312">
        <f>IF($BI7&lt;&gt;"",IF('Capacity summary'!$D$14="Yes",IF(COUNTBLANK('Capacity summary'!$H126:$BG126)&lt;52,IF('Capacity summary'!Z126&lt;&gt;"",IF(LOWER('Capacity summary'!Z126)="x",$BI7*Z7,VALUE('Capacity summary'!Z126)),0),Z7*$BI7),Z7*$BI7),0)</f>
        <v>0</v>
      </c>
      <c r="CD7" s="312">
        <f>IF($BI7&lt;&gt;"",IF('Capacity summary'!$D$14="Yes",IF(COUNTBLANK('Capacity summary'!$H126:$BG126)&lt;52,IF('Capacity summary'!AA126&lt;&gt;"",IF(LOWER('Capacity summary'!AA126)="x",$BI7*AA7,VALUE('Capacity summary'!AA126)),0),AA7*$BI7),AA7*$BI7),0)</f>
        <v>0</v>
      </c>
      <c r="CE7" s="312">
        <f>IF($BI7&lt;&gt;"",IF('Capacity summary'!$D$14="Yes",IF(COUNTBLANK('Capacity summary'!$H126:$BG126)&lt;52,IF('Capacity summary'!AB126&lt;&gt;"",IF(LOWER('Capacity summary'!AB126)="x",$BI7*AB7,VALUE('Capacity summary'!AB126)),0),AB7*$BI7),AB7*$BI7),0)</f>
        <v>0</v>
      </c>
      <c r="CF7" s="312">
        <f>IF($BI7&lt;&gt;"",IF('Capacity summary'!$D$14="Yes",IF(COUNTBLANK('Capacity summary'!$H126:$BG126)&lt;52,IF('Capacity summary'!AC126&lt;&gt;"",IF(LOWER('Capacity summary'!AC126)="x",$BI7*AC7,VALUE('Capacity summary'!AC126)),0),AC7*$BI7),AC7*$BI7),0)</f>
        <v>0</v>
      </c>
      <c r="CG7" s="312">
        <f>IF($BI7&lt;&gt;"",IF('Capacity summary'!$D$14="Yes",IF(COUNTBLANK('Capacity summary'!$H126:$BG126)&lt;52,IF('Capacity summary'!AD126&lt;&gt;"",IF(LOWER('Capacity summary'!AD126)="x",$BI7*AD7,VALUE('Capacity summary'!AD126)),0),AD7*$BI7),AD7*$BI7),0)</f>
        <v>0</v>
      </c>
      <c r="CH7" s="312">
        <f>IF($BI7&lt;&gt;"",IF('Capacity summary'!$D$14="Yes",IF(COUNTBLANK('Capacity summary'!$H126:$BG126)&lt;52,IF('Capacity summary'!AE126&lt;&gt;"",IF(LOWER('Capacity summary'!AE126)="x",$BI7*AE7,VALUE('Capacity summary'!AE126)),0),AE7*$BI7),AE7*$BI7),0)</f>
        <v>0</v>
      </c>
      <c r="CI7" s="312">
        <f>IF($BI7&lt;&gt;"",IF('Capacity summary'!$D$14="Yes",IF(COUNTBLANK('Capacity summary'!$H126:$BG126)&lt;52,IF('Capacity summary'!AF126&lt;&gt;"",IF(LOWER('Capacity summary'!AF126)="x",$BI7*AF7,VALUE('Capacity summary'!AF126)),0),AF7*$BI7),AF7*$BI7),0)</f>
        <v>0</v>
      </c>
      <c r="CJ7" s="312">
        <f>IF($BI7&lt;&gt;"",IF('Capacity summary'!$D$14="Yes",IF(COUNTBLANK('Capacity summary'!$H126:$BG126)&lt;52,IF('Capacity summary'!AG126&lt;&gt;"",IF(LOWER('Capacity summary'!AG126)="x",$BI7*AG7,VALUE('Capacity summary'!AG126)),0),AG7*$BI7),AG7*$BI7),0)</f>
        <v>0</v>
      </c>
      <c r="CK7" s="312">
        <f>IF($BI7&lt;&gt;"",IF('Capacity summary'!$D$14="Yes",IF(COUNTBLANK('Capacity summary'!$H126:$BG126)&lt;52,IF('Capacity summary'!AH126&lt;&gt;"",IF(LOWER('Capacity summary'!AH126)="x",$BI7*AH7,VALUE('Capacity summary'!AH126)),0),AH7*$BI7),AH7*$BI7),0)</f>
        <v>0</v>
      </c>
      <c r="CL7" s="312">
        <f>IF($BI7&lt;&gt;"",IF('Capacity summary'!$D$14="Yes",IF(COUNTBLANK('Capacity summary'!$H126:$BG126)&lt;52,IF('Capacity summary'!AI126&lt;&gt;"",IF(LOWER('Capacity summary'!AI126)="x",$BI7*AI7,VALUE('Capacity summary'!AI126)),0),AI7*$BI7),AI7*$BI7),0)</f>
        <v>0</v>
      </c>
      <c r="CM7" s="312">
        <f>IF($BI7&lt;&gt;"",IF('Capacity summary'!$D$14="Yes",IF(COUNTBLANK('Capacity summary'!$H126:$BG126)&lt;52,IF('Capacity summary'!AJ126&lt;&gt;"",IF(LOWER('Capacity summary'!AJ126)="x",$BI7*AJ7,VALUE('Capacity summary'!AJ126)),0),AJ7*$BI7),AJ7*$BI7),0)</f>
        <v>0</v>
      </c>
      <c r="CN7" s="312">
        <f>IF($BI7&lt;&gt;"",IF('Capacity summary'!$D$14="Yes",IF(COUNTBLANK('Capacity summary'!$H126:$BG126)&lt;52,IF('Capacity summary'!AK126&lt;&gt;"",IF(LOWER('Capacity summary'!AK126)="x",$BI7*AK7,VALUE('Capacity summary'!AK126)),0),AK7*$BI7),AK7*$BI7),0)</f>
        <v>0</v>
      </c>
      <c r="CO7" s="312">
        <f>IF($BI7&lt;&gt;"",IF('Capacity summary'!$D$14="Yes",IF(COUNTBLANK('Capacity summary'!$H126:$BG126)&lt;52,IF('Capacity summary'!AL126&lt;&gt;"",IF(LOWER('Capacity summary'!AL126)="x",$BI7*AL7,VALUE('Capacity summary'!AL126)),0),AL7*$BI7),AL7*$BI7),0)</f>
        <v>0</v>
      </c>
      <c r="CP7" s="312">
        <f>IF($BI7&lt;&gt;"",IF('Capacity summary'!$D$14="Yes",IF(COUNTBLANK('Capacity summary'!$H126:$BG126)&lt;52,IF('Capacity summary'!AM126&lt;&gt;"",IF(LOWER('Capacity summary'!AM126)="x",$BI7*AM7,VALUE('Capacity summary'!AM126)),0),AM7*$BI7),AM7*$BI7),0)</f>
        <v>0</v>
      </c>
      <c r="CQ7" s="312">
        <f>IF($BI7&lt;&gt;"",IF('Capacity summary'!$D$14="Yes",IF(COUNTBLANK('Capacity summary'!$H126:$BG126)&lt;52,IF('Capacity summary'!AN126&lt;&gt;"",IF(LOWER('Capacity summary'!AN126)="x",$BI7*AN7,VALUE('Capacity summary'!AN126)),0),AN7*$BI7),AN7*$BI7),0)</f>
        <v>0</v>
      </c>
      <c r="CR7" s="312">
        <f>IF($BI7&lt;&gt;"",IF('Capacity summary'!$D$14="Yes",IF(COUNTBLANK('Capacity summary'!$H126:$BG126)&lt;52,IF('Capacity summary'!AO126&lt;&gt;"",IF(LOWER('Capacity summary'!AO126)="x",$BI7*AO7,VALUE('Capacity summary'!AO126)),0),AO7*$BI7),AO7*$BI7),0)</f>
        <v>0</v>
      </c>
      <c r="CS7" s="312">
        <f>IF($BI7&lt;&gt;"",IF('Capacity summary'!$D$14="Yes",IF(COUNTBLANK('Capacity summary'!$H126:$BG126)&lt;52,IF('Capacity summary'!AP126&lt;&gt;"",IF(LOWER('Capacity summary'!AP126)="x",$BI7*AP7,VALUE('Capacity summary'!AP126)),0),AP7*$BI7),AP7*$BI7),0)</f>
        <v>0</v>
      </c>
      <c r="CT7" s="312">
        <f>IF($BI7&lt;&gt;"",IF('Capacity summary'!$D$14="Yes",IF(COUNTBLANK('Capacity summary'!$H126:$BG126)&lt;52,IF('Capacity summary'!AQ126&lt;&gt;"",IF(LOWER('Capacity summary'!AQ126)="x",$BI7*AQ7,VALUE('Capacity summary'!AQ126)),0),AQ7*$BI7),AQ7*$BI7),0)</f>
        <v>0</v>
      </c>
      <c r="CU7" s="312">
        <f>IF($BI7&lt;&gt;"",IF('Capacity summary'!$D$14="Yes",IF(COUNTBLANK('Capacity summary'!$H126:$BG126)&lt;52,IF('Capacity summary'!AR126&lt;&gt;"",IF(LOWER('Capacity summary'!AR126)="x",$BI7*AR7,VALUE('Capacity summary'!AR126)),0),AR7*$BI7),AR7*$BI7),0)</f>
        <v>0</v>
      </c>
      <c r="CV7" s="312">
        <f>IF($BI7&lt;&gt;"",IF('Capacity summary'!$D$14="Yes",IF(COUNTBLANK('Capacity summary'!$H126:$BG126)&lt;52,IF('Capacity summary'!AS126&lt;&gt;"",IF(LOWER('Capacity summary'!AS126)="x",$BI7*AS7,VALUE('Capacity summary'!AS126)),0),AS7*$BI7),AS7*$BI7),0)</f>
        <v>0</v>
      </c>
      <c r="CW7" s="312">
        <f>IF($BI7&lt;&gt;"",IF('Capacity summary'!$D$14="Yes",IF(COUNTBLANK('Capacity summary'!$H126:$BG126)&lt;52,IF('Capacity summary'!AT126&lt;&gt;"",IF(LOWER('Capacity summary'!AT126)="x",$BI7*AT7,VALUE('Capacity summary'!AT126)),0),AT7*$BI7),AT7*$BI7),0)</f>
        <v>0</v>
      </c>
      <c r="CX7" s="312">
        <f>IF($BI7&lt;&gt;"",IF('Capacity summary'!$D$14="Yes",IF(COUNTBLANK('Capacity summary'!$H126:$BG126)&lt;52,IF('Capacity summary'!AU126&lt;&gt;"",IF(LOWER('Capacity summary'!AU126)="x",$BI7*AU7,VALUE('Capacity summary'!AU126)),0),AU7*$BI7),AU7*$BI7),0)</f>
        <v>0</v>
      </c>
      <c r="CY7" s="312">
        <f>IF($BI7&lt;&gt;"",IF('Capacity summary'!$D$14="Yes",IF(COUNTBLANK('Capacity summary'!$H126:$BG126)&lt;52,IF('Capacity summary'!AV126&lt;&gt;"",IF(LOWER('Capacity summary'!AV126)="x",$BI7*AV7,VALUE('Capacity summary'!AV126)),0),AV7*$BI7),AV7*$BI7),0)</f>
        <v>0</v>
      </c>
      <c r="CZ7" s="312">
        <f>IF($BI7&lt;&gt;"",IF('Capacity summary'!$D$14="Yes",IF(COUNTBLANK('Capacity summary'!$H126:$BG126)&lt;52,IF('Capacity summary'!AW126&lt;&gt;"",IF(LOWER('Capacity summary'!AW126)="x",$BI7*AW7,VALUE('Capacity summary'!AW126)),0),AW7*$BI7),AW7*$BI7),0)</f>
        <v>0</v>
      </c>
      <c r="DA7" s="312">
        <f>IF($BI7&lt;&gt;"",IF('Capacity summary'!$D$14="Yes",IF(COUNTBLANK('Capacity summary'!$H126:$BG126)&lt;52,IF('Capacity summary'!AX126&lt;&gt;"",IF(LOWER('Capacity summary'!AX126)="x",$BI7*AX7,VALUE('Capacity summary'!AX126)),0),AX7*$BI7),AX7*$BI7),0)</f>
        <v>0</v>
      </c>
      <c r="DB7" s="312">
        <f>IF($BI7&lt;&gt;"",IF('Capacity summary'!$D$14="Yes",IF(COUNTBLANK('Capacity summary'!$H126:$BG126)&lt;52,IF('Capacity summary'!AY126&lt;&gt;"",IF(LOWER('Capacity summary'!AY126)="x",$BI7*AY7,VALUE('Capacity summary'!AY126)),0),AY7*$BI7),AY7*$BI7),0)</f>
        <v>0</v>
      </c>
      <c r="DC7" s="312">
        <f>IF($BI7&lt;&gt;"",IF('Capacity summary'!$D$14="Yes",IF(COUNTBLANK('Capacity summary'!$H126:$BG126)&lt;52,IF('Capacity summary'!AZ126&lt;&gt;"",IF(LOWER('Capacity summary'!AZ126)="x",$BI7*AZ7,VALUE('Capacity summary'!AZ126)),0),AZ7*$BI7),AZ7*$BI7),0)</f>
        <v>0</v>
      </c>
      <c r="DD7" s="312">
        <f>IF($BI7&lt;&gt;"",IF('Capacity summary'!$D$14="Yes",IF(COUNTBLANK('Capacity summary'!$H126:$BG126)&lt;52,IF('Capacity summary'!BA126&lt;&gt;"",IF(LOWER('Capacity summary'!BA126)="x",$BI7*BA7,VALUE('Capacity summary'!BA126)),0),BA7*$BI7),BA7*$BI7),0)</f>
        <v>0</v>
      </c>
      <c r="DE7" s="312">
        <f>IF($BI7&lt;&gt;"",IF('Capacity summary'!$D$14="Yes",IF(COUNTBLANK('Capacity summary'!$H126:$BG126)&lt;52,IF('Capacity summary'!BB126&lt;&gt;"",IF(LOWER('Capacity summary'!BB126)="x",$BI7*BB7,VALUE('Capacity summary'!BB126)),0),BB7*$BI7),BB7*$BI7),0)</f>
        <v>0</v>
      </c>
      <c r="DF7" s="312">
        <f>IF($BI7&lt;&gt;"",IF('Capacity summary'!$D$14="Yes",IF(COUNTBLANK('Capacity summary'!$H126:$BG126)&lt;52,IF('Capacity summary'!BC126&lt;&gt;"",IF(LOWER('Capacity summary'!BC126)="x",$BI7*BC7,VALUE('Capacity summary'!BC126)),0),BC7*$BI7),BC7*$BI7),0)</f>
        <v>0</v>
      </c>
      <c r="DG7" s="312">
        <f>IF($BI7&lt;&gt;"",IF('Capacity summary'!$D$14="Yes",IF(COUNTBLANK('Capacity summary'!$H126:$BG126)&lt;52,IF('Capacity summary'!BD126&lt;&gt;"",IF(LOWER('Capacity summary'!BD126)="x",$BI7*BD7,VALUE('Capacity summary'!BD126)),0),BD7*$BI7),BD7*$BI7),0)</f>
        <v>0</v>
      </c>
      <c r="DH7" s="312">
        <f>IF($BI7&lt;&gt;"",IF('Capacity summary'!$D$14="Yes",IF(COUNTBLANK('Capacity summary'!$H126:$BG126)&lt;52,IF('Capacity summary'!BE126&lt;&gt;"",IF(LOWER('Capacity summary'!BE126)="x",$BI7*BE7,VALUE('Capacity summary'!BE126)),0),BE7*$BI7),BE7*$BI7),0)</f>
        <v>0</v>
      </c>
      <c r="DI7" s="312">
        <f>IF($BI7&lt;&gt;"",IF('Capacity summary'!$D$14="Yes",IF(COUNTBLANK('Capacity summary'!$H126:$BG126)&lt;52,IF('Capacity summary'!BF126&lt;&gt;"",IF(LOWER('Capacity summary'!BF126)="x",$BI7*BF7,VALUE('Capacity summary'!BF126)),0),BF7*$BI7),BF7*$BI7),0)</f>
        <v>0</v>
      </c>
      <c r="DJ7" s="312">
        <f>IF($BI7&lt;&gt;"",IF('Capacity summary'!$D$14="Yes",IF(COUNTBLANK('Capacity summary'!$H126:$BG126)&lt;52,IF('Capacity summary'!BG126&lt;&gt;"",IF(LOWER('Capacity summary'!BG126)="x",$BI7*BG7,VALUE('Capacity summary'!BG126)),0),BG7*$BI7),BG7*$BI7),0)</f>
        <v>0</v>
      </c>
      <c r="DK7" s="136">
        <f t="shared" si="2"/>
        <v>0</v>
      </c>
      <c r="DL7" s="312"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2">
        <f>IF($BI8&lt;&gt;"",IF('Capacity summary'!$D$14="Yes",IF(COUNTBLANK('Capacity summary'!$H127:$BG127)&lt;52,IF('Capacity summary'!H127&lt;&gt;"",IF(LOWER('Capacity summary'!H127)="x",$BI8*H8,VALUE('Capacity summary'!H127)),0),H8*$BI8),H8*$BI8),0)</f>
        <v>0</v>
      </c>
      <c r="BL8" s="312">
        <f>IF($BI8&lt;&gt;"",IF('Capacity summary'!$D$14="Yes",IF(COUNTBLANK('Capacity summary'!$H127:$BG127)&lt;52,IF('Capacity summary'!I127&lt;&gt;"",IF(LOWER('Capacity summary'!I127)="x",$BI8*I8,VALUE('Capacity summary'!I127)),0),I8*$BI8),I8*$BI8),0)</f>
        <v>0</v>
      </c>
      <c r="BM8" s="312">
        <f>IF($BI8&lt;&gt;"",IF('Capacity summary'!$D$14="Yes",IF(COUNTBLANK('Capacity summary'!$H127:$BG127)&lt;52,IF('Capacity summary'!J127&lt;&gt;"",IF(LOWER('Capacity summary'!J127)="x",$BI8*J8,VALUE('Capacity summary'!J127)),0),J8*$BI8),J8*$BI8),0)</f>
        <v>0</v>
      </c>
      <c r="BN8" s="312">
        <f>IF($BI8&lt;&gt;"",IF('Capacity summary'!$D$14="Yes",IF(COUNTBLANK('Capacity summary'!$H127:$BG127)&lt;52,IF('Capacity summary'!K127&lt;&gt;"",IF(LOWER('Capacity summary'!K127)="x",$BI8*K8,VALUE('Capacity summary'!K127)),0),K8*$BI8),K8*$BI8),0)</f>
        <v>0</v>
      </c>
      <c r="BO8" s="312">
        <f>IF($BI8&lt;&gt;"",IF('Capacity summary'!$D$14="Yes",IF(COUNTBLANK('Capacity summary'!$H127:$BG127)&lt;52,IF('Capacity summary'!L127&lt;&gt;"",IF(LOWER('Capacity summary'!L127)="x",$BI8*L8,VALUE('Capacity summary'!L127)),0),L8*$BI8),L8*$BI8),0)</f>
        <v>0</v>
      </c>
      <c r="BP8" s="312">
        <f>IF($BI8&lt;&gt;"",IF('Capacity summary'!$D$14="Yes",IF(COUNTBLANK('Capacity summary'!$H127:$BG127)&lt;52,IF('Capacity summary'!M127&lt;&gt;"",IF(LOWER('Capacity summary'!M127)="x",$BI8*M8,VALUE('Capacity summary'!M127)),0),M8*$BI8),M8*$BI8),0)</f>
        <v>0</v>
      </c>
      <c r="BQ8" s="312">
        <f>IF($BI8&lt;&gt;"",IF('Capacity summary'!$D$14="Yes",IF(COUNTBLANK('Capacity summary'!$H127:$BG127)&lt;52,IF('Capacity summary'!N127&lt;&gt;"",IF(LOWER('Capacity summary'!N127)="x",$BI8*N8,VALUE('Capacity summary'!N127)),0),N8*$BI8),N8*$BI8),0)</f>
        <v>0</v>
      </c>
      <c r="BR8" s="312">
        <f>IF($BI8&lt;&gt;"",IF('Capacity summary'!$D$14="Yes",IF(COUNTBLANK('Capacity summary'!$H127:$BG127)&lt;52,IF('Capacity summary'!O127&lt;&gt;"",IF(LOWER('Capacity summary'!O127)="x",$BI8*O8,VALUE('Capacity summary'!O127)),0),O8*$BI8),O8*$BI8),0)</f>
        <v>0</v>
      </c>
      <c r="BS8" s="312">
        <f>IF($BI8&lt;&gt;"",IF('Capacity summary'!$D$14="Yes",IF(COUNTBLANK('Capacity summary'!$H127:$BG127)&lt;52,IF('Capacity summary'!P127&lt;&gt;"",IF(LOWER('Capacity summary'!P127)="x",$BI8*P8,VALUE('Capacity summary'!P127)),0),P8*$BI8),P8*$BI8),0)</f>
        <v>0</v>
      </c>
      <c r="BT8" s="312">
        <f>IF($BI8&lt;&gt;"",IF('Capacity summary'!$D$14="Yes",IF(COUNTBLANK('Capacity summary'!$H127:$BG127)&lt;52,IF('Capacity summary'!Q127&lt;&gt;"",IF(LOWER('Capacity summary'!Q127)="x",$BI8*Q8,VALUE('Capacity summary'!Q127)),0),Q8*$BI8),Q8*$BI8),0)</f>
        <v>0</v>
      </c>
      <c r="BU8" s="312">
        <f>IF($BI8&lt;&gt;"",IF('Capacity summary'!$D$14="Yes",IF(COUNTBLANK('Capacity summary'!$H127:$BG127)&lt;52,IF('Capacity summary'!R127&lt;&gt;"",IF(LOWER('Capacity summary'!R127)="x",$BI8*R8,VALUE('Capacity summary'!R127)),0),R8*$BI8),R8*$BI8),0)</f>
        <v>0</v>
      </c>
      <c r="BV8" s="312">
        <f>IF($BI8&lt;&gt;"",IF('Capacity summary'!$D$14="Yes",IF(COUNTBLANK('Capacity summary'!$H127:$BG127)&lt;52,IF('Capacity summary'!S127&lt;&gt;"",IF(LOWER('Capacity summary'!S127)="x",$BI8*S8,VALUE('Capacity summary'!S127)),0),S8*$BI8),S8*$BI8),0)</f>
        <v>0</v>
      </c>
      <c r="BW8" s="312">
        <f>IF($BI8&lt;&gt;"",IF('Capacity summary'!$D$14="Yes",IF(COUNTBLANK('Capacity summary'!$H127:$BG127)&lt;52,IF('Capacity summary'!T127&lt;&gt;"",IF(LOWER('Capacity summary'!T127)="x",$BI8*T8,VALUE('Capacity summary'!T127)),0),T8*$BI8),T8*$BI8),0)</f>
        <v>0</v>
      </c>
      <c r="BX8" s="312">
        <f>IF($BI8&lt;&gt;"",IF('Capacity summary'!$D$14="Yes",IF(COUNTBLANK('Capacity summary'!$H127:$BG127)&lt;52,IF('Capacity summary'!U127&lt;&gt;"",IF(LOWER('Capacity summary'!U127)="x",$BI8*U8,VALUE('Capacity summary'!U127)),0),U8*$BI8),U8*$BI8),0)</f>
        <v>0</v>
      </c>
      <c r="BY8" s="312">
        <f>IF($BI8&lt;&gt;"",IF('Capacity summary'!$D$14="Yes",IF(COUNTBLANK('Capacity summary'!$H127:$BG127)&lt;52,IF('Capacity summary'!V127&lt;&gt;"",IF(LOWER('Capacity summary'!V127)="x",$BI8*V8,VALUE('Capacity summary'!V127)),0),V8*$BI8),V8*$BI8),0)</f>
        <v>0</v>
      </c>
      <c r="BZ8" s="312">
        <f>IF($BI8&lt;&gt;"",IF('Capacity summary'!$D$14="Yes",IF(COUNTBLANK('Capacity summary'!$H127:$BG127)&lt;52,IF('Capacity summary'!W127&lt;&gt;"",IF(LOWER('Capacity summary'!W127)="x",$BI8*W8,VALUE('Capacity summary'!W127)),0),W8*$BI8),W8*$BI8),0)</f>
        <v>0</v>
      </c>
      <c r="CA8" s="312">
        <f>IF($BI8&lt;&gt;"",IF('Capacity summary'!$D$14="Yes",IF(COUNTBLANK('Capacity summary'!$H127:$BG127)&lt;52,IF('Capacity summary'!X127&lt;&gt;"",IF(LOWER('Capacity summary'!X127)="x",$BI8*X8,VALUE('Capacity summary'!X127)),0),X8*$BI8),X8*$BI8),0)</f>
        <v>0</v>
      </c>
      <c r="CB8" s="312">
        <f>IF($BI8&lt;&gt;"",IF('Capacity summary'!$D$14="Yes",IF(COUNTBLANK('Capacity summary'!$H127:$BG127)&lt;52,IF('Capacity summary'!Y127&lt;&gt;"",IF(LOWER('Capacity summary'!Y127)="x",$BI8*Y8,VALUE('Capacity summary'!Y127)),0),Y8*$BI8),Y8*$BI8),0)</f>
        <v>0</v>
      </c>
      <c r="CC8" s="312">
        <f>IF($BI8&lt;&gt;"",IF('Capacity summary'!$D$14="Yes",IF(COUNTBLANK('Capacity summary'!$H127:$BG127)&lt;52,IF('Capacity summary'!Z127&lt;&gt;"",IF(LOWER('Capacity summary'!Z127)="x",$BI8*Z8,VALUE('Capacity summary'!Z127)),0),Z8*$BI8),Z8*$BI8),0)</f>
        <v>0</v>
      </c>
      <c r="CD8" s="312">
        <f>IF($BI8&lt;&gt;"",IF('Capacity summary'!$D$14="Yes",IF(COUNTBLANK('Capacity summary'!$H127:$BG127)&lt;52,IF('Capacity summary'!AA127&lt;&gt;"",IF(LOWER('Capacity summary'!AA127)="x",$BI8*AA8,VALUE('Capacity summary'!AA127)),0),AA8*$BI8),AA8*$BI8),0)</f>
        <v>0</v>
      </c>
      <c r="CE8" s="312">
        <f>IF($BI8&lt;&gt;"",IF('Capacity summary'!$D$14="Yes",IF(COUNTBLANK('Capacity summary'!$H127:$BG127)&lt;52,IF('Capacity summary'!AB127&lt;&gt;"",IF(LOWER('Capacity summary'!AB127)="x",$BI8*AB8,VALUE('Capacity summary'!AB127)),0),AB8*$BI8),AB8*$BI8),0)</f>
        <v>0</v>
      </c>
      <c r="CF8" s="312">
        <f>IF($BI8&lt;&gt;"",IF('Capacity summary'!$D$14="Yes",IF(COUNTBLANK('Capacity summary'!$H127:$BG127)&lt;52,IF('Capacity summary'!AC127&lt;&gt;"",IF(LOWER('Capacity summary'!AC127)="x",$BI8*AC8,VALUE('Capacity summary'!AC127)),0),AC8*$BI8),AC8*$BI8),0)</f>
        <v>0</v>
      </c>
      <c r="CG8" s="312">
        <f>IF($BI8&lt;&gt;"",IF('Capacity summary'!$D$14="Yes",IF(COUNTBLANK('Capacity summary'!$H127:$BG127)&lt;52,IF('Capacity summary'!AD127&lt;&gt;"",IF(LOWER('Capacity summary'!AD127)="x",$BI8*AD8,VALUE('Capacity summary'!AD127)),0),AD8*$BI8),AD8*$BI8),0)</f>
        <v>0</v>
      </c>
      <c r="CH8" s="312">
        <f>IF($BI8&lt;&gt;"",IF('Capacity summary'!$D$14="Yes",IF(COUNTBLANK('Capacity summary'!$H127:$BG127)&lt;52,IF('Capacity summary'!AE127&lt;&gt;"",IF(LOWER('Capacity summary'!AE127)="x",$BI8*AE8,VALUE('Capacity summary'!AE127)),0),AE8*$BI8),AE8*$BI8),0)</f>
        <v>0</v>
      </c>
      <c r="CI8" s="312">
        <f>IF($BI8&lt;&gt;"",IF('Capacity summary'!$D$14="Yes",IF(COUNTBLANK('Capacity summary'!$H127:$BG127)&lt;52,IF('Capacity summary'!AF127&lt;&gt;"",IF(LOWER('Capacity summary'!AF127)="x",$BI8*AF8,VALUE('Capacity summary'!AF127)),0),AF8*$BI8),AF8*$BI8),0)</f>
        <v>0</v>
      </c>
      <c r="CJ8" s="312">
        <f>IF($BI8&lt;&gt;"",IF('Capacity summary'!$D$14="Yes",IF(COUNTBLANK('Capacity summary'!$H127:$BG127)&lt;52,IF('Capacity summary'!AG127&lt;&gt;"",IF(LOWER('Capacity summary'!AG127)="x",$BI8*AG8,VALUE('Capacity summary'!AG127)),0),AG8*$BI8),AG8*$BI8),0)</f>
        <v>0</v>
      </c>
      <c r="CK8" s="312">
        <f>IF($BI8&lt;&gt;"",IF('Capacity summary'!$D$14="Yes",IF(COUNTBLANK('Capacity summary'!$H127:$BG127)&lt;52,IF('Capacity summary'!AH127&lt;&gt;"",IF(LOWER('Capacity summary'!AH127)="x",$BI8*AH8,VALUE('Capacity summary'!AH127)),0),AH8*$BI8),AH8*$BI8),0)</f>
        <v>0</v>
      </c>
      <c r="CL8" s="312">
        <f>IF($BI8&lt;&gt;"",IF('Capacity summary'!$D$14="Yes",IF(COUNTBLANK('Capacity summary'!$H127:$BG127)&lt;52,IF('Capacity summary'!AI127&lt;&gt;"",IF(LOWER('Capacity summary'!AI127)="x",$BI8*AI8,VALUE('Capacity summary'!AI127)),0),AI8*$BI8),AI8*$BI8),0)</f>
        <v>0</v>
      </c>
      <c r="CM8" s="312">
        <f>IF($BI8&lt;&gt;"",IF('Capacity summary'!$D$14="Yes",IF(COUNTBLANK('Capacity summary'!$H127:$BG127)&lt;52,IF('Capacity summary'!AJ127&lt;&gt;"",IF(LOWER('Capacity summary'!AJ127)="x",$BI8*AJ8,VALUE('Capacity summary'!AJ127)),0),AJ8*$BI8),AJ8*$BI8),0)</f>
        <v>0</v>
      </c>
      <c r="CN8" s="312">
        <f>IF($BI8&lt;&gt;"",IF('Capacity summary'!$D$14="Yes",IF(COUNTBLANK('Capacity summary'!$H127:$BG127)&lt;52,IF('Capacity summary'!AK127&lt;&gt;"",IF(LOWER('Capacity summary'!AK127)="x",$BI8*AK8,VALUE('Capacity summary'!AK127)),0),AK8*$BI8),AK8*$BI8),0)</f>
        <v>0</v>
      </c>
      <c r="CO8" s="312">
        <f>IF($BI8&lt;&gt;"",IF('Capacity summary'!$D$14="Yes",IF(COUNTBLANK('Capacity summary'!$H127:$BG127)&lt;52,IF('Capacity summary'!AL127&lt;&gt;"",IF(LOWER('Capacity summary'!AL127)="x",$BI8*AL8,VALUE('Capacity summary'!AL127)),0),AL8*$BI8),AL8*$BI8),0)</f>
        <v>0</v>
      </c>
      <c r="CP8" s="312">
        <f>IF($BI8&lt;&gt;"",IF('Capacity summary'!$D$14="Yes",IF(COUNTBLANK('Capacity summary'!$H127:$BG127)&lt;52,IF('Capacity summary'!AM127&lt;&gt;"",IF(LOWER('Capacity summary'!AM127)="x",$BI8*AM8,VALUE('Capacity summary'!AM127)),0),AM8*$BI8),AM8*$BI8),0)</f>
        <v>0</v>
      </c>
      <c r="CQ8" s="312">
        <f>IF($BI8&lt;&gt;"",IF('Capacity summary'!$D$14="Yes",IF(COUNTBLANK('Capacity summary'!$H127:$BG127)&lt;52,IF('Capacity summary'!AN127&lt;&gt;"",IF(LOWER('Capacity summary'!AN127)="x",$BI8*AN8,VALUE('Capacity summary'!AN127)),0),AN8*$BI8),AN8*$BI8),0)</f>
        <v>0</v>
      </c>
      <c r="CR8" s="312">
        <f>IF($BI8&lt;&gt;"",IF('Capacity summary'!$D$14="Yes",IF(COUNTBLANK('Capacity summary'!$H127:$BG127)&lt;52,IF('Capacity summary'!AO127&lt;&gt;"",IF(LOWER('Capacity summary'!AO127)="x",$BI8*AO8,VALUE('Capacity summary'!AO127)),0),AO8*$BI8),AO8*$BI8),0)</f>
        <v>0</v>
      </c>
      <c r="CS8" s="312">
        <f>IF($BI8&lt;&gt;"",IF('Capacity summary'!$D$14="Yes",IF(COUNTBLANK('Capacity summary'!$H127:$BG127)&lt;52,IF('Capacity summary'!AP127&lt;&gt;"",IF(LOWER('Capacity summary'!AP127)="x",$BI8*AP8,VALUE('Capacity summary'!AP127)),0),AP8*$BI8),AP8*$BI8),0)</f>
        <v>0</v>
      </c>
      <c r="CT8" s="312">
        <f>IF($BI8&lt;&gt;"",IF('Capacity summary'!$D$14="Yes",IF(COUNTBLANK('Capacity summary'!$H127:$BG127)&lt;52,IF('Capacity summary'!AQ127&lt;&gt;"",IF(LOWER('Capacity summary'!AQ127)="x",$BI8*AQ8,VALUE('Capacity summary'!AQ127)),0),AQ8*$BI8),AQ8*$BI8),0)</f>
        <v>0</v>
      </c>
      <c r="CU8" s="312">
        <f>IF($BI8&lt;&gt;"",IF('Capacity summary'!$D$14="Yes",IF(COUNTBLANK('Capacity summary'!$H127:$BG127)&lt;52,IF('Capacity summary'!AR127&lt;&gt;"",IF(LOWER('Capacity summary'!AR127)="x",$BI8*AR8,VALUE('Capacity summary'!AR127)),0),AR8*$BI8),AR8*$BI8),0)</f>
        <v>0</v>
      </c>
      <c r="CV8" s="312">
        <f>IF($BI8&lt;&gt;"",IF('Capacity summary'!$D$14="Yes",IF(COUNTBLANK('Capacity summary'!$H127:$BG127)&lt;52,IF('Capacity summary'!AS127&lt;&gt;"",IF(LOWER('Capacity summary'!AS127)="x",$BI8*AS8,VALUE('Capacity summary'!AS127)),0),AS8*$BI8),AS8*$BI8),0)</f>
        <v>0</v>
      </c>
      <c r="CW8" s="312">
        <f>IF($BI8&lt;&gt;"",IF('Capacity summary'!$D$14="Yes",IF(COUNTBLANK('Capacity summary'!$H127:$BG127)&lt;52,IF('Capacity summary'!AT127&lt;&gt;"",IF(LOWER('Capacity summary'!AT127)="x",$BI8*AT8,VALUE('Capacity summary'!AT127)),0),AT8*$BI8),AT8*$BI8),0)</f>
        <v>0</v>
      </c>
      <c r="CX8" s="312">
        <f>IF($BI8&lt;&gt;"",IF('Capacity summary'!$D$14="Yes",IF(COUNTBLANK('Capacity summary'!$H127:$BG127)&lt;52,IF('Capacity summary'!AU127&lt;&gt;"",IF(LOWER('Capacity summary'!AU127)="x",$BI8*AU8,VALUE('Capacity summary'!AU127)),0),AU8*$BI8),AU8*$BI8),0)</f>
        <v>0</v>
      </c>
      <c r="CY8" s="312">
        <f>IF($BI8&lt;&gt;"",IF('Capacity summary'!$D$14="Yes",IF(COUNTBLANK('Capacity summary'!$H127:$BG127)&lt;52,IF('Capacity summary'!AV127&lt;&gt;"",IF(LOWER('Capacity summary'!AV127)="x",$BI8*AV8,VALUE('Capacity summary'!AV127)),0),AV8*$BI8),AV8*$BI8),0)</f>
        <v>0</v>
      </c>
      <c r="CZ8" s="312">
        <f>IF($BI8&lt;&gt;"",IF('Capacity summary'!$D$14="Yes",IF(COUNTBLANK('Capacity summary'!$H127:$BG127)&lt;52,IF('Capacity summary'!AW127&lt;&gt;"",IF(LOWER('Capacity summary'!AW127)="x",$BI8*AW8,VALUE('Capacity summary'!AW127)),0),AW8*$BI8),AW8*$BI8),0)</f>
        <v>0</v>
      </c>
      <c r="DA8" s="312">
        <f>IF($BI8&lt;&gt;"",IF('Capacity summary'!$D$14="Yes",IF(COUNTBLANK('Capacity summary'!$H127:$BG127)&lt;52,IF('Capacity summary'!AX127&lt;&gt;"",IF(LOWER('Capacity summary'!AX127)="x",$BI8*AX8,VALUE('Capacity summary'!AX127)),0),AX8*$BI8),AX8*$BI8),0)</f>
        <v>0</v>
      </c>
      <c r="DB8" s="312">
        <f>IF($BI8&lt;&gt;"",IF('Capacity summary'!$D$14="Yes",IF(COUNTBLANK('Capacity summary'!$H127:$BG127)&lt;52,IF('Capacity summary'!AY127&lt;&gt;"",IF(LOWER('Capacity summary'!AY127)="x",$BI8*AY8,VALUE('Capacity summary'!AY127)),0),AY8*$BI8),AY8*$BI8),0)</f>
        <v>0</v>
      </c>
      <c r="DC8" s="312">
        <f>IF($BI8&lt;&gt;"",IF('Capacity summary'!$D$14="Yes",IF(COUNTBLANK('Capacity summary'!$H127:$BG127)&lt;52,IF('Capacity summary'!AZ127&lt;&gt;"",IF(LOWER('Capacity summary'!AZ127)="x",$BI8*AZ8,VALUE('Capacity summary'!AZ127)),0),AZ8*$BI8),AZ8*$BI8),0)</f>
        <v>0</v>
      </c>
      <c r="DD8" s="312">
        <f>IF($BI8&lt;&gt;"",IF('Capacity summary'!$D$14="Yes",IF(COUNTBLANK('Capacity summary'!$H127:$BG127)&lt;52,IF('Capacity summary'!BA127&lt;&gt;"",IF(LOWER('Capacity summary'!BA127)="x",$BI8*BA8,VALUE('Capacity summary'!BA127)),0),BA8*$BI8),BA8*$BI8),0)</f>
        <v>0</v>
      </c>
      <c r="DE8" s="312">
        <f>IF($BI8&lt;&gt;"",IF('Capacity summary'!$D$14="Yes",IF(COUNTBLANK('Capacity summary'!$H127:$BG127)&lt;52,IF('Capacity summary'!BB127&lt;&gt;"",IF(LOWER('Capacity summary'!BB127)="x",$BI8*BB8,VALUE('Capacity summary'!BB127)),0),BB8*$BI8),BB8*$BI8),0)</f>
        <v>0</v>
      </c>
      <c r="DF8" s="312">
        <f>IF($BI8&lt;&gt;"",IF('Capacity summary'!$D$14="Yes",IF(COUNTBLANK('Capacity summary'!$H127:$BG127)&lt;52,IF('Capacity summary'!BC127&lt;&gt;"",IF(LOWER('Capacity summary'!BC127)="x",$BI8*BC8,VALUE('Capacity summary'!BC127)),0),BC8*$BI8),BC8*$BI8),0)</f>
        <v>0</v>
      </c>
      <c r="DG8" s="312">
        <f>IF($BI8&lt;&gt;"",IF('Capacity summary'!$D$14="Yes",IF(COUNTBLANK('Capacity summary'!$H127:$BG127)&lt;52,IF('Capacity summary'!BD127&lt;&gt;"",IF(LOWER('Capacity summary'!BD127)="x",$BI8*BD8,VALUE('Capacity summary'!BD127)),0),BD8*$BI8),BD8*$BI8),0)</f>
        <v>0</v>
      </c>
      <c r="DH8" s="312">
        <f>IF($BI8&lt;&gt;"",IF('Capacity summary'!$D$14="Yes",IF(COUNTBLANK('Capacity summary'!$H127:$BG127)&lt;52,IF('Capacity summary'!BE127&lt;&gt;"",IF(LOWER('Capacity summary'!BE127)="x",$BI8*BE8,VALUE('Capacity summary'!BE127)),0),BE8*$BI8),BE8*$BI8),0)</f>
        <v>0</v>
      </c>
      <c r="DI8" s="312">
        <f>IF($BI8&lt;&gt;"",IF('Capacity summary'!$D$14="Yes",IF(COUNTBLANK('Capacity summary'!$H127:$BG127)&lt;52,IF('Capacity summary'!BF127&lt;&gt;"",IF(LOWER('Capacity summary'!BF127)="x",$BI8*BF8,VALUE('Capacity summary'!BF127)),0),BF8*$BI8),BF8*$BI8),0)</f>
        <v>0</v>
      </c>
      <c r="DJ8" s="312">
        <f>IF($BI8&lt;&gt;"",IF('Capacity summary'!$D$14="Yes",IF(COUNTBLANK('Capacity summary'!$H127:$BG127)&lt;52,IF('Capacity summary'!BG127&lt;&gt;"",IF(LOWER('Capacity summary'!BG127)="x",$BI8*BG8,VALUE('Capacity summary'!BG127)),0),BG8*$BI8),BG8*$BI8),0)</f>
        <v>0</v>
      </c>
      <c r="DK8" s="136">
        <f t="shared" si="2"/>
        <v>0</v>
      </c>
      <c r="DL8" s="312"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0</v>
      </c>
      <c r="BP9" s="312">
        <f>IF($BI9&lt;&gt;"",IF('Capacity summary'!$D$14="Yes",IF(COUNTBLANK('Capacity summary'!$H128:$BG128)&lt;52,IF('Capacity summary'!M128&lt;&gt;"",IF(LOWER('Capacity summary'!M128)="x",$BI9*M9,VALUE('Capacity summary'!M128)),0),M9*$BI9),M9*$BI9),0)</f>
        <v>0</v>
      </c>
      <c r="BQ9" s="312">
        <f>IF($BI9&lt;&gt;"",IF('Capacity summary'!$D$14="Yes",IF(COUNTBLANK('Capacity summary'!$H128:$BG128)&lt;52,IF('Capacity summary'!N128&lt;&gt;"",IF(LOWER('Capacity summary'!N128)="x",$BI9*N9,VALUE('Capacity summary'!N128)),0),N9*$BI9),N9*$BI9),0)</f>
        <v>0</v>
      </c>
      <c r="BR9" s="312">
        <f>IF($BI9&lt;&gt;"",IF('Capacity summary'!$D$14="Yes",IF(COUNTBLANK('Capacity summary'!$H128:$BG128)&lt;52,IF('Capacity summary'!O128&lt;&gt;"",IF(LOWER('Capacity summary'!O128)="x",$BI9*O9,VALUE('Capacity summary'!O128)),0),O9*$BI9),O9*$BI9),0)</f>
        <v>0</v>
      </c>
      <c r="BS9" s="312">
        <f>IF($BI9&lt;&gt;"",IF('Capacity summary'!$D$14="Yes",IF(COUNTBLANK('Capacity summary'!$H128:$BG128)&lt;52,IF('Capacity summary'!P128&lt;&gt;"",IF(LOWER('Capacity summary'!P128)="x",$BI9*P9,VALUE('Capacity summary'!P128)),0),P9*$BI9),P9*$BI9),0)</f>
        <v>0</v>
      </c>
      <c r="BT9" s="312">
        <f>IF($BI9&lt;&gt;"",IF('Capacity summary'!$D$14="Yes",IF(COUNTBLANK('Capacity summary'!$H128:$BG128)&lt;52,IF('Capacity summary'!Q128&lt;&gt;"",IF(LOWER('Capacity summary'!Q128)="x",$BI9*Q9,VALUE('Capacity summary'!Q128)),0),Q9*$BI9),Q9*$BI9),0)</f>
        <v>0</v>
      </c>
      <c r="BU9" s="312">
        <f>IF($BI9&lt;&gt;"",IF('Capacity summary'!$D$14="Yes",IF(COUNTBLANK('Capacity summary'!$H128:$BG128)&lt;52,IF('Capacity summary'!R128&lt;&gt;"",IF(LOWER('Capacity summary'!R128)="x",$BI9*R9,VALUE('Capacity summary'!R128)),0),R9*$BI9),R9*$BI9),0)</f>
        <v>0</v>
      </c>
      <c r="BV9" s="312">
        <f>IF($BI9&lt;&gt;"",IF('Capacity summary'!$D$14="Yes",IF(COUNTBLANK('Capacity summary'!$H128:$BG128)&lt;52,IF('Capacity summary'!S128&lt;&gt;"",IF(LOWER('Capacity summary'!S128)="x",$BI9*S9,VALUE('Capacity summary'!S128)),0),S9*$BI9),S9*$BI9),0)</f>
        <v>0</v>
      </c>
      <c r="BW9" s="312">
        <f>IF($BI9&lt;&gt;"",IF('Capacity summary'!$D$14="Yes",IF(COUNTBLANK('Capacity summary'!$H128:$BG128)&lt;52,IF('Capacity summary'!T128&lt;&gt;"",IF(LOWER('Capacity summary'!T128)="x",$BI9*T9,VALUE('Capacity summary'!T128)),0),T9*$BI9),T9*$BI9),0)</f>
        <v>0</v>
      </c>
      <c r="BX9" s="312">
        <f>IF($BI9&lt;&gt;"",IF('Capacity summary'!$D$14="Yes",IF(COUNTBLANK('Capacity summary'!$H128:$BG128)&lt;52,IF('Capacity summary'!U128&lt;&gt;"",IF(LOWER('Capacity summary'!U128)="x",$BI9*U9,VALUE('Capacity summary'!U128)),0),U9*$BI9),U9*$BI9),0)</f>
        <v>0</v>
      </c>
      <c r="BY9" s="312">
        <f>IF($BI9&lt;&gt;"",IF('Capacity summary'!$D$14="Yes",IF(COUNTBLANK('Capacity summary'!$H128:$BG128)&lt;52,IF('Capacity summary'!V128&lt;&gt;"",IF(LOWER('Capacity summary'!V128)="x",$BI9*V9,VALUE('Capacity summary'!V128)),0),V9*$BI9),V9*$BI9),0)</f>
        <v>0</v>
      </c>
      <c r="BZ9" s="312">
        <f>IF($BI9&lt;&gt;"",IF('Capacity summary'!$D$14="Yes",IF(COUNTBLANK('Capacity summary'!$H128:$BG128)&lt;52,IF('Capacity summary'!W128&lt;&gt;"",IF(LOWER('Capacity summary'!W128)="x",$BI9*W9,VALUE('Capacity summary'!W128)),0),W9*$BI9),W9*$BI9),0)</f>
        <v>0</v>
      </c>
      <c r="CA9" s="312">
        <f>IF($BI9&lt;&gt;"",IF('Capacity summary'!$D$14="Yes",IF(COUNTBLANK('Capacity summary'!$H128:$BG128)&lt;52,IF('Capacity summary'!X128&lt;&gt;"",IF(LOWER('Capacity summary'!X128)="x",$BI9*X9,VALUE('Capacity summary'!X128)),0),X9*$BI9),X9*$BI9),0)</f>
        <v>0</v>
      </c>
      <c r="CB9" s="312">
        <f>IF($BI9&lt;&gt;"",IF('Capacity summary'!$D$14="Yes",IF(COUNTBLANK('Capacity summary'!$H128:$BG128)&lt;52,IF('Capacity summary'!Y128&lt;&gt;"",IF(LOWER('Capacity summary'!Y128)="x",$BI9*Y9,VALUE('Capacity summary'!Y128)),0),Y9*$BI9),Y9*$BI9),0)</f>
        <v>0</v>
      </c>
      <c r="CC9" s="312">
        <f>IF($BI9&lt;&gt;"",IF('Capacity summary'!$D$14="Yes",IF(COUNTBLANK('Capacity summary'!$H128:$BG128)&lt;52,IF('Capacity summary'!Z128&lt;&gt;"",IF(LOWER('Capacity summary'!Z128)="x",$BI9*Z9,VALUE('Capacity summary'!Z128)),0),Z9*$BI9),Z9*$BI9),0)</f>
        <v>0</v>
      </c>
      <c r="CD9" s="312">
        <f>IF($BI9&lt;&gt;"",IF('Capacity summary'!$D$14="Yes",IF(COUNTBLANK('Capacity summary'!$H128:$BG128)&lt;52,IF('Capacity summary'!AA128&lt;&gt;"",IF(LOWER('Capacity summary'!AA128)="x",$BI9*AA9,VALUE('Capacity summary'!AA128)),0),AA9*$BI9),AA9*$BI9),0)</f>
        <v>0</v>
      </c>
      <c r="CE9" s="312">
        <f>IF($BI9&lt;&gt;"",IF('Capacity summary'!$D$14="Yes",IF(COUNTBLANK('Capacity summary'!$H128:$BG128)&lt;52,IF('Capacity summary'!AB128&lt;&gt;"",IF(LOWER('Capacity summary'!AB128)="x",$BI9*AB9,VALUE('Capacity summary'!AB128)),0),AB9*$BI9),AB9*$BI9),0)</f>
        <v>0</v>
      </c>
      <c r="CF9" s="312">
        <f>IF($BI9&lt;&gt;"",IF('Capacity summary'!$D$14="Yes",IF(COUNTBLANK('Capacity summary'!$H128:$BG128)&lt;52,IF('Capacity summary'!AC128&lt;&gt;"",IF(LOWER('Capacity summary'!AC128)="x",$BI9*AC9,VALUE('Capacity summary'!AC128)),0),AC9*$BI9),AC9*$BI9),0)</f>
        <v>0</v>
      </c>
      <c r="CG9" s="312">
        <f>IF($BI9&lt;&gt;"",IF('Capacity summary'!$D$14="Yes",IF(COUNTBLANK('Capacity summary'!$H128:$BG128)&lt;52,IF('Capacity summary'!AD128&lt;&gt;"",IF(LOWER('Capacity summary'!AD128)="x",$BI9*AD9,VALUE('Capacity summary'!AD128)),0),AD9*$BI9),AD9*$BI9),0)</f>
        <v>0</v>
      </c>
      <c r="CH9" s="312">
        <f>IF($BI9&lt;&gt;"",IF('Capacity summary'!$D$14="Yes",IF(COUNTBLANK('Capacity summary'!$H128:$BG128)&lt;52,IF('Capacity summary'!AE128&lt;&gt;"",IF(LOWER('Capacity summary'!AE128)="x",$BI9*AE9,VALUE('Capacity summary'!AE128)),0),AE9*$BI9),AE9*$BI9),0)</f>
        <v>0</v>
      </c>
      <c r="CI9" s="312">
        <f>IF($BI9&lt;&gt;"",IF('Capacity summary'!$D$14="Yes",IF(COUNTBLANK('Capacity summary'!$H128:$BG128)&lt;52,IF('Capacity summary'!AF128&lt;&gt;"",IF(LOWER('Capacity summary'!AF128)="x",$BI9*AF9,VALUE('Capacity summary'!AF128)),0),AF9*$BI9),AF9*$BI9),0)</f>
        <v>0</v>
      </c>
      <c r="CJ9" s="312">
        <f>IF($BI9&lt;&gt;"",IF('Capacity summary'!$D$14="Yes",IF(COUNTBLANK('Capacity summary'!$H128:$BG128)&lt;52,IF('Capacity summary'!AG128&lt;&gt;"",IF(LOWER('Capacity summary'!AG128)="x",$BI9*AG9,VALUE('Capacity summary'!AG128)),0),AG9*$BI9),AG9*$BI9),0)</f>
        <v>0</v>
      </c>
      <c r="CK9" s="312">
        <f>IF($BI9&lt;&gt;"",IF('Capacity summary'!$D$14="Yes",IF(COUNTBLANK('Capacity summary'!$H128:$BG128)&lt;52,IF('Capacity summary'!AH128&lt;&gt;"",IF(LOWER('Capacity summary'!AH128)="x",$BI9*AH9,VALUE('Capacity summary'!AH128)),0),AH9*$BI9),AH9*$BI9),0)</f>
        <v>0</v>
      </c>
      <c r="CL9" s="312">
        <f>IF($BI9&lt;&gt;"",IF('Capacity summary'!$D$14="Yes",IF(COUNTBLANK('Capacity summary'!$H128:$BG128)&lt;52,IF('Capacity summary'!AI128&lt;&gt;"",IF(LOWER('Capacity summary'!AI128)="x",$BI9*AI9,VALUE('Capacity summary'!AI128)),0),AI9*$BI9),AI9*$BI9),0)</f>
        <v>0</v>
      </c>
      <c r="CM9" s="312">
        <f>IF($BI9&lt;&gt;"",IF('Capacity summary'!$D$14="Yes",IF(COUNTBLANK('Capacity summary'!$H128:$BG128)&lt;52,IF('Capacity summary'!AJ128&lt;&gt;"",IF(LOWER('Capacity summary'!AJ128)="x",$BI9*AJ9,VALUE('Capacity summary'!AJ128)),0),AJ9*$BI9),AJ9*$BI9),0)</f>
        <v>0</v>
      </c>
      <c r="CN9" s="312">
        <f>IF($BI9&lt;&gt;"",IF('Capacity summary'!$D$14="Yes",IF(COUNTBLANK('Capacity summary'!$H128:$BG128)&lt;52,IF('Capacity summary'!AK128&lt;&gt;"",IF(LOWER('Capacity summary'!AK128)="x",$BI9*AK9,VALUE('Capacity summary'!AK128)),0),AK9*$BI9),AK9*$BI9),0)</f>
        <v>0</v>
      </c>
      <c r="CO9" s="312">
        <f>IF($BI9&lt;&gt;"",IF('Capacity summary'!$D$14="Yes",IF(COUNTBLANK('Capacity summary'!$H128:$BG128)&lt;52,IF('Capacity summary'!AL128&lt;&gt;"",IF(LOWER('Capacity summary'!AL128)="x",$BI9*AL9,VALUE('Capacity summary'!AL128)),0),AL9*$BI9),AL9*$BI9),0)</f>
        <v>0</v>
      </c>
      <c r="CP9" s="312">
        <f>IF($BI9&lt;&gt;"",IF('Capacity summary'!$D$14="Yes",IF(COUNTBLANK('Capacity summary'!$H128:$BG128)&lt;52,IF('Capacity summary'!AM128&lt;&gt;"",IF(LOWER('Capacity summary'!AM128)="x",$BI9*AM9,VALUE('Capacity summary'!AM128)),0),AM9*$BI9),AM9*$BI9),0)</f>
        <v>0</v>
      </c>
      <c r="CQ9" s="312">
        <f>IF($BI9&lt;&gt;"",IF('Capacity summary'!$D$14="Yes",IF(COUNTBLANK('Capacity summary'!$H128:$BG128)&lt;52,IF('Capacity summary'!AN128&lt;&gt;"",IF(LOWER('Capacity summary'!AN128)="x",$BI9*AN9,VALUE('Capacity summary'!AN128)),0),AN9*$BI9),AN9*$BI9),0)</f>
        <v>0</v>
      </c>
      <c r="CR9" s="312">
        <f>IF($BI9&lt;&gt;"",IF('Capacity summary'!$D$14="Yes",IF(COUNTBLANK('Capacity summary'!$H128:$BG128)&lt;52,IF('Capacity summary'!AO128&lt;&gt;"",IF(LOWER('Capacity summary'!AO128)="x",$BI9*AO9,VALUE('Capacity summary'!AO128)),0),AO9*$BI9),AO9*$BI9),0)</f>
        <v>0</v>
      </c>
      <c r="CS9" s="312">
        <f>IF($BI9&lt;&gt;"",IF('Capacity summary'!$D$14="Yes",IF(COUNTBLANK('Capacity summary'!$H128:$BG128)&lt;52,IF('Capacity summary'!AP128&lt;&gt;"",IF(LOWER('Capacity summary'!AP128)="x",$BI9*AP9,VALUE('Capacity summary'!AP128)),0),AP9*$BI9),AP9*$BI9),0)</f>
        <v>0</v>
      </c>
      <c r="CT9" s="312">
        <f>IF($BI9&lt;&gt;"",IF('Capacity summary'!$D$14="Yes",IF(COUNTBLANK('Capacity summary'!$H128:$BG128)&lt;52,IF('Capacity summary'!AQ128&lt;&gt;"",IF(LOWER('Capacity summary'!AQ128)="x",$BI9*AQ9,VALUE('Capacity summary'!AQ128)),0),AQ9*$BI9),AQ9*$BI9),0)</f>
        <v>0</v>
      </c>
      <c r="CU9" s="312">
        <f>IF($BI9&lt;&gt;"",IF('Capacity summary'!$D$14="Yes",IF(COUNTBLANK('Capacity summary'!$H128:$BG128)&lt;52,IF('Capacity summary'!AR128&lt;&gt;"",IF(LOWER('Capacity summary'!AR128)="x",$BI9*AR9,VALUE('Capacity summary'!AR128)),0),AR9*$BI9),AR9*$BI9),0)</f>
        <v>0</v>
      </c>
      <c r="CV9" s="312">
        <f>IF($BI9&lt;&gt;"",IF('Capacity summary'!$D$14="Yes",IF(COUNTBLANK('Capacity summary'!$H128:$BG128)&lt;52,IF('Capacity summary'!AS128&lt;&gt;"",IF(LOWER('Capacity summary'!AS128)="x",$BI9*AS9,VALUE('Capacity summary'!AS128)),0),AS9*$BI9),AS9*$BI9),0)</f>
        <v>0</v>
      </c>
      <c r="CW9" s="312">
        <f>IF($BI9&lt;&gt;"",IF('Capacity summary'!$D$14="Yes",IF(COUNTBLANK('Capacity summary'!$H128:$BG128)&lt;52,IF('Capacity summary'!AT128&lt;&gt;"",IF(LOWER('Capacity summary'!AT128)="x",$BI9*AT9,VALUE('Capacity summary'!AT128)),0),AT9*$BI9),AT9*$BI9),0)</f>
        <v>0</v>
      </c>
      <c r="CX9" s="312">
        <f>IF($BI9&lt;&gt;"",IF('Capacity summary'!$D$14="Yes",IF(COUNTBLANK('Capacity summary'!$H128:$BG128)&lt;52,IF('Capacity summary'!AU128&lt;&gt;"",IF(LOWER('Capacity summary'!AU128)="x",$BI9*AU9,VALUE('Capacity summary'!AU128)),0),AU9*$BI9),AU9*$BI9),0)</f>
        <v>0</v>
      </c>
      <c r="CY9" s="312">
        <f>IF($BI9&lt;&gt;"",IF('Capacity summary'!$D$14="Yes",IF(COUNTBLANK('Capacity summary'!$H128:$BG128)&lt;52,IF('Capacity summary'!AV128&lt;&gt;"",IF(LOWER('Capacity summary'!AV128)="x",$BI9*AV9,VALUE('Capacity summary'!AV128)),0),AV9*$BI9),AV9*$BI9),0)</f>
        <v>0</v>
      </c>
      <c r="CZ9" s="312">
        <f>IF($BI9&lt;&gt;"",IF('Capacity summary'!$D$14="Yes",IF(COUNTBLANK('Capacity summary'!$H128:$BG128)&lt;52,IF('Capacity summary'!AW128&lt;&gt;"",IF(LOWER('Capacity summary'!AW128)="x",$BI9*AW9,VALUE('Capacity summary'!AW128)),0),AW9*$BI9),AW9*$BI9),0)</f>
        <v>0</v>
      </c>
      <c r="DA9" s="312">
        <f>IF($BI9&lt;&gt;"",IF('Capacity summary'!$D$14="Yes",IF(COUNTBLANK('Capacity summary'!$H128:$BG128)&lt;52,IF('Capacity summary'!AX128&lt;&gt;"",IF(LOWER('Capacity summary'!AX128)="x",$BI9*AX9,VALUE('Capacity summary'!AX128)),0),AX9*$BI9),AX9*$BI9),0)</f>
        <v>0</v>
      </c>
      <c r="DB9" s="312">
        <f>IF($BI9&lt;&gt;"",IF('Capacity summary'!$D$14="Yes",IF(COUNTBLANK('Capacity summary'!$H128:$BG128)&lt;52,IF('Capacity summary'!AY128&lt;&gt;"",IF(LOWER('Capacity summary'!AY128)="x",$BI9*AY9,VALUE('Capacity summary'!AY128)),0),AY9*$BI9),AY9*$BI9),0)</f>
        <v>0</v>
      </c>
      <c r="DC9" s="312">
        <f>IF($BI9&lt;&gt;"",IF('Capacity summary'!$D$14="Yes",IF(COUNTBLANK('Capacity summary'!$H128:$BG128)&lt;52,IF('Capacity summary'!AZ128&lt;&gt;"",IF(LOWER('Capacity summary'!AZ128)="x",$BI9*AZ9,VALUE('Capacity summary'!AZ128)),0),AZ9*$BI9),AZ9*$BI9),0)</f>
        <v>0</v>
      </c>
      <c r="DD9" s="312">
        <f>IF($BI9&lt;&gt;"",IF('Capacity summary'!$D$14="Yes",IF(COUNTBLANK('Capacity summary'!$H128:$BG128)&lt;52,IF('Capacity summary'!BA128&lt;&gt;"",IF(LOWER('Capacity summary'!BA128)="x",$BI9*BA9,VALUE('Capacity summary'!BA128)),0),BA9*$BI9),BA9*$BI9),0)</f>
        <v>0</v>
      </c>
      <c r="DE9" s="312">
        <f>IF($BI9&lt;&gt;"",IF('Capacity summary'!$D$14="Yes",IF(COUNTBLANK('Capacity summary'!$H128:$BG128)&lt;52,IF('Capacity summary'!BB128&lt;&gt;"",IF(LOWER('Capacity summary'!BB128)="x",$BI9*BB9,VALUE('Capacity summary'!BB128)),0),BB9*$BI9),BB9*$BI9),0)</f>
        <v>0</v>
      </c>
      <c r="DF9" s="312">
        <f>IF($BI9&lt;&gt;"",IF('Capacity summary'!$D$14="Yes",IF(COUNTBLANK('Capacity summary'!$H128:$BG128)&lt;52,IF('Capacity summary'!BC128&lt;&gt;"",IF(LOWER('Capacity summary'!BC128)="x",$BI9*BC9,VALUE('Capacity summary'!BC128)),0),BC9*$BI9),BC9*$BI9),0)</f>
        <v>0</v>
      </c>
      <c r="DG9" s="312">
        <f>IF($BI9&lt;&gt;"",IF('Capacity summary'!$D$14="Yes",IF(COUNTBLANK('Capacity summary'!$H128:$BG128)&lt;52,IF('Capacity summary'!BD128&lt;&gt;"",IF(LOWER('Capacity summary'!BD128)="x",$BI9*BD9,VALUE('Capacity summary'!BD128)),0),BD9*$BI9),BD9*$BI9),0)</f>
        <v>0</v>
      </c>
      <c r="DH9" s="312">
        <f>IF($BI9&lt;&gt;"",IF('Capacity summary'!$D$14="Yes",IF(COUNTBLANK('Capacity summary'!$H128:$BG128)&lt;52,IF('Capacity summary'!BE128&lt;&gt;"",IF(LOWER('Capacity summary'!BE128)="x",$BI9*BE9,VALUE('Capacity summary'!BE128)),0),BE9*$BI9),BE9*$BI9),0)</f>
        <v>0</v>
      </c>
      <c r="DI9" s="312">
        <f>IF($BI9&lt;&gt;"",IF('Capacity summary'!$D$14="Yes",IF(COUNTBLANK('Capacity summary'!$H128:$BG128)&lt;52,IF('Capacity summary'!BF128&lt;&gt;"",IF(LOWER('Capacity summary'!BF128)="x",$BI9*BF9,VALUE('Capacity summary'!BF128)),0),BF9*$BI9),BF9*$BI9),0)</f>
        <v>0</v>
      </c>
      <c r="DJ9" s="312">
        <f>IF($BI9&lt;&gt;"",IF('Capacity summary'!$D$14="Yes",IF(COUNTBLANK('Capacity summary'!$H128:$BG128)&lt;52,IF('Capacity summary'!BG128&lt;&gt;"",IF(LOWER('Capacity summary'!BG128)="x",$BI9*BG9,VALUE('Capacity summary'!BG128)),0),BG9*$BI9),BG9*$BI9),0)</f>
        <v>0</v>
      </c>
      <c r="DK9" s="136">
        <f t="shared" si="2"/>
        <v>0</v>
      </c>
      <c r="DL9" s="312"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19</v>
      </c>
      <c r="BL110" s="67">
        <f t="shared" ref="BL110:DJ110" ca="1" si="4">BL3</f>
        <v>20</v>
      </c>
      <c r="BM110" s="67">
        <f t="shared" ca="1" si="4"/>
        <v>21</v>
      </c>
      <c r="BN110" s="67">
        <f t="shared" ca="1" si="4"/>
        <v>22</v>
      </c>
      <c r="BO110" s="67">
        <f t="shared" ca="1" si="4"/>
        <v>23</v>
      </c>
      <c r="BP110" s="67">
        <f t="shared" ca="1" si="4"/>
        <v>24</v>
      </c>
      <c r="BQ110" s="67">
        <f t="shared" ca="1" si="4"/>
        <v>25</v>
      </c>
      <c r="BR110" s="67">
        <f t="shared" ca="1" si="4"/>
        <v>26</v>
      </c>
      <c r="BS110" s="67">
        <f t="shared" ca="1" si="4"/>
        <v>27</v>
      </c>
      <c r="BT110" s="67">
        <f t="shared" ca="1" si="4"/>
        <v>28</v>
      </c>
      <c r="BU110" s="67">
        <f t="shared" ca="1" si="4"/>
        <v>29</v>
      </c>
      <c r="BV110" s="67">
        <f t="shared" ca="1" si="4"/>
        <v>30</v>
      </c>
      <c r="BW110" s="67">
        <f t="shared" ca="1" si="4"/>
        <v>31</v>
      </c>
      <c r="BX110" s="67">
        <f t="shared" ca="1" si="4"/>
        <v>32</v>
      </c>
      <c r="BY110" s="67">
        <f t="shared" ca="1" si="4"/>
        <v>33</v>
      </c>
      <c r="BZ110" s="67">
        <f t="shared" ca="1" si="4"/>
        <v>34</v>
      </c>
      <c r="CA110" s="67">
        <f t="shared" ca="1" si="4"/>
        <v>35</v>
      </c>
      <c r="CB110" s="67">
        <f t="shared" ca="1" si="4"/>
        <v>36</v>
      </c>
      <c r="CC110" s="67">
        <f t="shared" ca="1" si="4"/>
        <v>37</v>
      </c>
      <c r="CD110" s="67">
        <f t="shared" ca="1" si="4"/>
        <v>38</v>
      </c>
      <c r="CE110" s="67">
        <f t="shared" ca="1" si="4"/>
        <v>39</v>
      </c>
      <c r="CF110" s="67">
        <f t="shared" ca="1" si="4"/>
        <v>40</v>
      </c>
      <c r="CG110" s="67">
        <f t="shared" ca="1" si="4"/>
        <v>41</v>
      </c>
      <c r="CH110" s="67">
        <f t="shared" ca="1" si="4"/>
        <v>42</v>
      </c>
      <c r="CI110" s="67">
        <f t="shared" ca="1" si="4"/>
        <v>43</v>
      </c>
      <c r="CJ110" s="67">
        <f t="shared" ca="1" si="4"/>
        <v>44</v>
      </c>
      <c r="CK110" s="67">
        <f t="shared" ca="1" si="4"/>
        <v>45</v>
      </c>
      <c r="CL110" s="67">
        <f t="shared" ca="1" si="4"/>
        <v>46</v>
      </c>
      <c r="CM110" s="67">
        <f t="shared" ca="1" si="4"/>
        <v>47</v>
      </c>
      <c r="CN110" s="67">
        <f t="shared" ca="1" si="4"/>
        <v>48</v>
      </c>
      <c r="CO110" s="67">
        <f t="shared" ca="1" si="4"/>
        <v>49</v>
      </c>
      <c r="CP110" s="67">
        <f t="shared" ca="1" si="4"/>
        <v>50</v>
      </c>
      <c r="CQ110" s="67">
        <f t="shared" ca="1" si="4"/>
        <v>51</v>
      </c>
      <c r="CR110" s="67">
        <f t="shared" ca="1" si="4"/>
        <v>52</v>
      </c>
      <c r="CS110" s="67">
        <f t="shared" ca="1" si="4"/>
        <v>53</v>
      </c>
      <c r="CT110" s="67">
        <f t="shared" ca="1" si="4"/>
        <v>1</v>
      </c>
      <c r="CU110" s="67">
        <f t="shared" ca="1" si="4"/>
        <v>2</v>
      </c>
      <c r="CV110" s="67">
        <f t="shared" ca="1" si="4"/>
        <v>3</v>
      </c>
      <c r="CW110" s="67">
        <f t="shared" ca="1" si="4"/>
        <v>4</v>
      </c>
      <c r="CX110" s="67">
        <f t="shared" ca="1" si="4"/>
        <v>5</v>
      </c>
      <c r="CY110" s="67">
        <f t="shared" ca="1" si="4"/>
        <v>6</v>
      </c>
      <c r="CZ110" s="67">
        <f t="shared" ca="1" si="4"/>
        <v>7</v>
      </c>
      <c r="DA110" s="67">
        <f t="shared" ca="1" si="4"/>
        <v>8</v>
      </c>
      <c r="DB110" s="67">
        <f t="shared" ca="1" si="4"/>
        <v>9</v>
      </c>
      <c r="DC110" s="67">
        <f t="shared" ca="1" si="4"/>
        <v>10</v>
      </c>
      <c r="DD110" s="67">
        <f t="shared" ca="1" si="4"/>
        <v>11</v>
      </c>
      <c r="DE110" s="67">
        <f t="shared" ca="1" si="4"/>
        <v>12</v>
      </c>
      <c r="DF110" s="67">
        <f t="shared" ca="1" si="4"/>
        <v>13</v>
      </c>
      <c r="DG110" s="67">
        <f t="shared" ca="1" si="4"/>
        <v>14</v>
      </c>
      <c r="DH110" s="67">
        <f t="shared" ca="1" si="4"/>
        <v>15</v>
      </c>
      <c r="DI110" s="67">
        <f t="shared" ca="1" si="4"/>
        <v>16</v>
      </c>
      <c r="DJ110" s="67">
        <f t="shared" ca="1" si="4"/>
        <v>17</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10</v>
      </c>
      <c r="BX111" s="5">
        <f t="shared" si="5"/>
        <v>10</v>
      </c>
      <c r="BY111" s="5">
        <f t="shared" si="5"/>
        <v>10</v>
      </c>
      <c r="BZ111" s="5">
        <f t="shared" si="5"/>
        <v>0</v>
      </c>
      <c r="CA111" s="5">
        <f t="shared" si="5"/>
        <v>10</v>
      </c>
      <c r="CB111" s="5">
        <f t="shared" si="5"/>
        <v>10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5</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10</v>
      </c>
      <c r="BX112" s="5">
        <f>IF($BI112&lt;&gt;"",IF('Capacity summary'!$C$14="Yes",IF(COUNTBLANK('Capacity summary'!$H24:$BG24)&lt;52,IF('Capacity summary'!U24&lt;&gt;"",IF(LOWER('Capacity summary'!U24)="x",$BI112*U112,VALUE('Capacity summary'!U24)),0),U112*$BI112),U112*$BI112),0)</f>
        <v>10</v>
      </c>
      <c r="BY112" s="5">
        <f>IF($BI112&lt;&gt;"",IF('Capacity summary'!$C$14="Yes",IF(COUNTBLANK('Capacity summary'!$H24:$BG24)&lt;52,IF('Capacity summary'!V24&lt;&gt;"",IF(LOWER('Capacity summary'!V24)="x",$BI112*V112,VALUE('Capacity summary'!V24)),0),V112*$BI112),V112*$BI112),0)</f>
        <v>10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10</v>
      </c>
      <c r="CB112" s="5">
        <f>IF($BI112&lt;&gt;"",IF('Capacity summary'!$C$14="Yes",IF(COUNTBLANK('Capacity summary'!$H24:$BG24)&lt;52,IF('Capacity summary'!Y24&lt;&gt;"",IF(LOWER('Capacity summary'!Y24)="x",$BI112*Y112,VALUE('Capacity summary'!Y24)),0),Y112*$BI112),Y112*$BI112),0)</f>
        <v>10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6" t="s">
        <v>1114</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E4" sqref="E4"/>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81" t="s">
        <v>87</v>
      </c>
      <c r="D2" s="383"/>
      <c r="F2" s="240" t="str">
        <f ca="1">"On aggregate, 1 patient = "&amp;TEXT('Demand background (hide)'!$BN$16,"#.#")&amp;" "&amp;Setup!$I$17</f>
        <v>On aggregate, 1 patient = 2. Points</v>
      </c>
    </row>
    <row r="3" spans="1:12" x14ac:dyDescent="0.25">
      <c r="A3" t="s">
        <v>328</v>
      </c>
      <c r="C3" s="406">
        <v>52</v>
      </c>
      <c r="D3" s="383"/>
      <c r="F3" s="358" t="s">
        <v>326</v>
      </c>
    </row>
    <row r="4" spans="1:12" x14ac:dyDescent="0.25">
      <c r="A4" t="s">
        <v>14</v>
      </c>
      <c r="C4" s="381" t="s">
        <v>19</v>
      </c>
      <c r="D4" s="383"/>
    </row>
    <row r="5" spans="1:12" x14ac:dyDescent="0.25">
      <c r="K5" s="72"/>
    </row>
    <row r="6" spans="1:12" ht="14.4" thickBot="1" x14ac:dyDescent="0.3">
      <c r="A6" s="102" t="s">
        <v>309</v>
      </c>
      <c r="B6" s="103"/>
      <c r="C6" s="103"/>
      <c r="D6" s="9"/>
      <c r="E6" s="423" t="s">
        <v>346</v>
      </c>
      <c r="F6" s="423"/>
      <c r="G6" s="63" t="s">
        <v>87</v>
      </c>
      <c r="H6" s="9" t="s">
        <v>88</v>
      </c>
      <c r="I6" s="9"/>
      <c r="K6" s="72"/>
    </row>
    <row r="7" spans="1:12" ht="15" thickBot="1" x14ac:dyDescent="0.35">
      <c r="A7" s="10"/>
      <c r="B7" s="11"/>
      <c r="C7" s="11"/>
      <c r="D7" s="9"/>
      <c r="E7" s="424" t="s">
        <v>214</v>
      </c>
      <c r="F7" s="416"/>
      <c r="G7" s="409">
        <v>0.05</v>
      </c>
      <c r="H7" s="419">
        <f ca="1">'Parameters calculator (hide)'!B25</f>
        <v>3542.2400000000002</v>
      </c>
      <c r="I7" s="9"/>
    </row>
    <row r="8" spans="1:12" ht="14.4" thickBot="1" x14ac:dyDescent="0.3">
      <c r="A8" s="11"/>
      <c r="B8" s="11"/>
      <c r="C8" s="11"/>
      <c r="D8" s="12"/>
      <c r="E8" s="13"/>
      <c r="F8" s="14"/>
      <c r="G8" s="410"/>
      <c r="H8" s="420"/>
      <c r="I8" s="9"/>
    </row>
    <row r="9" spans="1:12" ht="14.4" thickBot="1" x14ac:dyDescent="0.3">
      <c r="A9" s="85" t="s">
        <v>338</v>
      </c>
      <c r="B9" s="411" t="str">
        <f ca="1">TEXT('Parameters calculator (hide)'!B19,"#,#")</f>
        <v>70,845</v>
      </c>
      <c r="C9" s="11"/>
      <c r="D9" s="12"/>
      <c r="E9" s="9"/>
      <c r="F9" s="9"/>
      <c r="G9" s="9"/>
      <c r="H9" s="9"/>
      <c r="I9" s="9"/>
    </row>
    <row r="10" spans="1:12" ht="14.4" thickBot="1" x14ac:dyDescent="0.3">
      <c r="A10" s="242" t="str">
        <f>"("&amp;$C$4&amp;")"</f>
        <v>(Patients)</v>
      </c>
      <c r="B10" s="412"/>
      <c r="C10" s="15"/>
      <c r="D10" s="16"/>
      <c r="E10" s="413" t="s">
        <v>348</v>
      </c>
      <c r="F10" s="414"/>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15" t="s">
        <v>89</v>
      </c>
      <c r="F11" s="416"/>
      <c r="G11" s="417">
        <v>1.0999999999999999E-2</v>
      </c>
      <c r="H11" s="419">
        <f ca="1">'Parameters calculator (hide)'!C25</f>
        <v>740.32815999999991</v>
      </c>
      <c r="I11" s="9"/>
    </row>
    <row r="12" spans="1:12" ht="14.4" thickBot="1" x14ac:dyDescent="0.3">
      <c r="A12" s="91" t="str">
        <f ca="1">"normalised to "&amp;TEXT('Parameters calculator (hide)'!$B$18,"#")&amp;" wks"</f>
        <v>normalised to 52 wks</v>
      </c>
      <c r="B12" s="11"/>
      <c r="C12" s="17"/>
      <c r="D12" s="9"/>
      <c r="E12" s="18"/>
      <c r="F12" s="14"/>
      <c r="G12" s="418"/>
      <c r="H12" s="420"/>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21" t="s">
        <v>373</v>
      </c>
      <c r="D15" s="422"/>
      <c r="E15" s="20"/>
      <c r="F15" s="425" t="s">
        <v>399</v>
      </c>
      <c r="G15" s="425"/>
      <c r="H15" s="20"/>
      <c r="I15" s="64" t="s">
        <v>87</v>
      </c>
      <c r="J15" s="20" t="s">
        <v>88</v>
      </c>
      <c r="K15" s="20"/>
      <c r="L15" s="20"/>
    </row>
    <row r="16" spans="1:12" ht="14.4" thickBot="1" x14ac:dyDescent="0.3">
      <c r="B16" s="20"/>
      <c r="C16" s="428">
        <f ca="1">IF(B9-H7-H11+J16&lt;0, 0, B9-H7-H11+J16)</f>
        <v>70869.795679999996</v>
      </c>
      <c r="D16" s="429"/>
      <c r="E16" s="20"/>
      <c r="F16" s="20" t="s">
        <v>92</v>
      </c>
      <c r="G16" s="20"/>
      <c r="H16" s="20"/>
      <c r="I16" s="432">
        <f>'Parameters calculator (hide)'!$H$24</f>
        <v>0.8</v>
      </c>
      <c r="J16" s="434">
        <f ca="1">'Parameters calculator (hide)'!H25</f>
        <v>4307.36384</v>
      </c>
      <c r="K16" s="20"/>
      <c r="L16" s="20"/>
    </row>
    <row r="17" spans="1:13" ht="14.4" thickBot="1" x14ac:dyDescent="0.3">
      <c r="B17" s="20"/>
      <c r="C17" s="430"/>
      <c r="D17" s="431"/>
      <c r="E17" s="22"/>
      <c r="F17" s="23"/>
      <c r="G17" s="23"/>
      <c r="H17" s="23"/>
      <c r="I17" s="433"/>
      <c r="J17" s="435"/>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36" t="s">
        <v>347</v>
      </c>
      <c r="F20" s="436"/>
      <c r="G20" s="64" t="s">
        <v>87</v>
      </c>
      <c r="H20" s="25" t="s">
        <v>88</v>
      </c>
      <c r="I20" s="25"/>
      <c r="J20" s="25"/>
      <c r="K20" s="26"/>
      <c r="L20" s="20"/>
    </row>
    <row r="21" spans="1:13" ht="14.4" thickBot="1" x14ac:dyDescent="0.3">
      <c r="B21" s="20"/>
      <c r="C21" s="20"/>
      <c r="D21" s="28"/>
      <c r="E21" s="437" t="s">
        <v>93</v>
      </c>
      <c r="F21" s="438"/>
      <c r="G21" s="409">
        <v>0.08</v>
      </c>
      <c r="H21" s="419">
        <f ca="1">'Parameters calculator (hide)'!E25</f>
        <v>5384.2047999999995</v>
      </c>
      <c r="I21" s="29"/>
      <c r="J21" s="29"/>
      <c r="K21" s="21"/>
      <c r="L21" s="20"/>
    </row>
    <row r="22" spans="1:13" ht="14.4" thickBot="1" x14ac:dyDescent="0.3">
      <c r="B22" s="90"/>
      <c r="C22" s="26"/>
      <c r="D22" s="23"/>
      <c r="E22" s="23"/>
      <c r="F22" s="24"/>
      <c r="G22" s="410"/>
      <c r="H22" s="420"/>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05" t="s">
        <v>372</v>
      </c>
      <c r="B25" s="31"/>
      <c r="C25" s="32"/>
      <c r="D25" s="31"/>
      <c r="E25" s="31"/>
      <c r="F25" s="31"/>
      <c r="G25" s="31"/>
      <c r="H25" s="31"/>
      <c r="I25" s="32"/>
      <c r="J25" s="31"/>
      <c r="K25" s="31"/>
    </row>
    <row r="26" spans="1:13" ht="14.4" thickBot="1" x14ac:dyDescent="0.3">
      <c r="A26" s="405"/>
      <c r="B26" s="407">
        <f ca="1">'Parameters calculator (hide)'!B27</f>
        <v>65485.390879999999</v>
      </c>
      <c r="C26" s="33"/>
      <c r="D26" s="31"/>
      <c r="E26" s="31"/>
      <c r="F26" s="31"/>
      <c r="G26" s="92"/>
      <c r="H26" s="31"/>
      <c r="I26" s="32" t="s">
        <v>87</v>
      </c>
      <c r="J26" s="31" t="s">
        <v>88</v>
      </c>
      <c r="K26" s="31"/>
    </row>
    <row r="27" spans="1:13" ht="14.4" thickBot="1" x14ac:dyDescent="0.3">
      <c r="A27" s="243" t="str">
        <f>"("&amp;$C$4&amp;")"</f>
        <v>(Patients)</v>
      </c>
      <c r="B27" s="408"/>
      <c r="C27" s="31"/>
      <c r="D27" s="31"/>
      <c r="E27" s="31"/>
      <c r="F27" s="83" t="s">
        <v>400</v>
      </c>
      <c r="G27" s="92"/>
      <c r="H27" s="31"/>
      <c r="I27" s="409">
        <v>0.2</v>
      </c>
      <c r="J27" s="426">
        <f ca="1">'Parameters calculator (hide)'!F25</f>
        <v>1076.84096</v>
      </c>
      <c r="K27" s="31"/>
    </row>
    <row r="28" spans="1:13" ht="14.4" thickBot="1" x14ac:dyDescent="0.3">
      <c r="A28" s="83"/>
      <c r="B28" s="31"/>
      <c r="C28" s="31"/>
      <c r="D28" s="31"/>
      <c r="E28" s="31"/>
      <c r="F28" s="31" t="s">
        <v>95</v>
      </c>
      <c r="G28" s="31"/>
      <c r="H28" s="31"/>
      <c r="I28" s="410"/>
      <c r="J28" s="427"/>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t8zKF3xW3SjYzjuaSKPDvd9PC5V5AEc9UtZ1yhks//FcMzNhEqyDDHgZe5ODaa46T8GHOi3YwSZPeVEdyAdGmA==" saltValue="WA8M4VaprLZyE3Pv4tcdL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4"/>
      <c r="C9" s="214"/>
      <c r="E9" s="214"/>
      <c r="G9" s="214"/>
    </row>
    <row r="10" spans="1:7" hidden="1" x14ac:dyDescent="0.25">
      <c r="A10" s="86" t="str">
        <f>IF(Setup!C28&lt;&gt;"",Setup!C28,"Modality "&amp;ROW(A2))</f>
        <v>Modality 2</v>
      </c>
      <c r="B10" s="214"/>
      <c r="C10" s="214"/>
      <c r="E10" s="214"/>
      <c r="G10" s="214"/>
    </row>
    <row r="11" spans="1:7" hidden="1" x14ac:dyDescent="0.25">
      <c r="A11" s="86" t="str">
        <f>IF(Setup!C29&lt;&gt;"",Setup!C29,"Modality "&amp;ROW(A3))</f>
        <v>Modality 3</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Points</v>
      </c>
    </row>
    <row r="21" spans="1:7" s="67" customFormat="1" x14ac:dyDescent="0.25">
      <c r="A21" s="67" t="s">
        <v>395</v>
      </c>
      <c r="B21" s="95">
        <f ca="1">'Parameters calculator (hide)'!B19</f>
        <v>70844.800000000003</v>
      </c>
      <c r="C21" s="95">
        <f ca="1">'Parameters calculator (hide)'!B19*'Parameters calculator (hide)'!E18</f>
        <v>141689.60000000001</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Points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yrVhHlbMVEcZYTOrHGwFXfoA7F+n9HVPL7DGgSpZe4Lg1o3omRTzEW1AAc7pvr88K94vSsX9zCiMb7T++V5+Og==" saltValue="iYIGKxSGx4/uDW071ayXK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2</v>
      </c>
      <c r="G18" s="67" t="s">
        <v>394</v>
      </c>
      <c r="H18" s="51" t="s">
        <v>501</v>
      </c>
    </row>
    <row r="19" spans="1:13" x14ac:dyDescent="0.25">
      <c r="A19" t="s">
        <v>329</v>
      </c>
      <c r="B19">
        <f ca="1">'Demand background (hide)'!$BM$18*'Parameters calculator (hide)'!$B$18*IF(OR(Parameters!C4="Patients",B34=1),1/E18,1)</f>
        <v>70844.800000000003</v>
      </c>
    </row>
    <row r="20" spans="1:13" x14ac:dyDescent="0.25">
      <c r="B20" t="s">
        <v>75</v>
      </c>
      <c r="C20" t="s">
        <v>336</v>
      </c>
      <c r="E20" t="s">
        <v>99</v>
      </c>
      <c r="F20" t="s">
        <v>337</v>
      </c>
      <c r="H20" t="s">
        <v>101</v>
      </c>
    </row>
    <row r="21" spans="1:13" s="67" customFormat="1" x14ac:dyDescent="0.25">
      <c r="A21" s="67" t="s">
        <v>334</v>
      </c>
      <c r="B21" s="84">
        <f>Parameters!$G$7</f>
        <v>0.05</v>
      </c>
      <c r="C21" s="84">
        <f>Parameters!$G$11</f>
        <v>1.0999999999999999E-2</v>
      </c>
      <c r="D21" s="47"/>
      <c r="E21" s="84">
        <f>Parameters!$G$21</f>
        <v>0.08</v>
      </c>
      <c r="F21" s="84">
        <f>Parameters!$I$27</f>
        <v>0.2</v>
      </c>
      <c r="G21" s="47"/>
      <c r="H21" s="84">
        <f>1-F21</f>
        <v>0.8</v>
      </c>
      <c r="M21" s="67" t="s">
        <v>393</v>
      </c>
    </row>
    <row r="22" spans="1:13" s="67" customFormat="1" x14ac:dyDescent="0.25">
      <c r="A22" s="67" t="s">
        <v>335</v>
      </c>
      <c r="B22" s="5">
        <f ca="1">Parameters!$H$7</f>
        <v>3542.2400000000002</v>
      </c>
      <c r="C22" s="5">
        <f ca="1">Parameters!$H$11</f>
        <v>740.32815999999991</v>
      </c>
      <c r="E22" s="5">
        <f ca="1">Parameters!$H$21</f>
        <v>5384.2047999999995</v>
      </c>
      <c r="F22" s="5">
        <f ca="1">Parameters!$J$27</f>
        <v>1076.84096</v>
      </c>
      <c r="H22" s="5">
        <f ca="1">E22-F22</f>
        <v>4307.36384</v>
      </c>
    </row>
    <row r="23" spans="1:13" s="67" customFormat="1" x14ac:dyDescent="0.25"/>
    <row r="24" spans="1:13" x14ac:dyDescent="0.25">
      <c r="A24" s="67" t="s">
        <v>332</v>
      </c>
      <c r="B24" s="84">
        <f ca="1">IF($B$34=2,IFERROR(B22/B19,NA()),C16)</f>
        <v>0.05</v>
      </c>
      <c r="C24" s="84">
        <f ca="1">IF($B$34=2,IFERROR(C22/(B19-B22),NA()),E16)</f>
        <v>1.0999999999999999E-2</v>
      </c>
      <c r="D24" s="47"/>
      <c r="E24" s="84">
        <f ca="1">IF($B$34=2,IFERROR(E22/(B19-B22),NA()),G16)</f>
        <v>0.08</v>
      </c>
      <c r="F24" s="84">
        <f ca="1">IF($B$34=2,IF(E22=0,0,IFERROR(F22/E22,NA())),I16)</f>
        <v>0.2</v>
      </c>
      <c r="G24" s="47"/>
      <c r="H24" s="84">
        <f>IF(Parameters!$C$2="%",'Parameters calculator (hide)'!$H$21,1-F24)</f>
        <v>0.8</v>
      </c>
    </row>
    <row r="25" spans="1:13" x14ac:dyDescent="0.25">
      <c r="A25" t="s">
        <v>333</v>
      </c>
      <c r="B25" s="5">
        <f ca="1">IFERROR(B19*B21,NA())</f>
        <v>3542.2400000000002</v>
      </c>
      <c r="C25" s="5">
        <f ca="1">IFERROR((B19*(1-B21)*C21),NA())</f>
        <v>740.32815999999991</v>
      </c>
      <c r="D25" s="67"/>
      <c r="E25" s="5">
        <f ca="1">IFERROR(B19*(1-B21)*E21,NA())</f>
        <v>5384.2047999999995</v>
      </c>
      <c r="F25" s="5">
        <f ca="1">IFERROR(E25*F21,NA())</f>
        <v>1076.84096</v>
      </c>
      <c r="G25" s="67"/>
      <c r="H25" s="5">
        <f ca="1">E25-F25</f>
        <v>4307.36384</v>
      </c>
    </row>
    <row r="27" spans="1:13" x14ac:dyDescent="0.25">
      <c r="A27" t="s">
        <v>340</v>
      </c>
      <c r="B27">
        <f ca="1">IF(Parameters!$C$2="Volume",B19-B22-C22+H22-E22,B19-B25-C25+H25-E25)</f>
        <v>65485.390879999999</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0.05</v>
      </c>
      <c r="C43" s="146">
        <f ca="1">(1-B43)</f>
        <v>0.95</v>
      </c>
      <c r="E43" s="148"/>
      <c r="G43" s="146"/>
    </row>
    <row r="44" spans="1:13" x14ac:dyDescent="0.25">
      <c r="A44" t="s">
        <v>336</v>
      </c>
      <c r="B44" s="100">
        <f ca="1">IF(B34=1,E16,C24)</f>
        <v>1.0999999999999999E-2</v>
      </c>
      <c r="C44" s="146">
        <f ca="1">B44</f>
        <v>1.0999999999999999E-2</v>
      </c>
      <c r="E44" s="146" t="s">
        <v>508</v>
      </c>
      <c r="G44" s="146"/>
      <c r="H44" s="67"/>
    </row>
    <row r="45" spans="1:13" x14ac:dyDescent="0.25">
      <c r="A45" t="s">
        <v>99</v>
      </c>
      <c r="B45" s="100">
        <f ca="1">IF(B34=1,G16,E24)</f>
        <v>0.08</v>
      </c>
      <c r="C45" s="146"/>
      <c r="E45" s="146" t="str">
        <f>IF(E42&gt;0,E42/(1-C44-(B45*B46))/C43,"")</f>
        <v/>
      </c>
      <c r="G45" s="146"/>
      <c r="H45" s="67"/>
    </row>
    <row r="46" spans="1:13" x14ac:dyDescent="0.25">
      <c r="A46" t="s">
        <v>337</v>
      </c>
      <c r="B46" s="100">
        <f ca="1">IF(B34=1,I16,F24)</f>
        <v>0.2</v>
      </c>
      <c r="C46" s="146">
        <f ca="1">B46*B45</f>
        <v>1.6E-2</v>
      </c>
      <c r="E46" s="146"/>
      <c r="G46" s="146"/>
      <c r="H46" s="67"/>
    </row>
    <row r="47" spans="1:13" x14ac:dyDescent="0.25">
      <c r="A47" t="s">
        <v>406</v>
      </c>
      <c r="B47" s="100">
        <f ca="1">IF(B34=1,1-I16,1-F24)</f>
        <v>0.8</v>
      </c>
      <c r="C47" s="146">
        <f ca="1">B47*B45</f>
        <v>6.4000000000000001E-2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0</v>
      </c>
      <c r="C55" s="67">
        <f>Pathway!C8/IF(Pathway!$E8="Weeks",1,7)</f>
        <v>0</v>
      </c>
      <c r="D55" s="67">
        <f>Pathway!D8/IF(Pathway!$E8="Weeks",1,7)</f>
        <v>0</v>
      </c>
      <c r="E55" s="67">
        <f ca="1">IF(AND(Pathway!$H$5="Override",Pathway!$I$6=""),Pathway!H8,Pathway!G8)</f>
        <v>0</v>
      </c>
      <c r="F55" s="5">
        <f ca="1">('Demand background (hide)'!$BM$18*E55*(B55+((C55-B55)/2)))</f>
        <v>0</v>
      </c>
      <c r="G55" s="67">
        <f ca="1">$C$47*E55*D55*'Demand background (hide)'!$BM$18</f>
        <v>0</v>
      </c>
      <c r="L55" s="67">
        <f t="shared" ref="L55:L57" si="0">B55</f>
        <v>0</v>
      </c>
      <c r="M55" s="67">
        <f t="shared" ref="M55:M57" si="1">C55-B55</f>
        <v>0</v>
      </c>
      <c r="N55" s="67">
        <f>D55</f>
        <v>0</v>
      </c>
    </row>
    <row r="56" spans="1:14" s="67" customFormat="1" x14ac:dyDescent="0.25">
      <c r="A56" s="67" t="str">
        <f>Setup!B23</f>
        <v>Urgent</v>
      </c>
      <c r="B56" s="67">
        <f>Pathway!B7/IF(Pathway!$E7="Weeks",1,7)</f>
        <v>0</v>
      </c>
      <c r="C56" s="67">
        <f>Pathway!C7/IF(Pathway!$E7="Weeks",1,7)</f>
        <v>0</v>
      </c>
      <c r="D56" s="67">
        <f>Pathway!D7/IF(Pathway!$E7="Weeks",1,7)</f>
        <v>0</v>
      </c>
      <c r="E56" s="67">
        <f ca="1">IF(AND(Pathway!$H$5="Override",Pathway!$I$6=""),Pathway!H7,Pathway!G7)</f>
        <v>0</v>
      </c>
      <c r="F56" s="5">
        <f ca="1">('Demand background (hide)'!$BM$18*E56*(B56+((C56-B56)/2)))</f>
        <v>0</v>
      </c>
      <c r="G56" s="67">
        <f ca="1">$C$47*E56*D56* 'Demand background (hide)'!$BM$18</f>
        <v>0</v>
      </c>
      <c r="L56" s="67">
        <f t="shared" si="0"/>
        <v>0</v>
      </c>
      <c r="M56" s="67">
        <f t="shared" si="1"/>
        <v>0</v>
      </c>
      <c r="N56" s="67">
        <f t="shared" ref="N56:N57" si="2">D56</f>
        <v>0</v>
      </c>
    </row>
    <row r="57" spans="1:14" x14ac:dyDescent="0.25">
      <c r="A57" t="str">
        <f>Setup!B22</f>
        <v>2WW</v>
      </c>
      <c r="B57">
        <f>Pathway!B6/IF(Pathway!$E6="Weeks",1,7)</f>
        <v>0</v>
      </c>
      <c r="C57" s="67">
        <f>Pathway!C6/IF(Pathway!$E6="Weeks",1,7)</f>
        <v>2</v>
      </c>
      <c r="D57" s="67">
        <f>Pathway!D6/IF(Pathway!$E6="Weeks",1,7)</f>
        <v>0</v>
      </c>
      <c r="E57" s="67">
        <f ca="1">IF(AND(Pathway!$H$5="Override",Pathway!$I$6=""),Pathway!H6,Pathway!G6)</f>
        <v>1</v>
      </c>
      <c r="F57" s="5">
        <f ca="1">('Demand background (hide)'!$BM$18*E57*(B57+((C57-B57)/2)))</f>
        <v>2724.8</v>
      </c>
      <c r="G57" s="67">
        <f ca="1">$C$47*E57*D57*'Demand background (hide)'!$BM$18</f>
        <v>0</v>
      </c>
      <c r="L57" s="67">
        <f t="shared" si="0"/>
        <v>0</v>
      </c>
      <c r="M57" s="67">
        <f t="shared" si="1"/>
        <v>2</v>
      </c>
      <c r="N57" s="67">
        <f t="shared" si="2"/>
        <v>0</v>
      </c>
    </row>
    <row r="61" spans="1:14" x14ac:dyDescent="0.25">
      <c r="F61" s="5"/>
      <c r="H61" t="s">
        <v>165</v>
      </c>
      <c r="I61" t="s">
        <v>166</v>
      </c>
    </row>
    <row r="62" spans="1:14" x14ac:dyDescent="0.25">
      <c r="A62" t="s">
        <v>415</v>
      </c>
      <c r="F62" s="5">
        <f ca="1">SUM(F55:G57)</f>
        <v>2724.8</v>
      </c>
      <c r="H62" s="5">
        <f ca="1">F62*0.95</f>
        <v>2588.56</v>
      </c>
      <c r="I62" s="5">
        <f ca="1">F62*1.05</f>
        <v>2861.0400000000004</v>
      </c>
    </row>
    <row r="63" spans="1:14" x14ac:dyDescent="0.25">
      <c r="A63" t="s">
        <v>416</v>
      </c>
      <c r="F63" s="5">
        <f ca="1">F62/E18</f>
        <v>1362.4</v>
      </c>
      <c r="H63" s="5">
        <f ca="1">F63*0.95</f>
        <v>1294.28</v>
      </c>
      <c r="I63" s="5">
        <f ca="1">F63*1.05</f>
        <v>1430.5200000000002</v>
      </c>
    </row>
    <row r="65" spans="1:10" x14ac:dyDescent="0.25">
      <c r="G65" t="str">
        <f>"Waiting list position ("&amp;LOWER(Summary!$C$8)&amp;")"</f>
        <v>Waiting list position (points)</v>
      </c>
    </row>
    <row r="66" spans="1:10" x14ac:dyDescent="0.25">
      <c r="A66" t="s">
        <v>417</v>
      </c>
      <c r="G66" t="s">
        <v>430</v>
      </c>
      <c r="H66" s="5">
        <f ca="1">IF(Summary!$C$8&lt;&gt;"Patients",H62,H63)</f>
        <v>2588.56</v>
      </c>
      <c r="I66" s="5">
        <f ca="1">IF(Summary!$C$8&lt;&gt;"Patients",I62,I63)</f>
        <v>2861.0400000000004</v>
      </c>
      <c r="J66" s="5">
        <f ca="1">I66-H66</f>
        <v>272.48000000000047</v>
      </c>
    </row>
    <row r="67" spans="1:10" x14ac:dyDescent="0.25">
      <c r="B67" t="s">
        <v>429</v>
      </c>
      <c r="C67" t="s">
        <v>313</v>
      </c>
      <c r="G67" t="s">
        <v>431</v>
      </c>
      <c r="H67" s="5">
        <f ca="1">IF(Summary!$C$8&lt;&gt;"Patients",C79,B79)</f>
        <v>152</v>
      </c>
    </row>
    <row r="68" spans="1:10" x14ac:dyDescent="0.25">
      <c r="A68" t="str">
        <f>Setup!C27</f>
        <v>Modality 1</v>
      </c>
      <c r="B68" s="5">
        <f>IF(ROW(A1)&lt;=Num_Modalities,Setup!G27,0)</f>
        <v>76</v>
      </c>
      <c r="C68" s="5">
        <f ca="1">Setup!G27*'Demand background (hide)'!BN6</f>
        <v>152</v>
      </c>
      <c r="D68" s="67"/>
      <c r="I68" s="5"/>
    </row>
    <row r="69" spans="1:10" x14ac:dyDescent="0.25">
      <c r="A69" s="67" t="str">
        <f>Setup!C28</f>
        <v>Modality 2</v>
      </c>
      <c r="B69" s="5">
        <f>IF(ROW(A2)&lt;=Num_Modalities,Setup!G28,0)</f>
        <v>0</v>
      </c>
      <c r="C69" s="5">
        <f ca="1">Setup!G28*'Demand background (hide)'!BN7</f>
        <v>0</v>
      </c>
      <c r="D69" s="67"/>
      <c r="G69" t="s">
        <v>307</v>
      </c>
      <c r="H69">
        <f ca="1">IF(AND(H66&gt;H67,I66&gt;H67),0,IF(H66&lt;I66,"0",TEXT(MAX(0,H67-I66),"#,#"))&amp;" - "&amp;TEXT(H67-H66,"#,#"))</f>
        <v>0</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f ca="1">H67-H66</f>
        <v>-2436.56</v>
      </c>
      <c r="I71" s="5">
        <f ca="1">H67-I66</f>
        <v>-2709.0400000000004</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76</v>
      </c>
      <c r="C79" s="5">
        <f ca="1">SUM(OFFSET($C$68,0,0,Num_Modalities,1))</f>
        <v>152</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16" sqref="I1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v>0</v>
      </c>
      <c r="C6" s="154">
        <v>14</v>
      </c>
      <c r="D6" s="277"/>
      <c r="E6" s="160" t="s">
        <v>401</v>
      </c>
      <c r="G6" s="227">
        <f ca="1">IFERROR('Demand background (hide)'!BJ20,"")</f>
        <v>1</v>
      </c>
      <c r="H6" s="229"/>
      <c r="I6" s="228" t="str">
        <f>IF(AND(H5="Override",SUM(H6:H8)&lt;&gt;1),"Total values must equal 100%, defaulting to calculated value","")</f>
        <v/>
      </c>
      <c r="J6" s="67"/>
    </row>
    <row r="7" spans="1:13" x14ac:dyDescent="0.25">
      <c r="A7" s="233" t="str">
        <f>Setup!B23</f>
        <v>Urgent</v>
      </c>
      <c r="B7" s="154">
        <v>0</v>
      </c>
      <c r="C7" s="154"/>
      <c r="D7" s="277"/>
      <c r="E7" s="160" t="s">
        <v>402</v>
      </c>
      <c r="G7" s="227">
        <f ca="1">IFERROR('Demand background (hide)'!BK20,"")</f>
        <v>0</v>
      </c>
      <c r="H7" s="230"/>
      <c r="J7" s="67"/>
    </row>
    <row r="8" spans="1:13" x14ac:dyDescent="0.25">
      <c r="A8" s="234" t="str">
        <f>Setup!B24</f>
        <v>Routine</v>
      </c>
      <c r="B8" s="154">
        <v>0</v>
      </c>
      <c r="C8" s="154"/>
      <c r="D8" s="277"/>
      <c r="E8" s="160" t="s">
        <v>402</v>
      </c>
      <c r="G8" s="227">
        <f ca="1">IFERROR('Demand background (hide)'!BL20,"")</f>
        <v>0</v>
      </c>
      <c r="H8" s="230"/>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39" t="s">
        <v>884</v>
      </c>
      <c r="C4" s="439"/>
      <c r="D4" s="439"/>
      <c r="E4" s="439"/>
    </row>
    <row r="6" spans="2:21" x14ac:dyDescent="0.25">
      <c r="B6" s="2" t="s">
        <v>304</v>
      </c>
    </row>
    <row r="7" spans="2:21" x14ac:dyDescent="0.25">
      <c r="B7" t="s">
        <v>489</v>
      </c>
      <c r="C7" s="153" t="s">
        <v>421</v>
      </c>
    </row>
    <row r="8" spans="2:21" x14ac:dyDescent="0.25">
      <c r="B8" t="s">
        <v>490</v>
      </c>
      <c r="C8" s="153" t="s">
        <v>23</v>
      </c>
    </row>
    <row r="12" spans="2:21" x14ac:dyDescent="0.25">
      <c r="B12" s="327" t="s">
        <v>426</v>
      </c>
      <c r="C12" s="67"/>
    </row>
    <row r="13" spans="2:21" x14ac:dyDescent="0.25">
      <c r="B13" s="338">
        <f>Capacity!C3</f>
        <v>43955</v>
      </c>
    </row>
    <row r="17" spans="2:16" s="82" customFormat="1" x14ac:dyDescent="0.25">
      <c r="B17" s="331" t="s">
        <v>946</v>
      </c>
    </row>
    <row r="18" spans="2:16" x14ac:dyDescent="0.25">
      <c r="B18" s="332" t="s">
        <v>22</v>
      </c>
    </row>
    <row r="23" spans="2:16" x14ac:dyDescent="0.25">
      <c r="B23" s="2" t="s">
        <v>493</v>
      </c>
    </row>
    <row r="24" spans="2:16" x14ac:dyDescent="0.25">
      <c r="B24" s="161" t="s">
        <v>20</v>
      </c>
      <c r="D24" s="446" t="str">
        <f ca="1">"On aggregate, 1 patient = "&amp;TEXT('Demand background (hide)'!$BN$16,"#.#")&amp;" "&amp;Setup!$I$17</f>
        <v>On aggregate, 1 patient = 2. Points</v>
      </c>
      <c r="E24" s="446"/>
      <c r="F24" s="446"/>
      <c r="G24" s="446"/>
      <c r="H24" s="446"/>
      <c r="I24" s="446"/>
      <c r="J24" s="446"/>
      <c r="K24" s="446"/>
      <c r="P24" s="170" t="s">
        <v>500</v>
      </c>
    </row>
    <row r="26" spans="2:16" s="67" customFormat="1" x14ac:dyDescent="0.25"/>
    <row r="27" spans="2:16" s="67" customFormat="1" x14ac:dyDescent="0.25">
      <c r="B27" s="440" t="s">
        <v>302</v>
      </c>
      <c r="C27" s="440"/>
      <c r="D27" s="280" t="s">
        <v>497</v>
      </c>
      <c r="E27" s="280" t="s">
        <v>128</v>
      </c>
    </row>
    <row r="28" spans="2:16" s="67" customFormat="1" x14ac:dyDescent="0.25">
      <c r="B28" s="441" t="s">
        <v>1239</v>
      </c>
      <c r="C28" s="441"/>
      <c r="D28" s="275">
        <f ca="1">IFERROR('Summary Calculations (hide)'!N70,"")</f>
        <v>4269.8005110849044</v>
      </c>
      <c r="E28" s="2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1129 points to meet the 85th percentile of demand. It may be advisable to review your capacity if you have an urgent, or very variable service.</v>
      </c>
    </row>
    <row r="29" spans="2:16" s="67" customFormat="1" x14ac:dyDescent="0.25">
      <c r="B29" s="441" t="s">
        <v>1240</v>
      </c>
      <c r="C29" s="441"/>
      <c r="D29" s="275">
        <f ca="1">IFERROR('Summary Calculations (hide)'!M70,"")</f>
        <v>2560.1646120283035</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42" t="s">
        <v>503</v>
      </c>
      <c r="C30" s="443"/>
      <c r="D30" s="359">
        <f ca="1">IFERROR('Summary Calculations (hide)'!X70,"")</f>
        <v>2725.7536799999975</v>
      </c>
      <c r="E30" s="359">
        <f ca="1">IFERROR('Summary Calculations (hide)'!X71,"")</f>
        <v>144464.94503999988</v>
      </c>
    </row>
    <row r="31" spans="2:16" s="67" customFormat="1" x14ac:dyDescent="0.25">
      <c r="B31" s="144" t="s">
        <v>303</v>
      </c>
      <c r="C31" s="142"/>
    </row>
    <row r="32" spans="2:16" s="67" customFormat="1" x14ac:dyDescent="0.25">
      <c r="B32" s="444" t="s">
        <v>495</v>
      </c>
      <c r="C32" s="445"/>
      <c r="D32" s="275">
        <f ca="1">IFERROR('Summary Calculations (hide)'!R70,"")</f>
        <v>3140.5079825834514</v>
      </c>
      <c r="E32" s="275">
        <f ca="1">IFERROR('Summary Calculations (hide)'!R71,"")</f>
        <v>166446.92307692292</v>
      </c>
      <c r="H32" s="5"/>
    </row>
    <row r="33" spans="2:21" s="67" customFormat="1" x14ac:dyDescent="0.25">
      <c r="B33" s="444" t="s">
        <v>496</v>
      </c>
      <c r="C33" s="445"/>
      <c r="D33" s="275">
        <f ca="1">IFERROR('Summary Calculations (hide)'!S70,"")</f>
        <v>0.94339622641509435</v>
      </c>
      <c r="E33" s="275">
        <f ca="1">IFERROR('Summary Calculations (hide)'!S71,"")</f>
        <v>50</v>
      </c>
    </row>
    <row r="34" spans="2:21" s="67" customFormat="1" x14ac:dyDescent="0.25">
      <c r="B34" s="144" t="s">
        <v>929</v>
      </c>
    </row>
    <row r="35" spans="2:21" s="67" customFormat="1" x14ac:dyDescent="0.25">
      <c r="B35" s="444" t="s">
        <v>928</v>
      </c>
      <c r="C35" s="445"/>
      <c r="D35" s="275">
        <f>IFERROR('Summary Calculations (hide)'!V70,"")</f>
        <v>0</v>
      </c>
      <c r="E35" s="275">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39" t="str">
        <f>"Current waiting list vs Estimated sustainable waiting list ("&amp;C8&amp;")"</f>
        <v>Current waiting list vs Estimated sustainable waiting list (Points)</v>
      </c>
      <c r="C38" s="439"/>
      <c r="D38" s="439"/>
      <c r="E38" s="439"/>
      <c r="F38" s="439"/>
      <c r="G38" s="439"/>
      <c r="H38" s="439"/>
    </row>
    <row r="40" spans="2:21" x14ac:dyDescent="0.25">
      <c r="B40" s="450" t="s">
        <v>489</v>
      </c>
      <c r="C40" s="450"/>
      <c r="D40" s="388" t="s">
        <v>249</v>
      </c>
      <c r="E40" s="389"/>
    </row>
    <row r="41" spans="2:21" x14ac:dyDescent="0.25">
      <c r="B41" s="354" t="str">
        <f>IF(AND(LEFT(Demand!C8,1)="H",'Demand adjustments for Covid'!F9="No"),"","WL predictions are disabled when forecast demand or Covid adjustments are enabled.")</f>
        <v>WL predictions are disabled when forecast demand or Covid adjustments are enabled.</v>
      </c>
    </row>
    <row r="42" spans="2:21" x14ac:dyDescent="0.25">
      <c r="B42" s="449" t="s">
        <v>1140</v>
      </c>
      <c r="C42" s="449"/>
      <c r="D42" s="333">
        <v>0</v>
      </c>
    </row>
    <row r="43" spans="2:21" x14ac:dyDescent="0.25">
      <c r="B43" s="449" t="s">
        <v>1141</v>
      </c>
      <c r="C43" s="449"/>
      <c r="D43" s="333">
        <v>0</v>
      </c>
    </row>
    <row r="49" spans="2:4" x14ac:dyDescent="0.25">
      <c r="B49" s="137" t="s">
        <v>305</v>
      </c>
      <c r="C49" s="447">
        <f ca="1">'Parameters calculator (hide)'!H67</f>
        <v>152</v>
      </c>
      <c r="D49" s="447"/>
    </row>
    <row r="50" spans="2:4" x14ac:dyDescent="0.25">
      <c r="B50" s="138" t="s">
        <v>306</v>
      </c>
      <c r="C50" s="448" t="str">
        <f ca="1">IFERROR(TEXT('Parameters calculator (hide)'!H66,"#,#")&amp;" - "&amp;TEXT('Parameters calculator (hide)'!I66,"#,#"),"")</f>
        <v>2,589 - 2,861</v>
      </c>
      <c r="D50" s="448"/>
    </row>
    <row r="53" spans="2:4" x14ac:dyDescent="0.25">
      <c r="B53" s="20" t="s">
        <v>307</v>
      </c>
      <c r="C53" s="448">
        <f ca="1">IFERROR('Parameters calculator (hide)'!H69,"")</f>
        <v>0</v>
      </c>
      <c r="D53" s="448"/>
    </row>
    <row r="55" spans="2:4" x14ac:dyDescent="0.25">
      <c r="B55" t="s">
        <v>930</v>
      </c>
    </row>
    <row r="57" spans="2:4" x14ac:dyDescent="0.25">
      <c r="B57" t="s">
        <v>931</v>
      </c>
    </row>
    <row r="58" spans="2:4" x14ac:dyDescent="0.25">
      <c r="B58" s="283"/>
      <c r="C58" t="s">
        <v>402</v>
      </c>
    </row>
    <row r="60" spans="2:4" x14ac:dyDescent="0.25">
      <c r="B60" t="s">
        <v>932</v>
      </c>
    </row>
    <row r="61" spans="2:4" x14ac:dyDescent="0.25">
      <c r="B61" s="281" t="str">
        <f ca="1">IF(OR(C53=0,B58=0,C53=""),"--",TEXT('Parameters calculator (hide)'!I71/B58,"#")&amp;" - "&amp;TEXT('Parameters calculator (hide)'!H71/B58,"#"))</f>
        <v>--</v>
      </c>
      <c r="C61" t="str">
        <f>LOWER(C8)&amp;" per week to clear in the time specified"</f>
        <v>points per week to clear in the time specified</v>
      </c>
    </row>
  </sheetData>
  <sheetProtection algorithmName="SHA-512" hashValue="BFRs5elp+jspBAvRfsnkaAYBS6sXXEPxv8Ct8pR1RVP0QE1LyKqoZkGbYzslDFAFKoN6o9OFt43sPycaHRq8OA==" saltValue="sMC+sIH8ftypgWBETaeMyQ=="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27" workbookViewId="0">
      <selection activeCell="B27" sqref="B27"/>
    </sheetView>
  </sheetViews>
  <sheetFormatPr defaultRowHeight="13.8" x14ac:dyDescent="0.25"/>
  <cols>
    <col min="1" max="1" width="32.8984375" customWidth="1"/>
  </cols>
  <sheetData>
    <row r="28" spans="1:12" x14ac:dyDescent="0.25">
      <c r="A28" t="s">
        <v>885</v>
      </c>
      <c r="J28" t="s">
        <v>939</v>
      </c>
    </row>
    <row r="30" spans="1:12" x14ac:dyDescent="0.25">
      <c r="A30" t="s">
        <v>392</v>
      </c>
      <c r="B30" t="s">
        <v>886</v>
      </c>
      <c r="J30" t="s">
        <v>940</v>
      </c>
      <c r="K30" t="s">
        <v>392</v>
      </c>
      <c r="L30" t="s">
        <v>886</v>
      </c>
    </row>
    <row r="31" spans="1:12" x14ac:dyDescent="0.25">
      <c r="A31" t="s">
        <v>11</v>
      </c>
      <c r="B31" t="s">
        <v>925</v>
      </c>
      <c r="J31" t="s">
        <v>941</v>
      </c>
      <c r="K31" t="s">
        <v>97</v>
      </c>
      <c r="L31" t="s">
        <v>935</v>
      </c>
    </row>
    <row r="32" spans="1:12" x14ac:dyDescent="0.25">
      <c r="A32" t="s">
        <v>51</v>
      </c>
      <c r="B32" t="s">
        <v>887</v>
      </c>
      <c r="J32" t="s">
        <v>943</v>
      </c>
      <c r="K32" t="s">
        <v>389</v>
      </c>
      <c r="L32" t="s">
        <v>936</v>
      </c>
    </row>
    <row r="33" spans="1:12" x14ac:dyDescent="0.25">
      <c r="A33" s="67" t="s">
        <v>51</v>
      </c>
      <c r="B33" t="s">
        <v>888</v>
      </c>
      <c r="J33" t="s">
        <v>942</v>
      </c>
      <c r="K33" t="s">
        <v>391</v>
      </c>
      <c r="L33" t="s">
        <v>937</v>
      </c>
    </row>
    <row r="34" spans="1:12" x14ac:dyDescent="0.25">
      <c r="A34" s="67" t="s">
        <v>51</v>
      </c>
      <c r="B34" t="s">
        <v>889</v>
      </c>
      <c r="J34" t="s">
        <v>944</v>
      </c>
      <c r="K34" t="s">
        <v>391</v>
      </c>
      <c r="L34" t="s">
        <v>938</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1174</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1244</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s="67" t="s">
        <v>249</v>
      </c>
      <c r="B65" t="s">
        <v>919</v>
      </c>
    </row>
    <row r="66" spans="1:8" x14ac:dyDescent="0.25">
      <c r="A66" t="s">
        <v>510</v>
      </c>
      <c r="B66" t="s">
        <v>923</v>
      </c>
    </row>
    <row r="67" spans="1:8" x14ac:dyDescent="0.25">
      <c r="A67" t="s">
        <v>510</v>
      </c>
      <c r="B67" t="s">
        <v>924</v>
      </c>
    </row>
    <row r="68" spans="1:8" x14ac:dyDescent="0.25">
      <c r="A68" t="s">
        <v>510</v>
      </c>
      <c r="B68" t="s">
        <v>920</v>
      </c>
    </row>
    <row r="69" spans="1:8" x14ac:dyDescent="0.25">
      <c r="A69" t="s">
        <v>510</v>
      </c>
      <c r="B69" t="s">
        <v>921</v>
      </c>
    </row>
    <row r="70" spans="1:8" x14ac:dyDescent="0.25">
      <c r="A70" s="67" t="s">
        <v>510</v>
      </c>
      <c r="B70" t="s">
        <v>922</v>
      </c>
    </row>
    <row r="71" spans="1:8" x14ac:dyDescent="0.25">
      <c r="G71" s="291"/>
    </row>
    <row r="73" spans="1:8" x14ac:dyDescent="0.25">
      <c r="G73" s="67"/>
      <c r="H73" s="6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4" workbookViewId="0">
      <selection activeCell="E16" sqref="E16"/>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(Points)</v>
      </c>
    </row>
    <row r="3" spans="1:24" x14ac:dyDescent="0.25">
      <c r="E3" t="s">
        <v>244</v>
      </c>
      <c r="F3" t="s">
        <v>245</v>
      </c>
      <c r="H3" t="s">
        <v>250</v>
      </c>
      <c r="J3" t="s">
        <v>876</v>
      </c>
      <c r="L3" s="67" t="s">
        <v>1156</v>
      </c>
    </row>
    <row r="4" spans="1:24" x14ac:dyDescent="0.25">
      <c r="D4" t="s">
        <v>239</v>
      </c>
      <c r="E4">
        <f>IFERROR('SPC background (hide)'!C4,"")</f>
        <v>1</v>
      </c>
      <c r="F4">
        <f ca="1">'SPC background (hide)'!G5+'Summary Calculations (hide)'!E4-1</f>
        <v>10</v>
      </c>
      <c r="H4" t="s">
        <v>75</v>
      </c>
      <c r="I4" s="100">
        <f ca="1">'Parameters calculator (hide)'!B43</f>
        <v>0.05</v>
      </c>
      <c r="J4">
        <f ca="1">IF(Planning!C15="",'Summary Calculations (hide)'!I4,Planning!C15)</f>
        <v>0.05</v>
      </c>
      <c r="L4" s="67">
        <f ca="1">(1-J4)*(1-J5+(J6*J7))</f>
        <v>1.0003499999999999</v>
      </c>
    </row>
    <row r="5" spans="1:24" x14ac:dyDescent="0.25">
      <c r="D5" t="s">
        <v>240</v>
      </c>
      <c r="E5" t="str">
        <f ca="1">IFERROR('SPC background (hide)'!D6,"")</f>
        <v/>
      </c>
      <c r="F5" t="e">
        <f ca="1">'SPC background (hide)'!H7+'Summary Calculations (hide)'!E5-1</f>
        <v>#VALUE!</v>
      </c>
      <c r="H5" t="s">
        <v>251</v>
      </c>
      <c r="I5" s="100">
        <f ca="1">'Parameters calculator (hide)'!B44</f>
        <v>1.0999999999999999E-2</v>
      </c>
      <c r="J5" s="67">
        <f ca="1">IF(Planning!C16="",'Summary Calculations (hide)'!I5,Planning!C16)</f>
        <v>1.0999999999999999E-2</v>
      </c>
    </row>
    <row r="6" spans="1:24" x14ac:dyDescent="0.25">
      <c r="D6" t="s">
        <v>241</v>
      </c>
      <c r="E6" t="str">
        <f ca="1">IFERROR('SPC background (hide)'!D8,"")</f>
        <v/>
      </c>
      <c r="F6" t="str">
        <f ca="1">IFERROR('SPC background (hide)'!H9-'Summary Calculations (hide)'!E6-1,"")</f>
        <v/>
      </c>
      <c r="H6" t="s">
        <v>99</v>
      </c>
      <c r="I6" s="100">
        <f ca="1">'Parameters calculator (hide)'!B45</f>
        <v>0.08</v>
      </c>
      <c r="J6" s="67">
        <f ca="1">IF(Planning!C17="",'Summary Calculations (hide)'!I6,Planning!C17)</f>
        <v>0.08</v>
      </c>
    </row>
    <row r="7" spans="1:24" x14ac:dyDescent="0.25">
      <c r="D7" t="s">
        <v>242</v>
      </c>
      <c r="E7" t="str">
        <f ca="1">IFERROR('SPC background (hide)'!D10,"")</f>
        <v/>
      </c>
      <c r="F7" t="str">
        <f ca="1">IFERROR('SPC background (hide)'!H11-'Summary Calculations (hide)'!E7-1,"")</f>
        <v/>
      </c>
      <c r="H7" t="s">
        <v>418</v>
      </c>
      <c r="I7" s="100">
        <f ca="1">'Parameters calculator (hide)'!B47</f>
        <v>0.8</v>
      </c>
      <c r="J7" s="67">
        <f ca="1">IF(Planning!C18="",'Summary Calculations (hide)'!I7,1-Planning!C18)</f>
        <v>0.8</v>
      </c>
    </row>
    <row r="9" spans="1:24" x14ac:dyDescent="0.25">
      <c r="H9" t="s">
        <v>422</v>
      </c>
      <c r="I9" s="5">
        <f ca="1">'Demand background (hide)'!BN16</f>
        <v>2</v>
      </c>
    </row>
    <row r="11" spans="1:24" x14ac:dyDescent="0.25">
      <c r="D11" t="s">
        <v>243</v>
      </c>
      <c r="E11" s="87">
        <f>IF(Summary!$B$13="",'Critical resources (hide)'!B6,Summary!$B$13)</f>
        <v>43955</v>
      </c>
    </row>
    <row r="12" spans="1:24" x14ac:dyDescent="0.25">
      <c r="E12" s="318"/>
      <c r="P12" t="s">
        <v>411</v>
      </c>
      <c r="R12" t="str">
        <f>"Required vs available capacity ("&amp;LOWER(Summary!$C$8)&amp;")"</f>
        <v>Required vs available capacity (points)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43955</v>
      </c>
      <c r="B15">
        <f>YEAR(A15)</f>
        <v>2020</v>
      </c>
      <c r="C15" s="67" t="str">
        <f>TEXT(A15,"MMM")</f>
        <v>May</v>
      </c>
      <c r="D15">
        <f>WEEKNUM(A15,21)</f>
        <v>19</v>
      </c>
      <c r="E15" s="5">
        <f ca="1">IF(LEFT(Demand!$C$8,1)="H",VLOOKUP($D15,'SPC background (hide)'!$AG$2:$AS$54,12,0),'Demand background (hide)'!X4)</f>
        <v>2442.5</v>
      </c>
      <c r="F15" s="5">
        <f ca="1">IF(LEFT(Demand!$C$8,1)="H",VLOOKUP($D15,'SPC background (hide)'!$AG$2:$AS$54,13,0),E15*1.1)</f>
        <v>4500.4999999999982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20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20</v>
      </c>
      <c r="L15" s="5">
        <f ca="1">J15</f>
        <v>0</v>
      </c>
      <c r="M15" s="5">
        <f ca="1">(IF('Demand adjustments for Covid'!$F$9="No",E15,SUM('Demand background (hide)'!DS4,'Demand background (hide)'!DV4:DW4))*(1-'Parameters calculator (hide)'!$B$43))*(1-'Parameters calculator (hide)'!$B$44+('Parameters calculator (hide)'!$B$45*'Parameters calculator (hide)'!$B$47))</f>
        <v>3641.2739999999999</v>
      </c>
      <c r="N15" s="5">
        <f ca="1">(IF('Demand adjustments for Covid'!$F$9="No",F15,SUM('Demand background (hide)'!DT4,'Demand background (hide)'!DV4:DW4))*(1-'Parameters calculator (hide)'!$B$43))*(1-'Parameters calculator (hide)'!$B$44+('Parameters calculator (hide)'!$B$45*'Parameters calculator (hide)'!$B$47))</f>
        <v>3644.2750499999997</v>
      </c>
      <c r="P15" s="5">
        <f ca="1">I15</f>
        <v>20</v>
      </c>
      <c r="Q15" s="5">
        <f ca="1">J15</f>
        <v>0</v>
      </c>
      <c r="R15" s="5">
        <f ca="1">IF(P15-V15&lt;0,0,P15-V15)</f>
        <v>20</v>
      </c>
      <c r="S15" s="5">
        <f ca="1">IF(R15=0,IF(P15+Q15-V15&lt;0,0,P15+Q15-V15),Q15)</f>
        <v>0</v>
      </c>
      <c r="T15" s="5">
        <f ca="1">M15/IF(Summary!$C$8&lt;&gt;"Patients",1,$I$9)</f>
        <v>3641.2739999999999</v>
      </c>
      <c r="U15" s="5">
        <f ca="1">((N15-M15)/IF(Summary!$C$8&lt;&gt;"Patients",1,$I$9))</f>
        <v>3.0010499999998501</v>
      </c>
      <c r="V15" s="5">
        <f>SUM(G15:H15)</f>
        <v>0</v>
      </c>
      <c r="X15" s="5">
        <f ca="1">(VLOOKUP(D15,'SPC background (hide)'!$AG$2:$AN$54,8,0)/IF(Summary!$C$8&lt;&gt;"Patients",1,$I$9))*(1-$I$4)*(1-$I$5+($I$6*$I$7))</f>
        <v>2725.7536799999998</v>
      </c>
    </row>
    <row r="16" spans="1:24" x14ac:dyDescent="0.25">
      <c r="A16" s="87">
        <f>A15+7</f>
        <v>43962</v>
      </c>
      <c r="B16" s="67" t="str">
        <f t="shared" ref="B16:B47" si="0">IF(YEAR(A16)&lt;&gt;YEAR(A15),YEAR(A16),"")</f>
        <v/>
      </c>
      <c r="C16" s="67" t="str">
        <f>IF(TEXT(A16,"MMM")&lt;&gt;TEXT(A15,"MMM"),TEXT(A16,"MMM"),"")</f>
        <v/>
      </c>
      <c r="D16" s="67">
        <f t="shared" ref="D16:D66" si="1">WEEKNUM(A16,21)</f>
        <v>20</v>
      </c>
      <c r="E16" s="5">
        <f ca="1">IF(LEFT(Demand!$C$8,1)="H",VLOOKUP($D16,'SPC background (hide)'!$AG$2:$AS$54,12,0),'Demand background (hide)'!X5)</f>
        <v>2442.5</v>
      </c>
      <c r="F16" s="5">
        <f ca="1">IF(LEFT(Demand!$C$8,1)="H",VLOOKUP($D16,'SPC background (hide)'!$AG$2:$AS$54,13,0),E16*1.1)</f>
        <v>4500.4999999999982</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20</v>
      </c>
      <c r="J16" s="5">
        <f ca="1">HLOOKUP(D16,'Capacity calculation (hide)'!$BK$110:$DJ$111,2,0)</f>
        <v>0</v>
      </c>
      <c r="K16" s="5">
        <f ca="1">IF(I16-IF(Setup!$I$15="Yes",$G16,0)-IF(Setup!$I$13="Yes",$H16,0)&lt;0,0,I16-IF(Setup!$I$15="Yes",$G16,0)-IF(Setup!$I$13="Yes",$H16,0))</f>
        <v>20</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3491.5341093749998</v>
      </c>
      <c r="N16" s="5">
        <f ca="1">(IF('Demand adjustments for Covid'!$F$9="No",F16,SUM('Demand background (hide)'!DT5,'Demand background (hide)'!DV5:DW5))*(1-'Parameters calculator (hide)'!$B$43))*(1-'Parameters calculator (hide)'!$B$44+('Parameters calculator (hide)'!$B$45*'Parameters calculator (hide)'!$B$47))</f>
        <v>3494.5351593749997</v>
      </c>
      <c r="P16" s="5">
        <f t="shared" ref="P16:P66" ca="1" si="3">I16</f>
        <v>20</v>
      </c>
      <c r="Q16" s="5">
        <f t="shared" ref="Q16:Q66" ca="1" si="4">J16</f>
        <v>0</v>
      </c>
      <c r="R16" s="5">
        <f t="shared" ref="R16:R66" ca="1" si="5">IF(P16-V16&lt;0,0,P16-V16)</f>
        <v>20</v>
      </c>
      <c r="S16" s="5">
        <f t="shared" ref="S16:S66" ca="1" si="6">IF(R16=0,IF(P16+Q16-V16&lt;0,0,P16+Q16-V16),Q16)</f>
        <v>0</v>
      </c>
      <c r="T16" s="5">
        <f ca="1">M16/IF(Summary!$C$8&lt;&gt;"Patients",1,$I$9)</f>
        <v>3491.5341093749998</v>
      </c>
      <c r="U16" s="5">
        <f ca="1">((N16-M16)/IF(Summary!$C$8&lt;&gt;"Patients",1,$I$9))</f>
        <v>3.0010499999998501</v>
      </c>
      <c r="V16" s="5">
        <f t="shared" ref="V16:V66" si="7">SUM(G16:H16)</f>
        <v>0</v>
      </c>
      <c r="X16" s="5">
        <f ca="1">(VLOOKUP(D16,'SPC background (hide)'!$AG$2:$AN$54,8,0)/IF(Summary!$C$8&lt;&gt;"Patients",1,$I$9))*(1-$I$4)*(1-$I$5+($I$6*$I$7))</f>
        <v>2725.7536799999998</v>
      </c>
    </row>
    <row r="17" spans="1:24" x14ac:dyDescent="0.25">
      <c r="A17" s="87">
        <f t="shared" ref="A17:A67" si="8">A16+7</f>
        <v>43969</v>
      </c>
      <c r="B17" s="67" t="str">
        <f t="shared" si="0"/>
        <v/>
      </c>
      <c r="C17" s="67" t="str">
        <f t="shared" ref="C17:C65" si="9">IF(TEXT(A17,"MMM")&lt;&gt;TEXT(A16,"MMM"),TEXT(A17,"MMM"),"")</f>
        <v/>
      </c>
      <c r="D17" s="67">
        <f t="shared" si="1"/>
        <v>21</v>
      </c>
      <c r="E17" s="5">
        <f ca="1">IF(LEFT(Demand!$C$8,1)="H",VLOOKUP($D17,'SPC background (hide)'!$AG$2:$AS$54,12,0),'Demand background (hide)'!X6)</f>
        <v>2442.5</v>
      </c>
      <c r="F17" s="5">
        <f ca="1">IF(LEFT(Demand!$C$8,1)="H",VLOOKUP($D17,'SPC background (hide)'!$AG$2:$AS$54,13,0),E17*1.1)</f>
        <v>4500.4999999999982</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20</v>
      </c>
      <c r="J17" s="5">
        <f ca="1">HLOOKUP(D17,'Capacity calculation (hide)'!$BK$110:$DJ$111,2,0)</f>
        <v>0</v>
      </c>
      <c r="K17" s="5">
        <f ca="1">IF(I17-IF(Setup!$I$15="Yes",$G17,0)-IF(Setup!$I$13="Yes",$H17,0)&lt;0,0,I17-IF(Setup!$I$15="Yes",$G17,0)-IF(Setup!$I$13="Yes",$H17,0))</f>
        <v>20</v>
      </c>
      <c r="L17" s="5">
        <f t="shared" ca="1" si="2"/>
        <v>0</v>
      </c>
      <c r="M17" s="5">
        <f ca="1">(IF('Demand adjustments for Covid'!$F$9="No",E17,SUM('Demand background (hide)'!DS6,'Demand background (hide)'!DV6:DW6))*(1-'Parameters calculator (hide)'!$B$43))*(1-'Parameters calculator (hide)'!$B$44+('Parameters calculator (hide)'!$B$45*'Parameters calculator (hide)'!$B$47))</f>
        <v>3341.7942187499998</v>
      </c>
      <c r="N17" s="5">
        <f ca="1">(IF('Demand adjustments for Covid'!$F$9="No",F17,SUM('Demand background (hide)'!DT6,'Demand background (hide)'!DV6:DW6))*(1-'Parameters calculator (hide)'!$B$43))*(1-'Parameters calculator (hide)'!$B$44+('Parameters calculator (hide)'!$B$45*'Parameters calculator (hide)'!$B$47))</f>
        <v>3344.7952687499997</v>
      </c>
      <c r="P17" s="5">
        <f t="shared" ca="1" si="3"/>
        <v>20</v>
      </c>
      <c r="Q17" s="5">
        <f t="shared" ca="1" si="4"/>
        <v>0</v>
      </c>
      <c r="R17" s="5">
        <f t="shared" ca="1" si="5"/>
        <v>20</v>
      </c>
      <c r="S17" s="5">
        <f t="shared" ca="1" si="6"/>
        <v>0</v>
      </c>
      <c r="T17" s="5">
        <f ca="1">M17/IF(Summary!$C$8&lt;&gt;"Patients",1,$I$9)</f>
        <v>3341.7942187499998</v>
      </c>
      <c r="U17" s="5">
        <f ca="1">((N17-M17)/IF(Summary!$C$8&lt;&gt;"Patients",1,$I$9))</f>
        <v>3.0010499999998501</v>
      </c>
      <c r="V17" s="5">
        <f t="shared" si="7"/>
        <v>0</v>
      </c>
      <c r="X17" s="5">
        <f ca="1">(VLOOKUP(D17,'SPC background (hide)'!$AG$2:$AN$54,8,0)/IF(Summary!$C$8&lt;&gt;"Patients",1,$I$9))*(1-$I$4)*(1-$I$5+($I$6*$I$7))</f>
        <v>2725.7536799999998</v>
      </c>
    </row>
    <row r="18" spans="1:24" x14ac:dyDescent="0.25">
      <c r="A18" s="87">
        <f t="shared" si="8"/>
        <v>43976</v>
      </c>
      <c r="B18" s="67" t="str">
        <f t="shared" si="0"/>
        <v/>
      </c>
      <c r="C18" s="67" t="str">
        <f t="shared" si="9"/>
        <v/>
      </c>
      <c r="D18" s="67">
        <f t="shared" si="1"/>
        <v>22</v>
      </c>
      <c r="E18" s="5">
        <f ca="1">IF(LEFT(Demand!$C$8,1)="H",VLOOKUP($D18,'SPC background (hide)'!$AG$2:$AS$54,12,0),'Demand background (hide)'!X7)</f>
        <v>2442.5</v>
      </c>
      <c r="F18" s="5">
        <f ca="1">IF(LEFT(Demand!$C$8,1)="H",VLOOKUP($D18,'SPC background (hide)'!$AG$2:$AS$54,13,0),E18*1.1)</f>
        <v>4500.4999999999982</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20</v>
      </c>
      <c r="J18" s="5">
        <f ca="1">HLOOKUP(D18,'Capacity calculation (hide)'!$BK$110:$DJ$111,2,0)</f>
        <v>0</v>
      </c>
      <c r="K18" s="5">
        <f ca="1">IF(I18-IF(Setup!$I$15="Yes",$G18,0)-IF(Setup!$I$13="Yes",$H18,0)&lt;0,0,I18-IF(Setup!$I$15="Yes",$G18,0)-IF(Setup!$I$13="Yes",$H18,0))</f>
        <v>20</v>
      </c>
      <c r="L18" s="5">
        <f t="shared" ca="1" si="2"/>
        <v>0</v>
      </c>
      <c r="M18" s="5">
        <f ca="1">(IF('Demand adjustments for Covid'!$F$9="No",E18,SUM('Demand background (hide)'!DS7,'Demand background (hide)'!DV7:DW7))*(1-'Parameters calculator (hide)'!$B$43))*(1-'Parameters calculator (hide)'!$B$44+('Parameters calculator (hide)'!$B$45*'Parameters calculator (hide)'!$B$47))</f>
        <v>3192.0543281249998</v>
      </c>
      <c r="N18" s="5">
        <f ca="1">(IF('Demand adjustments for Covid'!$F$9="No",F18,SUM('Demand background (hide)'!DT7,'Demand background (hide)'!DV7:DW7))*(1-'Parameters calculator (hide)'!$B$43))*(1-'Parameters calculator (hide)'!$B$44+('Parameters calculator (hide)'!$B$45*'Parameters calculator (hide)'!$B$47))</f>
        <v>3195.0553781249996</v>
      </c>
      <c r="P18" s="5">
        <f t="shared" ca="1" si="3"/>
        <v>20</v>
      </c>
      <c r="Q18" s="5">
        <f t="shared" ca="1" si="4"/>
        <v>0</v>
      </c>
      <c r="R18" s="5">
        <f t="shared" ca="1" si="5"/>
        <v>20</v>
      </c>
      <c r="S18" s="5">
        <f t="shared" ca="1" si="6"/>
        <v>0</v>
      </c>
      <c r="T18" s="5">
        <f ca="1">M18/IF(Summary!$C$8&lt;&gt;"Patients",1,$I$9)</f>
        <v>3192.0543281249998</v>
      </c>
      <c r="U18" s="5">
        <f ca="1">((N18-M18)/IF(Summary!$C$8&lt;&gt;"Patients",1,$I$9))</f>
        <v>3.0010499999998501</v>
      </c>
      <c r="V18" s="5">
        <f t="shared" si="7"/>
        <v>0</v>
      </c>
      <c r="X18" s="5">
        <f ca="1">(VLOOKUP(D18,'SPC background (hide)'!$AG$2:$AN$54,8,0)/IF(Summary!$C$8&lt;&gt;"Patients",1,$I$9))*(1-$I$4)*(1-$I$5+($I$6*$I$7))</f>
        <v>2725.7536799999998</v>
      </c>
    </row>
    <row r="19" spans="1:24" x14ac:dyDescent="0.25">
      <c r="A19" s="87">
        <f t="shared" si="8"/>
        <v>43983</v>
      </c>
      <c r="B19" s="67" t="str">
        <f t="shared" si="0"/>
        <v/>
      </c>
      <c r="C19" s="67" t="str">
        <f t="shared" si="9"/>
        <v>Jun</v>
      </c>
      <c r="D19" s="67">
        <f t="shared" si="1"/>
        <v>23</v>
      </c>
      <c r="E19" s="5">
        <f ca="1">IF(LEFT(Demand!$C$8,1)="H",VLOOKUP($D19,'SPC background (hide)'!$AG$2:$AS$54,12,0),'Demand background (hide)'!X8)</f>
        <v>2442.5</v>
      </c>
      <c r="F19" s="5">
        <f ca="1">IF(LEFT(Demand!$C$8,1)="H",VLOOKUP($D19,'SPC background (hide)'!$AG$2:$AS$54,13,0),E19*1.1)</f>
        <v>4500.4999999999982</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20</v>
      </c>
      <c r="J19" s="5">
        <f ca="1">HLOOKUP(D19,'Capacity calculation (hide)'!$BK$110:$DJ$111,2,0)</f>
        <v>0</v>
      </c>
      <c r="K19" s="5">
        <f ca="1">IF(I19-IF(Setup!$I$15="Yes",$G19,0)-IF(Setup!$I$13="Yes",$H19,0)&lt;0,0,I19-IF(Setup!$I$15="Yes",$G19,0)-IF(Setup!$I$13="Yes",$H19,0))</f>
        <v>20</v>
      </c>
      <c r="L19" s="5">
        <f t="shared" ca="1" si="2"/>
        <v>0</v>
      </c>
      <c r="M19" s="5">
        <f ca="1">(IF('Demand adjustments for Covid'!$F$9="No",E19,SUM('Demand background (hide)'!DS8,'Demand background (hide)'!DV8:DW8))*(1-'Parameters calculator (hide)'!$B$43))*(1-'Parameters calculator (hide)'!$B$44+('Parameters calculator (hide)'!$B$45*'Parameters calculator (hide)'!$B$47))</f>
        <v>3042.3144374999997</v>
      </c>
      <c r="N19" s="5">
        <f ca="1">(IF('Demand adjustments for Covid'!$F$9="No",F19,SUM('Demand background (hide)'!DT8,'Demand background (hide)'!DV8:DW8))*(1-'Parameters calculator (hide)'!$B$43))*(1-'Parameters calculator (hide)'!$B$44+('Parameters calculator (hide)'!$B$45*'Parameters calculator (hide)'!$B$47))</f>
        <v>3045.3154874999996</v>
      </c>
      <c r="P19" s="5">
        <f t="shared" ca="1" si="3"/>
        <v>20</v>
      </c>
      <c r="Q19" s="5">
        <f t="shared" ca="1" si="4"/>
        <v>0</v>
      </c>
      <c r="R19" s="5">
        <f t="shared" ca="1" si="5"/>
        <v>20</v>
      </c>
      <c r="S19" s="5">
        <f t="shared" ca="1" si="6"/>
        <v>0</v>
      </c>
      <c r="T19" s="5">
        <f ca="1">M19/IF(Summary!$C$8&lt;&gt;"Patients",1,$I$9)</f>
        <v>3042.3144374999997</v>
      </c>
      <c r="U19" s="5">
        <f ca="1">((N19-M19)/IF(Summary!$C$8&lt;&gt;"Patients",1,$I$9))</f>
        <v>3.0010499999998501</v>
      </c>
      <c r="V19" s="5">
        <f t="shared" si="7"/>
        <v>0</v>
      </c>
      <c r="X19" s="5">
        <f ca="1">(VLOOKUP(D19,'SPC background (hide)'!$AG$2:$AN$54,8,0)/IF(Summary!$C$8&lt;&gt;"Patients",1,$I$9))*(1-$I$4)*(1-$I$5+($I$6*$I$7))</f>
        <v>2725.7536799999998</v>
      </c>
    </row>
    <row r="20" spans="1:24" x14ac:dyDescent="0.25">
      <c r="A20" s="87">
        <f t="shared" si="8"/>
        <v>43990</v>
      </c>
      <c r="B20" s="67" t="str">
        <f t="shared" si="0"/>
        <v/>
      </c>
      <c r="C20" s="67" t="str">
        <f t="shared" si="9"/>
        <v/>
      </c>
      <c r="D20" s="67">
        <f t="shared" si="1"/>
        <v>24</v>
      </c>
      <c r="E20" s="5">
        <f ca="1">IF(LEFT(Demand!$C$8,1)="H",VLOOKUP($D20,'SPC background (hide)'!$AG$2:$AS$54,12,0),'Demand background (hide)'!X9)</f>
        <v>2442.5</v>
      </c>
      <c r="F20" s="5">
        <f ca="1">IF(LEFT(Demand!$C$8,1)="H",VLOOKUP($D20,'SPC background (hide)'!$AG$2:$AS$54,13,0),E20*1.1)</f>
        <v>4500.4999999999982</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20</v>
      </c>
      <c r="J20" s="5">
        <f ca="1">HLOOKUP(D20,'Capacity calculation (hide)'!$BK$110:$DJ$111,2,0)</f>
        <v>0</v>
      </c>
      <c r="K20" s="5">
        <f ca="1">IF(I20-IF(Setup!$I$15="Yes",$G20,0)-IF(Setup!$I$13="Yes",$H20,0)&lt;0,0,I20-IF(Setup!$I$15="Yes",$G20,0)-IF(Setup!$I$13="Yes",$H20,0))</f>
        <v>20</v>
      </c>
      <c r="L20" s="5">
        <f t="shared" ca="1" si="2"/>
        <v>0</v>
      </c>
      <c r="M20" s="5">
        <f ca="1">(IF('Demand adjustments for Covid'!$F$9="No",E20,SUM('Demand background (hide)'!DS9,'Demand background (hide)'!DV9:DW9))*(1-'Parameters calculator (hide)'!$B$43))*(1-'Parameters calculator (hide)'!$B$44+('Parameters calculator (hide)'!$B$45*'Parameters calculator (hide)'!$B$47))</f>
        <v>2892.5745468749997</v>
      </c>
      <c r="N20" s="5">
        <f ca="1">(IF('Demand adjustments for Covid'!$F$9="No",F20,SUM('Demand background (hide)'!DT9,'Demand background (hide)'!DV9:DW9))*(1-'Parameters calculator (hide)'!$B$43))*(1-'Parameters calculator (hide)'!$B$44+('Parameters calculator (hide)'!$B$45*'Parameters calculator (hide)'!$B$47))</f>
        <v>2895.5755968749995</v>
      </c>
      <c r="P20" s="5">
        <f t="shared" ca="1" si="3"/>
        <v>20</v>
      </c>
      <c r="Q20" s="5">
        <f t="shared" ca="1" si="4"/>
        <v>0</v>
      </c>
      <c r="R20" s="5">
        <f t="shared" ca="1" si="5"/>
        <v>20</v>
      </c>
      <c r="S20" s="5">
        <f t="shared" ca="1" si="6"/>
        <v>0</v>
      </c>
      <c r="T20" s="5">
        <f ca="1">M20/IF(Summary!$C$8&lt;&gt;"Patients",1,$I$9)</f>
        <v>2892.5745468749997</v>
      </c>
      <c r="U20" s="5">
        <f ca="1">((N20-M20)/IF(Summary!$C$8&lt;&gt;"Patients",1,$I$9))</f>
        <v>3.0010499999998501</v>
      </c>
      <c r="V20" s="5">
        <f t="shared" si="7"/>
        <v>0</v>
      </c>
      <c r="X20" s="5">
        <f ca="1">(VLOOKUP(D20,'SPC background (hide)'!$AG$2:$AN$54,8,0)/IF(Summary!$C$8&lt;&gt;"Patients",1,$I$9))*(1-$I$4)*(1-$I$5+($I$6*$I$7))</f>
        <v>2725.7536799999998</v>
      </c>
    </row>
    <row r="21" spans="1:24" x14ac:dyDescent="0.25">
      <c r="A21" s="87">
        <f t="shared" si="8"/>
        <v>43997</v>
      </c>
      <c r="B21" s="67" t="str">
        <f t="shared" si="0"/>
        <v/>
      </c>
      <c r="C21" s="67" t="str">
        <f t="shared" si="9"/>
        <v/>
      </c>
      <c r="D21" s="67">
        <f t="shared" si="1"/>
        <v>25</v>
      </c>
      <c r="E21" s="5">
        <f ca="1">IF(LEFT(Demand!$C$8,1)="H",VLOOKUP($D21,'SPC background (hide)'!$AG$2:$AS$54,12,0),'Demand background (hide)'!X10)</f>
        <v>2442.5</v>
      </c>
      <c r="F21" s="5">
        <f ca="1">IF(LEFT(Demand!$C$8,1)="H",VLOOKUP($D21,'SPC background (hide)'!$AG$2:$AS$54,13,0),E21*1.1)</f>
        <v>4500.4999999999982</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40</v>
      </c>
      <c r="J21" s="5">
        <f ca="1">HLOOKUP(D21,'Capacity calculation (hide)'!$BK$110:$DJ$111,2,0)</f>
        <v>0</v>
      </c>
      <c r="K21" s="5">
        <f ca="1">IF(I21-IF(Setup!$I$15="Yes",$G21,0)-IF(Setup!$I$13="Yes",$H21,0)&lt;0,0,I21-IF(Setup!$I$15="Yes",$G21,0)-IF(Setup!$I$13="Yes",$H21,0))</f>
        <v>40</v>
      </c>
      <c r="L21" s="5">
        <f t="shared" ca="1" si="2"/>
        <v>0</v>
      </c>
      <c r="M21" s="5">
        <f ca="1">(IF('Demand adjustments for Covid'!$F$9="No",E21,SUM('Demand background (hide)'!DS10,'Demand background (hide)'!DV10:DW10))*(1-'Parameters calculator (hide)'!$B$43))*(1-'Parameters calculator (hide)'!$B$44+('Parameters calculator (hide)'!$B$45*'Parameters calculator (hide)'!$B$47))</f>
        <v>2742.8346562499996</v>
      </c>
      <c r="N21" s="5">
        <f ca="1">(IF('Demand adjustments for Covid'!$F$9="No",F21,SUM('Demand background (hide)'!DT10,'Demand background (hide)'!DV10:DW10))*(1-'Parameters calculator (hide)'!$B$43))*(1-'Parameters calculator (hide)'!$B$44+('Parameters calculator (hide)'!$B$45*'Parameters calculator (hide)'!$B$47))</f>
        <v>2745.8357062499999</v>
      </c>
      <c r="P21" s="5">
        <f t="shared" ca="1" si="3"/>
        <v>40</v>
      </c>
      <c r="Q21" s="5">
        <f t="shared" ca="1" si="4"/>
        <v>0</v>
      </c>
      <c r="R21" s="5">
        <f t="shared" ca="1" si="5"/>
        <v>40</v>
      </c>
      <c r="S21" s="5">
        <f t="shared" ca="1" si="6"/>
        <v>0</v>
      </c>
      <c r="T21" s="5">
        <f ca="1">M21/IF(Summary!$C$8&lt;&gt;"Patients",1,$I$9)</f>
        <v>2742.8346562499996</v>
      </c>
      <c r="U21" s="5">
        <f ca="1">((N21-M21)/IF(Summary!$C$8&lt;&gt;"Patients",1,$I$9))</f>
        <v>3.0010500000003049</v>
      </c>
      <c r="V21" s="5">
        <f t="shared" si="7"/>
        <v>0</v>
      </c>
      <c r="X21" s="5">
        <f ca="1">(VLOOKUP(D21,'SPC background (hide)'!$AG$2:$AN$54,8,0)/IF(Summary!$C$8&lt;&gt;"Patients",1,$I$9))*(1-$I$4)*(1-$I$5+($I$6*$I$7))</f>
        <v>2725.7536799999998</v>
      </c>
    </row>
    <row r="22" spans="1:24" x14ac:dyDescent="0.25">
      <c r="A22" s="87">
        <f t="shared" si="8"/>
        <v>44004</v>
      </c>
      <c r="B22" s="67" t="str">
        <f t="shared" si="0"/>
        <v/>
      </c>
      <c r="C22" s="67" t="str">
        <f t="shared" si="9"/>
        <v/>
      </c>
      <c r="D22" s="67">
        <f t="shared" si="1"/>
        <v>26</v>
      </c>
      <c r="E22" s="5">
        <f ca="1">IF(LEFT(Demand!$C$8,1)="H",VLOOKUP($D22,'SPC background (hide)'!$AG$2:$AS$54,12,0),'Demand background (hide)'!X11)</f>
        <v>2442.5</v>
      </c>
      <c r="F22" s="5">
        <f ca="1">IF(LEFT(Demand!$C$8,1)="H",VLOOKUP($D22,'SPC background (hide)'!$AG$2:$AS$54,13,0),E22*1.1)</f>
        <v>4500.4999999999982</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80</v>
      </c>
      <c r="J22" s="5">
        <f ca="1">HLOOKUP(D22,'Capacity calculation (hide)'!$BK$110:$DJ$111,2,0)</f>
        <v>0</v>
      </c>
      <c r="K22" s="5">
        <f ca="1">IF(I22-IF(Setup!$I$15="Yes",$G22,0)-IF(Setup!$I$13="Yes",$H22,0)&lt;0,0,I22-IF(Setup!$I$15="Yes",$G22,0)-IF(Setup!$I$13="Yes",$H22,0))</f>
        <v>80</v>
      </c>
      <c r="L22" s="5">
        <f t="shared" ca="1" si="2"/>
        <v>0</v>
      </c>
      <c r="M22" s="5">
        <f ca="1">(IF('Demand adjustments for Covid'!$F$9="No",E22,SUM('Demand background (hide)'!DS11,'Demand background (hide)'!DV11:DW11))*(1-'Parameters calculator (hide)'!$B$43))*(1-'Parameters calculator (hide)'!$B$44+('Parameters calculator (hide)'!$B$45*'Parameters calculator (hide)'!$B$47))</f>
        <v>2593.094765625</v>
      </c>
      <c r="N22" s="5">
        <f ca="1">(IF('Demand adjustments for Covid'!$F$9="No",F22,SUM('Demand background (hide)'!DT11,'Demand background (hide)'!DV11:DW11))*(1-'Parameters calculator (hide)'!$B$43))*(1-'Parameters calculator (hide)'!$B$44+('Parameters calculator (hide)'!$B$45*'Parameters calculator (hide)'!$B$47))</f>
        <v>2596.0958156249999</v>
      </c>
      <c r="P22" s="5">
        <f t="shared" ca="1" si="3"/>
        <v>80</v>
      </c>
      <c r="Q22" s="5">
        <f t="shared" ca="1" si="4"/>
        <v>0</v>
      </c>
      <c r="R22" s="5">
        <f t="shared" ca="1" si="5"/>
        <v>80</v>
      </c>
      <c r="S22" s="5">
        <f t="shared" ca="1" si="6"/>
        <v>0</v>
      </c>
      <c r="T22" s="5">
        <f ca="1">M22/IF(Summary!$C$8&lt;&gt;"Patients",1,$I$9)</f>
        <v>2593.094765625</v>
      </c>
      <c r="U22" s="5">
        <f ca="1">((N22-M22)/IF(Summary!$C$8&lt;&gt;"Patients",1,$I$9))</f>
        <v>3.0010499999998501</v>
      </c>
      <c r="V22" s="5">
        <f t="shared" si="7"/>
        <v>0</v>
      </c>
      <c r="X22" s="5">
        <f ca="1">(VLOOKUP(D22,'SPC background (hide)'!$AG$2:$AN$54,8,0)/IF(Summary!$C$8&lt;&gt;"Patients",1,$I$9))*(1-$I$4)*(1-$I$5+($I$6*$I$7))</f>
        <v>2725.7536799999998</v>
      </c>
    </row>
    <row r="23" spans="1:24" x14ac:dyDescent="0.25">
      <c r="A23" s="87">
        <f t="shared" si="8"/>
        <v>44011</v>
      </c>
      <c r="B23" s="67" t="str">
        <f t="shared" si="0"/>
        <v/>
      </c>
      <c r="C23" s="67" t="str">
        <f t="shared" si="9"/>
        <v/>
      </c>
      <c r="D23" s="67">
        <f t="shared" si="1"/>
        <v>27</v>
      </c>
      <c r="E23" s="5">
        <f ca="1">IF(LEFT(Demand!$C$8,1)="H",VLOOKUP($D23,'SPC background (hide)'!$AG$2:$AS$54,12,0),'Demand background (hide)'!X12)</f>
        <v>2442.5</v>
      </c>
      <c r="F23" s="5">
        <f ca="1">IF(LEFT(Demand!$C$8,1)="H",VLOOKUP($D23,'SPC background (hide)'!$AG$2:$AS$54,13,0),E23*1.1)</f>
        <v>4500.4999999999982</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120</v>
      </c>
      <c r="J23" s="5">
        <f ca="1">HLOOKUP(D23,'Capacity calculation (hide)'!$BK$110:$DJ$111,2,0)</f>
        <v>0</v>
      </c>
      <c r="K23" s="5">
        <f ca="1">IF(I23-IF(Setup!$I$15="Yes",$G23,0)-IF(Setup!$I$13="Yes",$H23,0)&lt;0,0,I23-IF(Setup!$I$15="Yes",$G23,0)-IF(Setup!$I$13="Yes",$H23,0))</f>
        <v>120</v>
      </c>
      <c r="L23" s="5">
        <f t="shared" ca="1" si="2"/>
        <v>0</v>
      </c>
      <c r="M23" s="5">
        <f ca="1">(IF('Demand adjustments for Covid'!$F$9="No",E23,SUM('Demand background (hide)'!DS12,'Demand background (hide)'!DV12:DW12))*(1-'Parameters calculator (hide)'!$B$43))*(1-'Parameters calculator (hide)'!$B$44+('Parameters calculator (hide)'!$B$45*'Parameters calculator (hide)'!$B$47))</f>
        <v>2443.354875</v>
      </c>
      <c r="N23" s="5">
        <f ca="1">(IF('Demand adjustments for Covid'!$F$9="No",F23,SUM('Demand background (hide)'!DT12,'Demand background (hide)'!DV12:DW12))*(1-'Parameters calculator (hide)'!$B$43))*(1-'Parameters calculator (hide)'!$B$44+('Parameters calculator (hide)'!$B$45*'Parameters calculator (hide)'!$B$47))</f>
        <v>2446.3559249999998</v>
      </c>
      <c r="P23" s="5">
        <f t="shared" ca="1" si="3"/>
        <v>120</v>
      </c>
      <c r="Q23" s="5">
        <f t="shared" ca="1" si="4"/>
        <v>0</v>
      </c>
      <c r="R23" s="5">
        <f t="shared" ca="1" si="5"/>
        <v>120</v>
      </c>
      <c r="S23" s="5">
        <f t="shared" ca="1" si="6"/>
        <v>0</v>
      </c>
      <c r="T23" s="5">
        <f ca="1">M23/IF(Summary!$C$8&lt;&gt;"Patients",1,$I$9)</f>
        <v>2443.354875</v>
      </c>
      <c r="U23" s="5">
        <f ca="1">((N23-M23)/IF(Summary!$C$8&lt;&gt;"Patients",1,$I$9))</f>
        <v>3.0010499999998501</v>
      </c>
      <c r="V23" s="5">
        <f t="shared" si="7"/>
        <v>0</v>
      </c>
      <c r="X23" s="5">
        <f ca="1">(VLOOKUP(D23,'SPC background (hide)'!$AG$2:$AN$54,8,0)/IF(Summary!$C$8&lt;&gt;"Patients",1,$I$9))*(1-$I$4)*(1-$I$5+($I$6*$I$7))</f>
        <v>2725.7536799999998</v>
      </c>
    </row>
    <row r="24" spans="1:24" x14ac:dyDescent="0.25">
      <c r="A24" s="87">
        <f t="shared" si="8"/>
        <v>44018</v>
      </c>
      <c r="B24" s="67" t="str">
        <f t="shared" si="0"/>
        <v/>
      </c>
      <c r="C24" s="67" t="str">
        <f t="shared" si="9"/>
        <v>Jul</v>
      </c>
      <c r="D24" s="67">
        <f t="shared" si="1"/>
        <v>28</v>
      </c>
      <c r="E24" s="5">
        <f ca="1">IF(LEFT(Demand!$C$8,1)="H",VLOOKUP($D24,'SPC background (hide)'!$AG$2:$AS$54,12,0),'Demand background (hide)'!X13)</f>
        <v>2442.5</v>
      </c>
      <c r="F24" s="5">
        <f ca="1">IF(LEFT(Demand!$C$8,1)="H",VLOOKUP($D24,'SPC background (hide)'!$AG$2:$AS$54,13,0),E24*1.1)</f>
        <v>4500.4999999999982</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150</v>
      </c>
      <c r="J24" s="5">
        <f ca="1">HLOOKUP(D24,'Capacity calculation (hide)'!$BK$110:$DJ$111,2,0)</f>
        <v>0</v>
      </c>
      <c r="K24" s="5">
        <f ca="1">IF(I24-IF(Setup!$I$15="Yes",$G24,0)-IF(Setup!$I$13="Yes",$H24,0)&lt;0,0,I24-IF(Setup!$I$15="Yes",$G24,0)-IF(Setup!$I$13="Yes",$H24,0))</f>
        <v>150</v>
      </c>
      <c r="L24" s="5">
        <f t="shared" ca="1" si="2"/>
        <v>0</v>
      </c>
      <c r="M24" s="5">
        <f ca="1">(IF('Demand adjustments for Covid'!$F$9="No",E24,SUM('Demand background (hide)'!DS13,'Demand background (hide)'!DV13:DW13))*(1-'Parameters calculator (hide)'!$B$43))*(1-'Parameters calculator (hide)'!$B$44+('Parameters calculator (hide)'!$B$45*'Parameters calculator (hide)'!$B$47))</f>
        <v>2543.3898749999998</v>
      </c>
      <c r="N24" s="5">
        <f ca="1">(IF('Demand adjustments for Covid'!$F$9="No",F24,SUM('Demand background (hide)'!DT13,'Demand background (hide)'!DV13:DW13))*(1-'Parameters calculator (hide)'!$B$43))*(1-'Parameters calculator (hide)'!$B$44+('Parameters calculator (hide)'!$B$45*'Parameters calculator (hide)'!$B$47))</f>
        <v>4602.1101749999971</v>
      </c>
      <c r="P24" s="5">
        <f t="shared" ca="1" si="3"/>
        <v>150</v>
      </c>
      <c r="Q24" s="5">
        <f t="shared" ca="1" si="4"/>
        <v>0</v>
      </c>
      <c r="R24" s="5">
        <f t="shared" ca="1" si="5"/>
        <v>150</v>
      </c>
      <c r="S24" s="5">
        <f t="shared" ca="1" si="6"/>
        <v>0</v>
      </c>
      <c r="T24" s="5">
        <f ca="1">M24/IF(Summary!$C$8&lt;&gt;"Patients",1,$I$9)</f>
        <v>2543.3898749999998</v>
      </c>
      <c r="U24" s="5">
        <f ca="1">((N24-M24)/IF(Summary!$C$8&lt;&gt;"Patients",1,$I$9))</f>
        <v>2058.7202999999972</v>
      </c>
      <c r="V24" s="5">
        <f t="shared" si="7"/>
        <v>0</v>
      </c>
      <c r="X24" s="5">
        <f ca="1">(VLOOKUP(D24,'SPC background (hide)'!$AG$2:$AN$54,8,0)/IF(Summary!$C$8&lt;&gt;"Patients",1,$I$9))*(1-$I$4)*(1-$I$5+($I$6*$I$7))</f>
        <v>2725.7536799999998</v>
      </c>
    </row>
    <row r="25" spans="1:24" x14ac:dyDescent="0.25">
      <c r="A25" s="87">
        <f t="shared" si="8"/>
        <v>44025</v>
      </c>
      <c r="B25" s="67" t="str">
        <f t="shared" si="0"/>
        <v/>
      </c>
      <c r="C25" s="67" t="str">
        <f t="shared" si="9"/>
        <v/>
      </c>
      <c r="D25" s="67">
        <f t="shared" si="1"/>
        <v>29</v>
      </c>
      <c r="E25" s="5">
        <f ca="1">IF(LEFT(Demand!$C$8,1)="H",VLOOKUP($D25,'SPC background (hide)'!$AG$2:$AS$54,12,0),'Demand background (hide)'!X14)</f>
        <v>2442.5</v>
      </c>
      <c r="F25" s="5">
        <f ca="1">IF(LEFT(Demand!$C$8,1)="H",VLOOKUP($D25,'SPC background (hide)'!$AG$2:$AS$54,13,0),E25*1.1)</f>
        <v>4500.4999999999982</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180</v>
      </c>
      <c r="J25" s="5">
        <f ca="1">HLOOKUP(D25,'Capacity calculation (hide)'!$BK$110:$DJ$111,2,0)</f>
        <v>0</v>
      </c>
      <c r="K25" s="5">
        <f ca="1">IF(I25-IF(Setup!$I$15="Yes",$G25,0)-IF(Setup!$I$13="Yes",$H25,0)&lt;0,0,I25-IF(Setup!$I$15="Yes",$G25,0)-IF(Setup!$I$13="Yes",$H25,0))</f>
        <v>180</v>
      </c>
      <c r="L25" s="5">
        <f t="shared" ca="1" si="2"/>
        <v>0</v>
      </c>
      <c r="M25" s="5">
        <f ca="1">(IF('Demand adjustments for Covid'!$F$9="No",E25,SUM('Demand background (hide)'!DS14,'Demand background (hide)'!DV14:DW14))*(1-'Parameters calculator (hide)'!$B$43))*(1-'Parameters calculator (hide)'!$B$44+('Parameters calculator (hide)'!$B$45*'Parameters calculator (hide)'!$B$47))</f>
        <v>2543.3898749999998</v>
      </c>
      <c r="N25" s="5">
        <f ca="1">(IF('Demand adjustments for Covid'!$F$9="No",F25,SUM('Demand background (hide)'!DT14,'Demand background (hide)'!DV14:DW14))*(1-'Parameters calculator (hide)'!$B$43))*(1-'Parameters calculator (hide)'!$B$44+('Parameters calculator (hide)'!$B$45*'Parameters calculator (hide)'!$B$47))</f>
        <v>4602.1101749999971</v>
      </c>
      <c r="P25" s="5">
        <f t="shared" ca="1" si="3"/>
        <v>180</v>
      </c>
      <c r="Q25" s="5">
        <f t="shared" ca="1" si="4"/>
        <v>0</v>
      </c>
      <c r="R25" s="5">
        <f t="shared" ca="1" si="5"/>
        <v>180</v>
      </c>
      <c r="S25" s="5">
        <f t="shared" ca="1" si="6"/>
        <v>0</v>
      </c>
      <c r="T25" s="5">
        <f ca="1">M25/IF(Summary!$C$8&lt;&gt;"Patients",1,$I$9)</f>
        <v>2543.3898749999998</v>
      </c>
      <c r="U25" s="5">
        <f ca="1">((N25-M25)/IF(Summary!$C$8&lt;&gt;"Patients",1,$I$9))</f>
        <v>2058.7202999999972</v>
      </c>
      <c r="V25" s="5">
        <f t="shared" si="7"/>
        <v>0</v>
      </c>
      <c r="X25" s="5">
        <f ca="1">(VLOOKUP(D25,'SPC background (hide)'!$AG$2:$AN$54,8,0)/IF(Summary!$C$8&lt;&gt;"Patients",1,$I$9))*(1-$I$4)*(1-$I$5+($I$6*$I$7))</f>
        <v>2725.7536799999998</v>
      </c>
    </row>
    <row r="26" spans="1:24" x14ac:dyDescent="0.25">
      <c r="A26" s="87">
        <f t="shared" si="8"/>
        <v>44032</v>
      </c>
      <c r="B26" s="67" t="str">
        <f t="shared" si="0"/>
        <v/>
      </c>
      <c r="C26" s="67" t="str">
        <f t="shared" si="9"/>
        <v/>
      </c>
      <c r="D26" s="67">
        <f t="shared" si="1"/>
        <v>30</v>
      </c>
      <c r="E26" s="5">
        <f ca="1">IF(LEFT(Demand!$C$8,1)="H",VLOOKUP($D26,'SPC background (hide)'!$AG$2:$AS$54,12,0),'Demand background (hide)'!X15)</f>
        <v>2442.5</v>
      </c>
      <c r="F26" s="5">
        <f ca="1">IF(LEFT(Demand!$C$8,1)="H",VLOOKUP($D26,'SPC background (hide)'!$AG$2:$AS$54,13,0),E26*1.1)</f>
        <v>4500.4999999999982</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180</v>
      </c>
      <c r="J26" s="5">
        <f ca="1">HLOOKUP(D26,'Capacity calculation (hide)'!$BK$110:$DJ$111,2,0)</f>
        <v>0</v>
      </c>
      <c r="K26" s="5">
        <f ca="1">IF(I26-IF(Setup!$I$15="Yes",$G26,0)-IF(Setup!$I$13="Yes",$H26,0)&lt;0,0,I26-IF(Setup!$I$15="Yes",$G26,0)-IF(Setup!$I$13="Yes",$H26,0))</f>
        <v>180</v>
      </c>
      <c r="L26" s="5">
        <f t="shared" ca="1" si="2"/>
        <v>0</v>
      </c>
      <c r="M26" s="5">
        <f ca="1">(IF('Demand adjustments for Covid'!$F$9="No",E26,SUM('Demand background (hide)'!DS15,'Demand background (hide)'!DV15:DW15))*(1-'Parameters calculator (hide)'!$B$43))*(1-'Parameters calculator (hide)'!$B$44+('Parameters calculator (hide)'!$B$45*'Parameters calculator (hide)'!$B$47))</f>
        <v>2543.3898749999998</v>
      </c>
      <c r="N26" s="5">
        <f ca="1">(IF('Demand adjustments for Covid'!$F$9="No",F26,SUM('Demand background (hide)'!DT15,'Demand background (hide)'!DV15:DW15))*(1-'Parameters calculator (hide)'!$B$43))*(1-'Parameters calculator (hide)'!$B$44+('Parameters calculator (hide)'!$B$45*'Parameters calculator (hide)'!$B$47))</f>
        <v>4602.1101749999971</v>
      </c>
      <c r="P26" s="5">
        <f t="shared" ca="1" si="3"/>
        <v>180</v>
      </c>
      <c r="Q26" s="5">
        <f t="shared" ca="1" si="4"/>
        <v>0</v>
      </c>
      <c r="R26" s="5">
        <f t="shared" ca="1" si="5"/>
        <v>180</v>
      </c>
      <c r="S26" s="5">
        <f t="shared" ca="1" si="6"/>
        <v>0</v>
      </c>
      <c r="T26" s="5">
        <f ca="1">M26/IF(Summary!$C$8&lt;&gt;"Patients",1,$I$9)</f>
        <v>2543.3898749999998</v>
      </c>
      <c r="U26" s="5">
        <f ca="1">((N26-M26)/IF(Summary!$C$8&lt;&gt;"Patients",1,$I$9))</f>
        <v>2058.7202999999972</v>
      </c>
      <c r="V26" s="5">
        <f t="shared" si="7"/>
        <v>0</v>
      </c>
      <c r="X26" s="5">
        <f ca="1">(VLOOKUP(D26,'SPC background (hide)'!$AG$2:$AN$54,8,0)/IF(Summary!$C$8&lt;&gt;"Patients",1,$I$9))*(1-$I$4)*(1-$I$5+($I$6*$I$7))</f>
        <v>2725.7536799999998</v>
      </c>
    </row>
    <row r="27" spans="1:24" x14ac:dyDescent="0.25">
      <c r="A27" s="87">
        <f t="shared" si="8"/>
        <v>44039</v>
      </c>
      <c r="B27" s="67" t="str">
        <f t="shared" si="0"/>
        <v/>
      </c>
      <c r="C27" s="67" t="str">
        <f t="shared" si="9"/>
        <v/>
      </c>
      <c r="D27" s="67">
        <f t="shared" si="1"/>
        <v>31</v>
      </c>
      <c r="E27" s="5">
        <f ca="1">IF(LEFT(Demand!$C$8,1)="H",VLOOKUP($D27,'SPC background (hide)'!$AG$2:$AS$54,12,0),'Demand background (hide)'!X16)</f>
        <v>2442.5</v>
      </c>
      <c r="F27" s="5">
        <f ca="1">IF(LEFT(Demand!$C$8,1)="H",VLOOKUP($D27,'SPC background (hide)'!$AG$2:$AS$54,13,0),E27*1.1)</f>
        <v>4500.4999999999982</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4038.4615384615386</v>
      </c>
      <c r="J27" s="5">
        <f ca="1">HLOOKUP(D27,'Capacity calculation (hide)'!$BK$110:$DJ$111,2,0)</f>
        <v>10</v>
      </c>
      <c r="K27" s="5">
        <f ca="1">IF(I27-IF(Setup!$I$15="Yes",$G27,0)-IF(Setup!$I$13="Yes",$H27,0)&lt;0,0,I27-IF(Setup!$I$15="Yes",$G27,0)-IF(Setup!$I$13="Yes",$H27,0))</f>
        <v>4038.4615384615386</v>
      </c>
      <c r="L27" s="5">
        <f t="shared" ca="1" si="2"/>
        <v>10</v>
      </c>
      <c r="M27" s="5">
        <f ca="1">(IF('Demand adjustments for Covid'!$F$9="No",E27,SUM('Demand background (hide)'!DS16,'Demand background (hide)'!DV16:DW16))*(1-'Parameters calculator (hide)'!$B$43))*(1-'Parameters calculator (hide)'!$B$44+('Parameters calculator (hide)'!$B$45*'Parameters calculator (hide)'!$B$47))</f>
        <v>2543.3898749999998</v>
      </c>
      <c r="N27" s="5">
        <f ca="1">(IF('Demand adjustments for Covid'!$F$9="No",F27,SUM('Demand background (hide)'!DT16,'Demand background (hide)'!DV16:DW16))*(1-'Parameters calculator (hide)'!$B$43))*(1-'Parameters calculator (hide)'!$B$44+('Parameters calculator (hide)'!$B$45*'Parameters calculator (hide)'!$B$47))</f>
        <v>4602.1101749999971</v>
      </c>
      <c r="P27" s="5">
        <f t="shared" ca="1" si="3"/>
        <v>4038.4615384615386</v>
      </c>
      <c r="Q27" s="5">
        <f t="shared" ca="1" si="4"/>
        <v>10</v>
      </c>
      <c r="R27" s="5">
        <f t="shared" ca="1" si="5"/>
        <v>4038.4615384615386</v>
      </c>
      <c r="S27" s="5">
        <f t="shared" ca="1" si="6"/>
        <v>10</v>
      </c>
      <c r="T27" s="5">
        <f ca="1">M27/IF(Summary!$C$8&lt;&gt;"Patients",1,$I$9)</f>
        <v>2543.3898749999998</v>
      </c>
      <c r="U27" s="5">
        <f ca="1">((N27-M27)/IF(Summary!$C$8&lt;&gt;"Patients",1,$I$9))</f>
        <v>2058.7202999999972</v>
      </c>
      <c r="V27" s="5">
        <f t="shared" si="7"/>
        <v>0</v>
      </c>
      <c r="X27" s="5">
        <f ca="1">(VLOOKUP(D27,'SPC background (hide)'!$AG$2:$AN$54,8,0)/IF(Summary!$C$8&lt;&gt;"Patients",1,$I$9))*(1-$I$4)*(1-$I$5+($I$6*$I$7))</f>
        <v>2725.7536799999998</v>
      </c>
    </row>
    <row r="28" spans="1:24" x14ac:dyDescent="0.25">
      <c r="A28" s="87">
        <f t="shared" si="8"/>
        <v>44046</v>
      </c>
      <c r="B28" s="67" t="str">
        <f t="shared" si="0"/>
        <v/>
      </c>
      <c r="C28" s="67" t="str">
        <f t="shared" si="9"/>
        <v>Aug</v>
      </c>
      <c r="D28" s="67">
        <f t="shared" si="1"/>
        <v>32</v>
      </c>
      <c r="E28" s="5">
        <f ca="1">IF(LEFT(Demand!$C$8,1)="H",VLOOKUP($D28,'SPC background (hide)'!$AG$2:$AS$54,12,0),'Demand background (hide)'!X17)</f>
        <v>2442.5</v>
      </c>
      <c r="F28" s="5">
        <f ca="1">IF(LEFT(Demand!$C$8,1)="H",VLOOKUP($D28,'SPC background (hide)'!$AG$2:$AS$54,13,0),E28*1.1)</f>
        <v>4500.4999999999982</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4038.4615384615386</v>
      </c>
      <c r="J28" s="5">
        <f ca="1">HLOOKUP(D28,'Capacity calculation (hide)'!$BK$110:$DJ$111,2,0)</f>
        <v>10</v>
      </c>
      <c r="K28" s="5">
        <f ca="1">IF(I28-IF(Setup!$I$15="Yes",$G28,0)-IF(Setup!$I$13="Yes",$H28,0)&lt;0,0,I28-IF(Setup!$I$15="Yes",$G28,0)-IF(Setup!$I$13="Yes",$H28,0))</f>
        <v>4038.4615384615386</v>
      </c>
      <c r="L28" s="5">
        <f t="shared" ca="1" si="2"/>
        <v>10</v>
      </c>
      <c r="M28" s="5">
        <f ca="1">(IF('Demand adjustments for Covid'!$F$9="No",E28,SUM('Demand background (hide)'!DS17,'Demand background (hide)'!DV17:DW17))*(1-'Parameters calculator (hide)'!$B$43))*(1-'Parameters calculator (hide)'!$B$44+('Parameters calculator (hide)'!$B$45*'Parameters calculator (hide)'!$B$47))</f>
        <v>2543.3898749999998</v>
      </c>
      <c r="N28" s="5">
        <f ca="1">(IF('Demand adjustments for Covid'!$F$9="No",F28,SUM('Demand background (hide)'!DT17,'Demand background (hide)'!DV17:DW17))*(1-'Parameters calculator (hide)'!$B$43))*(1-'Parameters calculator (hide)'!$B$44+('Parameters calculator (hide)'!$B$45*'Parameters calculator (hide)'!$B$47))</f>
        <v>4602.1101749999971</v>
      </c>
      <c r="P28" s="5">
        <f t="shared" ca="1" si="3"/>
        <v>4038.4615384615386</v>
      </c>
      <c r="Q28" s="5">
        <f t="shared" ca="1" si="4"/>
        <v>10</v>
      </c>
      <c r="R28" s="5">
        <f t="shared" ca="1" si="5"/>
        <v>4038.4615384615386</v>
      </c>
      <c r="S28" s="5">
        <f t="shared" ca="1" si="6"/>
        <v>10</v>
      </c>
      <c r="T28" s="5">
        <f ca="1">M28/IF(Summary!$C$8&lt;&gt;"Patients",1,$I$9)</f>
        <v>2543.3898749999998</v>
      </c>
      <c r="U28" s="5">
        <f ca="1">((N28-M28)/IF(Summary!$C$8&lt;&gt;"Patients",1,$I$9))</f>
        <v>2058.7202999999972</v>
      </c>
      <c r="V28" s="5">
        <f t="shared" si="7"/>
        <v>0</v>
      </c>
      <c r="X28" s="5">
        <f ca="1">(VLOOKUP(D28,'SPC background (hide)'!$AG$2:$AN$54,8,0)/IF(Summary!$C$8&lt;&gt;"Patients",1,$I$9))*(1-$I$4)*(1-$I$5+($I$6*$I$7))</f>
        <v>2725.7536799999998</v>
      </c>
    </row>
    <row r="29" spans="1:24" x14ac:dyDescent="0.25">
      <c r="A29" s="87">
        <f t="shared" si="8"/>
        <v>44053</v>
      </c>
      <c r="B29" s="67" t="str">
        <f t="shared" si="0"/>
        <v/>
      </c>
      <c r="C29" s="67" t="str">
        <f t="shared" si="9"/>
        <v/>
      </c>
      <c r="D29" s="67">
        <f t="shared" si="1"/>
        <v>33</v>
      </c>
      <c r="E29" s="5">
        <f ca="1">IF(LEFT(Demand!$C$8,1)="H",VLOOKUP($D29,'SPC background (hide)'!$AG$2:$AS$54,12,0),'Demand background (hide)'!X18)</f>
        <v>2442.5</v>
      </c>
      <c r="F29" s="5">
        <f ca="1">IF(LEFT(Demand!$C$8,1)="H",VLOOKUP($D29,'SPC background (hide)'!$AG$2:$AS$54,13,0),E29*1.1)</f>
        <v>4500.4999999999982</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4038.4615384615386</v>
      </c>
      <c r="J29" s="5">
        <f ca="1">HLOOKUP(D29,'Capacity calculation (hide)'!$BK$110:$DJ$111,2,0)</f>
        <v>10</v>
      </c>
      <c r="K29" s="5">
        <f ca="1">IF(I29-IF(Setup!$I$15="Yes",$G29,0)-IF(Setup!$I$13="Yes",$H29,0)&lt;0,0,I29-IF(Setup!$I$15="Yes",$G29,0)-IF(Setup!$I$13="Yes",$H29,0))</f>
        <v>4038.4615384615386</v>
      </c>
      <c r="L29" s="5">
        <f t="shared" ca="1" si="2"/>
        <v>10</v>
      </c>
      <c r="M29" s="5">
        <f ca="1">(IF('Demand adjustments for Covid'!$F$9="No",E29,SUM('Demand background (hide)'!DS18,'Demand background (hide)'!DV18:DW18))*(1-'Parameters calculator (hide)'!$B$43))*(1-'Parameters calculator (hide)'!$B$44+('Parameters calculator (hide)'!$B$45*'Parameters calculator (hide)'!$B$47))</f>
        <v>2543.3898749999998</v>
      </c>
      <c r="N29" s="5">
        <f ca="1">(IF('Demand adjustments for Covid'!$F$9="No",F29,SUM('Demand background (hide)'!DT18,'Demand background (hide)'!DV18:DW18))*(1-'Parameters calculator (hide)'!$B$43))*(1-'Parameters calculator (hide)'!$B$44+('Parameters calculator (hide)'!$B$45*'Parameters calculator (hide)'!$B$47))</f>
        <v>4602.1101749999971</v>
      </c>
      <c r="P29" s="5">
        <f t="shared" ca="1" si="3"/>
        <v>4038.4615384615386</v>
      </c>
      <c r="Q29" s="5">
        <f t="shared" ca="1" si="4"/>
        <v>10</v>
      </c>
      <c r="R29" s="5">
        <f t="shared" ca="1" si="5"/>
        <v>4038.4615384615386</v>
      </c>
      <c r="S29" s="5">
        <f t="shared" ca="1" si="6"/>
        <v>10</v>
      </c>
      <c r="T29" s="5">
        <f ca="1">M29/IF(Summary!$C$8&lt;&gt;"Patients",1,$I$9)</f>
        <v>2543.3898749999998</v>
      </c>
      <c r="U29" s="5">
        <f ca="1">((N29-M29)/IF(Summary!$C$8&lt;&gt;"Patients",1,$I$9))</f>
        <v>2058.7202999999972</v>
      </c>
      <c r="V29" s="5">
        <f t="shared" si="7"/>
        <v>0</v>
      </c>
      <c r="X29" s="5">
        <f ca="1">(VLOOKUP(D29,'SPC background (hide)'!$AG$2:$AN$54,8,0)/IF(Summary!$C$8&lt;&gt;"Patients",1,$I$9))*(1-$I$4)*(1-$I$5+($I$6*$I$7))</f>
        <v>2725.7536799999998</v>
      </c>
    </row>
    <row r="30" spans="1:24" x14ac:dyDescent="0.25">
      <c r="A30" s="87">
        <f t="shared" si="8"/>
        <v>44060</v>
      </c>
      <c r="B30" s="67" t="str">
        <f t="shared" si="0"/>
        <v/>
      </c>
      <c r="C30" s="67" t="str">
        <f t="shared" si="9"/>
        <v/>
      </c>
      <c r="D30" s="67">
        <f t="shared" si="1"/>
        <v>34</v>
      </c>
      <c r="E30" s="5">
        <f ca="1">IF(LEFT(Demand!$C$8,1)="H",VLOOKUP($D30,'SPC background (hide)'!$AG$2:$AS$54,12,0),'Demand background (hide)'!X19)</f>
        <v>2442.5</v>
      </c>
      <c r="F30" s="5">
        <f ca="1">IF(LEFT(Demand!$C$8,1)="H",VLOOKUP($D30,'SPC background (hide)'!$AG$2:$AS$54,13,0),E30*1.1)</f>
        <v>4500.4999999999982</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4038.4615384615386</v>
      </c>
      <c r="J30" s="5">
        <f ca="1">HLOOKUP(D30,'Capacity calculation (hide)'!$BK$110:$DJ$111,2,0)</f>
        <v>0</v>
      </c>
      <c r="K30" s="5">
        <f ca="1">IF(I30-IF(Setup!$I$15="Yes",$G30,0)-IF(Setup!$I$13="Yes",$H30,0)&lt;0,0,I30-IF(Setup!$I$15="Yes",$G30,0)-IF(Setup!$I$13="Yes",$H30,0))</f>
        <v>4038.4615384615386</v>
      </c>
      <c r="L30" s="5">
        <f t="shared" ca="1" si="2"/>
        <v>0</v>
      </c>
      <c r="M30" s="5">
        <f ca="1">(IF('Demand adjustments for Covid'!$F$9="No",E30,SUM('Demand background (hide)'!DS19,'Demand background (hide)'!DV19:DW19))*(1-'Parameters calculator (hide)'!$B$43))*(1-'Parameters calculator (hide)'!$B$44+('Parameters calculator (hide)'!$B$45*'Parameters calculator (hide)'!$B$47))</f>
        <v>2543.3898749999998</v>
      </c>
      <c r="N30" s="5">
        <f ca="1">(IF('Demand adjustments for Covid'!$F$9="No",F30,SUM('Demand background (hide)'!DT19,'Demand background (hide)'!DV19:DW19))*(1-'Parameters calculator (hide)'!$B$43))*(1-'Parameters calculator (hide)'!$B$44+('Parameters calculator (hide)'!$B$45*'Parameters calculator (hide)'!$B$47))</f>
        <v>4602.1101749999971</v>
      </c>
      <c r="P30" s="5">
        <f t="shared" ca="1" si="3"/>
        <v>4038.4615384615386</v>
      </c>
      <c r="Q30" s="5">
        <f t="shared" ca="1" si="4"/>
        <v>0</v>
      </c>
      <c r="R30" s="5">
        <f t="shared" ca="1" si="5"/>
        <v>4038.4615384615386</v>
      </c>
      <c r="S30" s="5">
        <f t="shared" ca="1" si="6"/>
        <v>0</v>
      </c>
      <c r="T30" s="5">
        <f ca="1">M30/IF(Summary!$C$8&lt;&gt;"Patients",1,$I$9)</f>
        <v>2543.3898749999998</v>
      </c>
      <c r="U30" s="5">
        <f ca="1">((N30-M30)/IF(Summary!$C$8&lt;&gt;"Patients",1,$I$9))</f>
        <v>2058.7202999999972</v>
      </c>
      <c r="V30" s="5">
        <f t="shared" si="7"/>
        <v>0</v>
      </c>
      <c r="X30" s="5">
        <f ca="1">(VLOOKUP(D30,'SPC background (hide)'!$AG$2:$AN$54,8,0)/IF(Summary!$C$8&lt;&gt;"Patients",1,$I$9))*(1-$I$4)*(1-$I$5+($I$6*$I$7))</f>
        <v>2725.7536799999998</v>
      </c>
    </row>
    <row r="31" spans="1:24" x14ac:dyDescent="0.25">
      <c r="A31" s="87">
        <f t="shared" si="8"/>
        <v>44067</v>
      </c>
      <c r="B31" s="67" t="str">
        <f t="shared" si="0"/>
        <v/>
      </c>
      <c r="C31" s="67" t="str">
        <f t="shared" si="9"/>
        <v/>
      </c>
      <c r="D31" s="67">
        <f t="shared" si="1"/>
        <v>35</v>
      </c>
      <c r="E31" s="5">
        <f ca="1">IF(LEFT(Demand!$C$8,1)="H",VLOOKUP($D31,'SPC background (hide)'!$AG$2:$AS$54,12,0),'Demand background (hide)'!X20)</f>
        <v>2442.5</v>
      </c>
      <c r="F31" s="5">
        <f ca="1">IF(LEFT(Demand!$C$8,1)="H",VLOOKUP($D31,'SPC background (hide)'!$AG$2:$AS$54,13,0),E31*1.1)</f>
        <v>4500.4999999999982</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4038.4615384615386</v>
      </c>
      <c r="J31" s="5">
        <f ca="1">HLOOKUP(D31,'Capacity calculation (hide)'!$BK$110:$DJ$111,2,0)</f>
        <v>10</v>
      </c>
      <c r="K31" s="5">
        <f ca="1">IF(I31-IF(Setup!$I$15="Yes",$G31,0)-IF(Setup!$I$13="Yes",$H31,0)&lt;0,0,I31-IF(Setup!$I$15="Yes",$G31,0)-IF(Setup!$I$13="Yes",$H31,0))</f>
        <v>4038.4615384615386</v>
      </c>
      <c r="L31" s="5">
        <f t="shared" ca="1" si="2"/>
        <v>10</v>
      </c>
      <c r="M31" s="5">
        <f ca="1">(IF('Demand adjustments for Covid'!$F$9="No",E31,SUM('Demand background (hide)'!DS20,'Demand background (hide)'!DV20:DW20))*(1-'Parameters calculator (hide)'!$B$43))*(1-'Parameters calculator (hide)'!$B$44+('Parameters calculator (hide)'!$B$45*'Parameters calculator (hide)'!$B$47))</f>
        <v>2543.3898749999998</v>
      </c>
      <c r="N31" s="5">
        <f ca="1">(IF('Demand adjustments for Covid'!$F$9="No",F31,SUM('Demand background (hide)'!DT20,'Demand background (hide)'!DV20:DW20))*(1-'Parameters calculator (hide)'!$B$43))*(1-'Parameters calculator (hide)'!$B$44+('Parameters calculator (hide)'!$B$45*'Parameters calculator (hide)'!$B$47))</f>
        <v>4602.1101749999971</v>
      </c>
      <c r="P31" s="5">
        <f t="shared" ca="1" si="3"/>
        <v>4038.4615384615386</v>
      </c>
      <c r="Q31" s="5">
        <f t="shared" ca="1" si="4"/>
        <v>10</v>
      </c>
      <c r="R31" s="5">
        <f t="shared" ca="1" si="5"/>
        <v>4038.4615384615386</v>
      </c>
      <c r="S31" s="5">
        <f t="shared" ca="1" si="6"/>
        <v>10</v>
      </c>
      <c r="T31" s="5">
        <f ca="1">M31/IF(Summary!$C$8&lt;&gt;"Patients",1,$I$9)</f>
        <v>2543.3898749999998</v>
      </c>
      <c r="U31" s="5">
        <f ca="1">((N31-M31)/IF(Summary!$C$8&lt;&gt;"Patients",1,$I$9))</f>
        <v>2058.7202999999972</v>
      </c>
      <c r="V31" s="5">
        <f t="shared" si="7"/>
        <v>0</v>
      </c>
      <c r="X31" s="5">
        <f ca="1">(VLOOKUP(D31,'SPC background (hide)'!$AG$2:$AN$54,8,0)/IF(Summary!$C$8&lt;&gt;"Patients",1,$I$9))*(1-$I$4)*(1-$I$5+($I$6*$I$7))</f>
        <v>2725.7536799999998</v>
      </c>
    </row>
    <row r="32" spans="1:24" x14ac:dyDescent="0.25">
      <c r="A32" s="87">
        <f t="shared" si="8"/>
        <v>44074</v>
      </c>
      <c r="B32" s="67" t="str">
        <f t="shared" si="0"/>
        <v/>
      </c>
      <c r="C32" s="67" t="str">
        <f t="shared" si="9"/>
        <v/>
      </c>
      <c r="D32" s="67">
        <f t="shared" si="1"/>
        <v>36</v>
      </c>
      <c r="E32" s="5">
        <f ca="1">IF(LEFT(Demand!$C$8,1)="H",VLOOKUP($D32,'SPC background (hide)'!$AG$2:$AS$54,12,0),'Demand background (hide)'!X21)</f>
        <v>2442.5</v>
      </c>
      <c r="F32" s="5">
        <f ca="1">IF(LEFT(Demand!$C$8,1)="H",VLOOKUP($D32,'SPC background (hide)'!$AG$2:$AS$54,13,0),E32*1.1)</f>
        <v>4500.4999999999982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4038.4615384615386</v>
      </c>
      <c r="J32" s="5">
        <f ca="1">HLOOKUP(D32,'Capacity calculation (hide)'!$BK$110:$DJ$111,2,0)</f>
        <v>10</v>
      </c>
      <c r="K32" s="5">
        <f ca="1">IF(I32-IF(Setup!$I$15="Yes",$G32,0)-IF(Setup!$I$13="Yes",$H32,0)&lt;0,0,I32-IF(Setup!$I$15="Yes",$G32,0)-IF(Setup!$I$13="Yes",$H32,0))</f>
        <v>4038.4615384615386</v>
      </c>
      <c r="L32" s="5">
        <f t="shared" ca="1" si="2"/>
        <v>10</v>
      </c>
      <c r="M32" s="5">
        <f ca="1">(IF('Demand adjustments for Covid'!$F$9="No",E32,SUM('Demand background (hide)'!DS21,'Demand background (hide)'!DV21:DW21))*(1-'Parameters calculator (hide)'!$B$43))*(1-'Parameters calculator (hide)'!$B$44+('Parameters calculator (hide)'!$B$45*'Parameters calculator (hide)'!$B$47))</f>
        <v>2443.354875</v>
      </c>
      <c r="N32" s="5">
        <f ca="1">(IF('Demand adjustments for Covid'!$F$9="No",F32,SUM('Demand background (hide)'!DT21,'Demand background (hide)'!DV21:DW21))*(1-'Parameters calculator (hide)'!$B$43))*(1-'Parameters calculator (hide)'!$B$44+('Parameters calculator (hide)'!$B$45*'Parameters calculator (hide)'!$B$47))</f>
        <v>4502.0751749999972</v>
      </c>
      <c r="P32" s="5">
        <f t="shared" ca="1" si="3"/>
        <v>4038.4615384615386</v>
      </c>
      <c r="Q32" s="5">
        <f t="shared" ca="1" si="4"/>
        <v>10</v>
      </c>
      <c r="R32" s="5">
        <f t="shared" ca="1" si="5"/>
        <v>4038.4615384615386</v>
      </c>
      <c r="S32" s="5">
        <f t="shared" ca="1" si="6"/>
        <v>10</v>
      </c>
      <c r="T32" s="5">
        <f ca="1">M32/IF(Summary!$C$8&lt;&gt;"Patients",1,$I$9)</f>
        <v>2443.354875</v>
      </c>
      <c r="U32" s="5">
        <f ca="1">((N32-M32)/IF(Summary!$C$8&lt;&gt;"Patients",1,$I$9))</f>
        <v>2058.7202999999972</v>
      </c>
      <c r="V32" s="5">
        <f t="shared" si="7"/>
        <v>0</v>
      </c>
      <c r="X32" s="5">
        <f ca="1">(VLOOKUP(D32,'SPC background (hide)'!$AG$2:$AN$54,8,0)/IF(Summary!$C$8&lt;&gt;"Patients",1,$I$9))*(1-$I$4)*(1-$I$5+($I$6*$I$7))</f>
        <v>2725.7536799999998</v>
      </c>
    </row>
    <row r="33" spans="1:24" x14ac:dyDescent="0.25">
      <c r="A33" s="87">
        <f t="shared" si="8"/>
        <v>44081</v>
      </c>
      <c r="B33" s="67" t="str">
        <f t="shared" si="0"/>
        <v/>
      </c>
      <c r="C33" s="67" t="str">
        <f t="shared" si="9"/>
        <v>Sep</v>
      </c>
      <c r="D33" s="67">
        <f t="shared" si="1"/>
        <v>37</v>
      </c>
      <c r="E33" s="5">
        <f ca="1">IF(LEFT(Demand!$C$8,1)="H",VLOOKUP($D33,'SPC background (hide)'!$AG$2:$AS$54,12,0),'Demand background (hide)'!X22)</f>
        <v>2442.5</v>
      </c>
      <c r="F33" s="5">
        <f ca="1">IF(LEFT(Demand!$C$8,1)="H",VLOOKUP($D33,'SPC background (hide)'!$AG$2:$AS$54,13,0),E33*1.1)</f>
        <v>4500.4999999999982</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4038.4615384615386</v>
      </c>
      <c r="J33" s="5">
        <f ca="1">HLOOKUP(D33,'Capacity calculation (hide)'!$BK$110:$DJ$111,2,0)</f>
        <v>0</v>
      </c>
      <c r="K33" s="5">
        <f ca="1">IF(I33-IF(Setup!$I$15="Yes",$G33,0)-IF(Setup!$I$13="Yes",$H33,0)&lt;0,0,I33-IF(Setup!$I$15="Yes",$G33,0)-IF(Setup!$I$13="Yes",$H33,0))</f>
        <v>4038.4615384615386</v>
      </c>
      <c r="L33" s="5">
        <f t="shared" ca="1" si="2"/>
        <v>0</v>
      </c>
      <c r="M33" s="5">
        <f ca="1">(IF('Demand adjustments for Covid'!$F$9="No",E33,SUM('Demand background (hide)'!DS22,'Demand background (hide)'!DV22:DW22))*(1-'Parameters calculator (hide)'!$B$43))*(1-'Parameters calculator (hide)'!$B$44+('Parameters calculator (hide)'!$B$45*'Parameters calculator (hide)'!$B$47))</f>
        <v>2443.354875</v>
      </c>
      <c r="N33" s="5">
        <f ca="1">(IF('Demand adjustments for Covid'!$F$9="No",F33,SUM('Demand background (hide)'!DT22,'Demand background (hide)'!DV22:DW22))*(1-'Parameters calculator (hide)'!$B$43))*(1-'Parameters calculator (hide)'!$B$44+('Parameters calculator (hide)'!$B$45*'Parameters calculator (hide)'!$B$47))</f>
        <v>4502.0751749999972</v>
      </c>
      <c r="P33" s="5">
        <f t="shared" ca="1" si="3"/>
        <v>4038.4615384615386</v>
      </c>
      <c r="Q33" s="5">
        <f t="shared" ca="1" si="4"/>
        <v>0</v>
      </c>
      <c r="R33" s="5">
        <f t="shared" ca="1" si="5"/>
        <v>4038.4615384615386</v>
      </c>
      <c r="S33" s="5">
        <f t="shared" ca="1" si="6"/>
        <v>0</v>
      </c>
      <c r="T33" s="5">
        <f ca="1">M33/IF(Summary!$C$8&lt;&gt;"Patients",1,$I$9)</f>
        <v>2443.354875</v>
      </c>
      <c r="U33" s="5">
        <f ca="1">((N33-M33)/IF(Summary!$C$8&lt;&gt;"Patients",1,$I$9))</f>
        <v>2058.7202999999972</v>
      </c>
      <c r="V33" s="5">
        <f t="shared" si="7"/>
        <v>0</v>
      </c>
      <c r="X33" s="5">
        <f ca="1">(VLOOKUP(D33,'SPC background (hide)'!$AG$2:$AN$54,8,0)/IF(Summary!$C$8&lt;&gt;"Patients",1,$I$9))*(1-$I$4)*(1-$I$5+($I$6*$I$7))</f>
        <v>2725.7536799999998</v>
      </c>
    </row>
    <row r="34" spans="1:24" x14ac:dyDescent="0.25">
      <c r="A34" s="87">
        <f t="shared" si="8"/>
        <v>44088</v>
      </c>
      <c r="B34" s="67" t="str">
        <f t="shared" si="0"/>
        <v/>
      </c>
      <c r="C34" s="67" t="str">
        <f t="shared" si="9"/>
        <v/>
      </c>
      <c r="D34" s="67">
        <f t="shared" si="1"/>
        <v>38</v>
      </c>
      <c r="E34" s="5">
        <f ca="1">IF(LEFT(Demand!$C$8,1)="H",VLOOKUP($D34,'SPC background (hide)'!$AG$2:$AS$54,12,0),'Demand background (hide)'!X23)</f>
        <v>2442.5</v>
      </c>
      <c r="F34" s="5">
        <f ca="1">IF(LEFT(Demand!$C$8,1)="H",VLOOKUP($D34,'SPC background (hide)'!$AG$2:$AS$54,13,0),E34*1.1)</f>
        <v>4500.4999999999982</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4038.4615384615386</v>
      </c>
      <c r="J34" s="5">
        <f ca="1">HLOOKUP(D34,'Capacity calculation (hide)'!$BK$110:$DJ$111,2,0)</f>
        <v>0</v>
      </c>
      <c r="K34" s="5">
        <f ca="1">IF(I34-IF(Setup!$I$15="Yes",$G34,0)-IF(Setup!$I$13="Yes",$H34,0)&lt;0,0,I34-IF(Setup!$I$15="Yes",$G34,0)-IF(Setup!$I$13="Yes",$H34,0))</f>
        <v>4038.4615384615386</v>
      </c>
      <c r="L34" s="5">
        <f t="shared" ca="1" si="2"/>
        <v>0</v>
      </c>
      <c r="M34" s="5">
        <f ca="1">(IF('Demand adjustments for Covid'!$F$9="No",E34,SUM('Demand background (hide)'!DS23,'Demand background (hide)'!DV23:DW23))*(1-'Parameters calculator (hide)'!$B$43))*(1-'Parameters calculator (hide)'!$B$44+('Parameters calculator (hide)'!$B$45*'Parameters calculator (hide)'!$B$47))</f>
        <v>2443.354875</v>
      </c>
      <c r="N34" s="5">
        <f ca="1">(IF('Demand adjustments for Covid'!$F$9="No",F34,SUM('Demand background (hide)'!DT23,'Demand background (hide)'!DV23:DW23))*(1-'Parameters calculator (hide)'!$B$43))*(1-'Parameters calculator (hide)'!$B$44+('Parameters calculator (hide)'!$B$45*'Parameters calculator (hide)'!$B$47))</f>
        <v>4502.0751749999972</v>
      </c>
      <c r="P34" s="5">
        <f t="shared" ca="1" si="3"/>
        <v>4038.4615384615386</v>
      </c>
      <c r="Q34" s="5">
        <f t="shared" ca="1" si="4"/>
        <v>0</v>
      </c>
      <c r="R34" s="5">
        <f t="shared" ca="1" si="5"/>
        <v>4038.4615384615386</v>
      </c>
      <c r="S34" s="5">
        <f t="shared" ca="1" si="6"/>
        <v>0</v>
      </c>
      <c r="T34" s="5">
        <f ca="1">M34/IF(Summary!$C$8&lt;&gt;"Patients",1,$I$9)</f>
        <v>2443.354875</v>
      </c>
      <c r="U34" s="5">
        <f ca="1">((N34-M34)/IF(Summary!$C$8&lt;&gt;"Patients",1,$I$9))</f>
        <v>2058.7202999999972</v>
      </c>
      <c r="V34" s="5">
        <f t="shared" si="7"/>
        <v>0</v>
      </c>
      <c r="X34" s="5">
        <f ca="1">(VLOOKUP(D34,'SPC background (hide)'!$AG$2:$AN$54,8,0)/IF(Summary!$C$8&lt;&gt;"Patients",1,$I$9))*(1-$I$4)*(1-$I$5+($I$6*$I$7))</f>
        <v>2725.7536799999998</v>
      </c>
    </row>
    <row r="35" spans="1:24" x14ac:dyDescent="0.25">
      <c r="A35" s="87">
        <f t="shared" si="8"/>
        <v>44095</v>
      </c>
      <c r="B35" s="67" t="str">
        <f t="shared" si="0"/>
        <v/>
      </c>
      <c r="C35" s="67" t="str">
        <f t="shared" si="9"/>
        <v/>
      </c>
      <c r="D35" s="67">
        <f t="shared" si="1"/>
        <v>39</v>
      </c>
      <c r="E35" s="5">
        <f ca="1">IF(LEFT(Demand!$C$8,1)="H",VLOOKUP($D35,'SPC background (hide)'!$AG$2:$AS$54,12,0),'Demand background (hide)'!X24)</f>
        <v>2442.5</v>
      </c>
      <c r="F35" s="5">
        <f ca="1">IF(LEFT(Demand!$C$8,1)="H",VLOOKUP($D35,'SPC background (hide)'!$AG$2:$AS$54,13,0),E35*1.1)</f>
        <v>4500.4999999999982</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4038.4615384615386</v>
      </c>
      <c r="J35" s="5">
        <f ca="1">HLOOKUP(D35,'Capacity calculation (hide)'!$BK$110:$DJ$111,2,0)</f>
        <v>0</v>
      </c>
      <c r="K35" s="5">
        <f ca="1">IF(I35-IF(Setup!$I$15="Yes",$G35,0)-IF(Setup!$I$13="Yes",$H35,0)&lt;0,0,I35-IF(Setup!$I$15="Yes",$G35,0)-IF(Setup!$I$13="Yes",$H35,0))</f>
        <v>4038.4615384615386</v>
      </c>
      <c r="L35" s="5">
        <f t="shared" ca="1" si="2"/>
        <v>0</v>
      </c>
      <c r="M35" s="5">
        <f ca="1">(IF('Demand adjustments for Covid'!$F$9="No",E35,SUM('Demand background (hide)'!DS24,'Demand background (hide)'!DV24:DW24))*(1-'Parameters calculator (hide)'!$B$43))*(1-'Parameters calculator (hide)'!$B$44+('Parameters calculator (hide)'!$B$45*'Parameters calculator (hide)'!$B$47))</f>
        <v>2443.354875</v>
      </c>
      <c r="N35" s="5">
        <f ca="1">(IF('Demand adjustments for Covid'!$F$9="No",F35,SUM('Demand background (hide)'!DT24,'Demand background (hide)'!DV24:DW24))*(1-'Parameters calculator (hide)'!$B$43))*(1-'Parameters calculator (hide)'!$B$44+('Parameters calculator (hide)'!$B$45*'Parameters calculator (hide)'!$B$47))</f>
        <v>4502.0751749999972</v>
      </c>
      <c r="P35" s="5">
        <f t="shared" ca="1" si="3"/>
        <v>4038.4615384615386</v>
      </c>
      <c r="Q35" s="5">
        <f t="shared" ca="1" si="4"/>
        <v>0</v>
      </c>
      <c r="R35" s="5">
        <f t="shared" ca="1" si="5"/>
        <v>4038.4615384615386</v>
      </c>
      <c r="S35" s="5">
        <f t="shared" ca="1" si="6"/>
        <v>0</v>
      </c>
      <c r="T35" s="5">
        <f ca="1">M35/IF(Summary!$C$8&lt;&gt;"Patients",1,$I$9)</f>
        <v>2443.354875</v>
      </c>
      <c r="U35" s="5">
        <f ca="1">((N35-M35)/IF(Summary!$C$8&lt;&gt;"Patients",1,$I$9))</f>
        <v>2058.7202999999972</v>
      </c>
      <c r="V35" s="5">
        <f t="shared" si="7"/>
        <v>0</v>
      </c>
      <c r="X35" s="5">
        <f ca="1">(VLOOKUP(D35,'SPC background (hide)'!$AG$2:$AN$54,8,0)/IF(Summary!$C$8&lt;&gt;"Patients",1,$I$9))*(1-$I$4)*(1-$I$5+($I$6*$I$7))</f>
        <v>2725.7536799999998</v>
      </c>
    </row>
    <row r="36" spans="1:24" x14ac:dyDescent="0.25">
      <c r="A36" s="87">
        <f t="shared" si="8"/>
        <v>44102</v>
      </c>
      <c r="B36" s="67" t="str">
        <f t="shared" si="0"/>
        <v/>
      </c>
      <c r="C36" s="67" t="str">
        <f t="shared" si="9"/>
        <v/>
      </c>
      <c r="D36" s="67">
        <f t="shared" si="1"/>
        <v>40</v>
      </c>
      <c r="E36" s="5">
        <f ca="1">IF(LEFT(Demand!$C$8,1)="H",VLOOKUP($D36,'SPC background (hide)'!$AG$2:$AS$54,12,0),'Demand background (hide)'!X25)</f>
        <v>2442.5</v>
      </c>
      <c r="F36" s="5">
        <f ca="1">IF(LEFT(Demand!$C$8,1)="H",VLOOKUP($D36,'SPC background (hide)'!$AG$2:$AS$54,13,0),E36*1.1)</f>
        <v>4500.4999999999982</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4038.4615384615386</v>
      </c>
      <c r="J36" s="5">
        <f ca="1">HLOOKUP(D36,'Capacity calculation (hide)'!$BK$110:$DJ$111,2,0)</f>
        <v>0</v>
      </c>
      <c r="K36" s="5">
        <f ca="1">IF(I36-IF(Setup!$I$15="Yes",$G36,0)-IF(Setup!$I$13="Yes",$H36,0)&lt;0,0,I36-IF(Setup!$I$15="Yes",$G36,0)-IF(Setup!$I$13="Yes",$H36,0))</f>
        <v>4038.4615384615386</v>
      </c>
      <c r="L36" s="5">
        <f t="shared" ca="1" si="2"/>
        <v>0</v>
      </c>
      <c r="M36" s="5">
        <f ca="1">(IF('Demand adjustments for Covid'!$F$9="No",E36,SUM('Demand background (hide)'!DS25,'Demand background (hide)'!DV25:DW25))*(1-'Parameters calculator (hide)'!$B$43))*(1-'Parameters calculator (hide)'!$B$44+('Parameters calculator (hide)'!$B$45*'Parameters calculator (hide)'!$B$47))</f>
        <v>2443.354875</v>
      </c>
      <c r="N36" s="5">
        <f ca="1">(IF('Demand adjustments for Covid'!$F$9="No",F36,SUM('Demand background (hide)'!DT25,'Demand background (hide)'!DV25:DW25))*(1-'Parameters calculator (hide)'!$B$43))*(1-'Parameters calculator (hide)'!$B$44+('Parameters calculator (hide)'!$B$45*'Parameters calculator (hide)'!$B$47))</f>
        <v>4502.0751749999972</v>
      </c>
      <c r="P36" s="5">
        <f t="shared" ca="1" si="3"/>
        <v>4038.4615384615386</v>
      </c>
      <c r="Q36" s="5">
        <f t="shared" ca="1" si="4"/>
        <v>0</v>
      </c>
      <c r="R36" s="5">
        <f t="shared" ca="1" si="5"/>
        <v>4038.4615384615386</v>
      </c>
      <c r="S36" s="5">
        <f t="shared" ca="1" si="6"/>
        <v>0</v>
      </c>
      <c r="T36" s="5">
        <f ca="1">M36/IF(Summary!$C$8&lt;&gt;"Patients",1,$I$9)</f>
        <v>2443.354875</v>
      </c>
      <c r="U36" s="5">
        <f ca="1">((N36-M36)/IF(Summary!$C$8&lt;&gt;"Patients",1,$I$9))</f>
        <v>2058.7202999999972</v>
      </c>
      <c r="V36" s="5">
        <f t="shared" si="7"/>
        <v>0</v>
      </c>
      <c r="X36" s="5">
        <f ca="1">(VLOOKUP(D36,'SPC background (hide)'!$AG$2:$AN$54,8,0)/IF(Summary!$C$8&lt;&gt;"Patients",1,$I$9))*(1-$I$4)*(1-$I$5+($I$6*$I$7))</f>
        <v>2725.7536799999998</v>
      </c>
    </row>
    <row r="37" spans="1:24" x14ac:dyDescent="0.25">
      <c r="A37" s="87">
        <f t="shared" si="8"/>
        <v>44109</v>
      </c>
      <c r="B37" s="67" t="str">
        <f t="shared" si="0"/>
        <v/>
      </c>
      <c r="C37" s="67" t="str">
        <f t="shared" si="9"/>
        <v>Oct</v>
      </c>
      <c r="D37" s="67">
        <f t="shared" si="1"/>
        <v>41</v>
      </c>
      <c r="E37" s="5">
        <f ca="1">IF(LEFT(Demand!$C$8,1)="H",VLOOKUP($D37,'SPC background (hide)'!$AG$2:$AS$54,12,0),'Demand background (hide)'!X26)</f>
        <v>2442.5</v>
      </c>
      <c r="F37" s="5">
        <f ca="1">IF(LEFT(Demand!$C$8,1)="H",VLOOKUP($D37,'SPC background (hide)'!$AG$2:$AS$54,13,0),E37*1.1)</f>
        <v>4500.4999999999982</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4038.4615384615386</v>
      </c>
      <c r="J37" s="5">
        <f ca="1">HLOOKUP(D37,'Capacity calculation (hide)'!$BK$110:$DJ$111,2,0)</f>
        <v>0</v>
      </c>
      <c r="K37" s="5">
        <f ca="1">IF(I37-IF(Setup!$I$15="Yes",$G37,0)-IF(Setup!$I$13="Yes",$H37,0)&lt;0,0,I37-IF(Setup!$I$15="Yes",$G37,0)-IF(Setup!$I$13="Yes",$H37,0))</f>
        <v>4038.4615384615386</v>
      </c>
      <c r="L37" s="5">
        <f t="shared" ca="1" si="2"/>
        <v>0</v>
      </c>
      <c r="M37" s="5">
        <f ca="1">(IF('Demand adjustments for Covid'!$F$9="No",E37,SUM('Demand background (hide)'!DS26,'Demand background (hide)'!DV26:DW26))*(1-'Parameters calculator (hide)'!$B$43))*(1-'Parameters calculator (hide)'!$B$44+('Parameters calculator (hide)'!$B$45*'Parameters calculator (hide)'!$B$47))</f>
        <v>2443.354875</v>
      </c>
      <c r="N37" s="5">
        <f ca="1">(IF('Demand adjustments for Covid'!$F$9="No",F37,SUM('Demand background (hide)'!DT26,'Demand background (hide)'!DV26:DW26))*(1-'Parameters calculator (hide)'!$B$43))*(1-'Parameters calculator (hide)'!$B$44+('Parameters calculator (hide)'!$B$45*'Parameters calculator (hide)'!$B$47))</f>
        <v>4502.0751749999972</v>
      </c>
      <c r="P37" s="5">
        <f t="shared" ca="1" si="3"/>
        <v>4038.4615384615386</v>
      </c>
      <c r="Q37" s="5">
        <f t="shared" ca="1" si="4"/>
        <v>0</v>
      </c>
      <c r="R37" s="5">
        <f t="shared" ca="1" si="5"/>
        <v>4038.4615384615386</v>
      </c>
      <c r="S37" s="5">
        <f t="shared" ca="1" si="6"/>
        <v>0</v>
      </c>
      <c r="T37" s="5">
        <f ca="1">M37/IF(Summary!$C$8&lt;&gt;"Patients",1,$I$9)</f>
        <v>2443.354875</v>
      </c>
      <c r="U37" s="5">
        <f ca="1">((N37-M37)/IF(Summary!$C$8&lt;&gt;"Patients",1,$I$9))</f>
        <v>2058.7202999999972</v>
      </c>
      <c r="V37" s="5">
        <f t="shared" si="7"/>
        <v>0</v>
      </c>
      <c r="X37" s="5">
        <f ca="1">(VLOOKUP(D37,'SPC background (hide)'!$AG$2:$AN$54,8,0)/IF(Summary!$C$8&lt;&gt;"Patients",1,$I$9))*(1-$I$4)*(1-$I$5+($I$6*$I$7))</f>
        <v>2725.7536799999998</v>
      </c>
    </row>
    <row r="38" spans="1:24" x14ac:dyDescent="0.25">
      <c r="A38" s="87">
        <f t="shared" si="8"/>
        <v>44116</v>
      </c>
      <c r="B38" s="67" t="str">
        <f t="shared" si="0"/>
        <v/>
      </c>
      <c r="C38" s="67" t="str">
        <f t="shared" si="9"/>
        <v/>
      </c>
      <c r="D38" s="67">
        <f t="shared" si="1"/>
        <v>42</v>
      </c>
      <c r="E38" s="5">
        <f ca="1">IF(LEFT(Demand!$C$8,1)="H",VLOOKUP($D38,'SPC background (hide)'!$AG$2:$AS$54,12,0),'Demand background (hide)'!X27)</f>
        <v>2442.5</v>
      </c>
      <c r="F38" s="5">
        <f ca="1">IF(LEFT(Demand!$C$8,1)="H",VLOOKUP($D38,'SPC background (hide)'!$AG$2:$AS$54,13,0),E38*1.1)</f>
        <v>4500.4999999999982</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4038.4615384615386</v>
      </c>
      <c r="J38" s="5">
        <f ca="1">HLOOKUP(D38,'Capacity calculation (hide)'!$BK$110:$DJ$111,2,0)</f>
        <v>0</v>
      </c>
      <c r="K38" s="5">
        <f ca="1">IF(I38-IF(Setup!$I$15="Yes",$G38,0)-IF(Setup!$I$13="Yes",$H38,0)&lt;0,0,I38-IF(Setup!$I$15="Yes",$G38,0)-IF(Setup!$I$13="Yes",$H38,0))</f>
        <v>4038.4615384615386</v>
      </c>
      <c r="L38" s="5">
        <f t="shared" ca="1" si="2"/>
        <v>0</v>
      </c>
      <c r="M38" s="5">
        <f ca="1">(IF('Demand adjustments for Covid'!$F$9="No",E38,SUM('Demand background (hide)'!DS27,'Demand background (hide)'!DV27:DW27))*(1-'Parameters calculator (hide)'!$B$43))*(1-'Parameters calculator (hide)'!$B$44+('Parameters calculator (hide)'!$B$45*'Parameters calculator (hide)'!$B$47))</f>
        <v>2443.354875</v>
      </c>
      <c r="N38" s="5">
        <f ca="1">(IF('Demand adjustments for Covid'!$F$9="No",F38,SUM('Demand background (hide)'!DT27,'Demand background (hide)'!DV27:DW27))*(1-'Parameters calculator (hide)'!$B$43))*(1-'Parameters calculator (hide)'!$B$44+('Parameters calculator (hide)'!$B$45*'Parameters calculator (hide)'!$B$47))</f>
        <v>4502.0751749999972</v>
      </c>
      <c r="P38" s="5">
        <f t="shared" ca="1" si="3"/>
        <v>4038.4615384615386</v>
      </c>
      <c r="Q38" s="5">
        <f t="shared" ca="1" si="4"/>
        <v>0</v>
      </c>
      <c r="R38" s="5">
        <f t="shared" ca="1" si="5"/>
        <v>4038.4615384615386</v>
      </c>
      <c r="S38" s="5">
        <f t="shared" ca="1" si="6"/>
        <v>0</v>
      </c>
      <c r="T38" s="5">
        <f ca="1">M38/IF(Summary!$C$8&lt;&gt;"Patients",1,$I$9)</f>
        <v>2443.354875</v>
      </c>
      <c r="U38" s="5">
        <f ca="1">((N38-M38)/IF(Summary!$C$8&lt;&gt;"Patients",1,$I$9))</f>
        <v>2058.7202999999972</v>
      </c>
      <c r="V38" s="5">
        <f t="shared" si="7"/>
        <v>0</v>
      </c>
      <c r="X38" s="5">
        <f ca="1">(VLOOKUP(D38,'SPC background (hide)'!$AG$2:$AN$54,8,0)/IF(Summary!$C$8&lt;&gt;"Patients",1,$I$9))*(1-$I$4)*(1-$I$5+($I$6*$I$7))</f>
        <v>2725.7536799999998</v>
      </c>
    </row>
    <row r="39" spans="1:24" x14ac:dyDescent="0.25">
      <c r="A39" s="87">
        <f t="shared" si="8"/>
        <v>44123</v>
      </c>
      <c r="B39" s="67" t="str">
        <f t="shared" si="0"/>
        <v/>
      </c>
      <c r="C39" s="67" t="str">
        <f t="shared" si="9"/>
        <v/>
      </c>
      <c r="D39" s="67">
        <f t="shared" si="1"/>
        <v>43</v>
      </c>
      <c r="E39" s="5">
        <f ca="1">IF(LEFT(Demand!$C$8,1)="H",VLOOKUP($D39,'SPC background (hide)'!$AG$2:$AS$54,12,0),'Demand background (hide)'!X28)</f>
        <v>2442.5</v>
      </c>
      <c r="F39" s="5">
        <f ca="1">IF(LEFT(Demand!$C$8,1)="H",VLOOKUP($D39,'SPC background (hide)'!$AG$2:$AS$54,13,0),E39*1.1)</f>
        <v>4500.4999999999982</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4038.4615384615386</v>
      </c>
      <c r="J39" s="5">
        <f ca="1">HLOOKUP(D39,'Capacity calculation (hide)'!$BK$110:$DJ$111,2,0)</f>
        <v>0</v>
      </c>
      <c r="K39" s="5">
        <f ca="1">IF(I39-IF(Setup!$I$15="Yes",$G39,0)-IF(Setup!$I$13="Yes",$H39,0)&lt;0,0,I39-IF(Setup!$I$15="Yes",$G39,0)-IF(Setup!$I$13="Yes",$H39,0))</f>
        <v>4038.4615384615386</v>
      </c>
      <c r="L39" s="5">
        <f t="shared" ca="1" si="2"/>
        <v>0</v>
      </c>
      <c r="M39" s="5">
        <f ca="1">(IF('Demand adjustments for Covid'!$F$9="No",E39,SUM('Demand background (hide)'!DS28,'Demand background (hide)'!DV28:DW28))*(1-'Parameters calculator (hide)'!$B$43))*(1-'Parameters calculator (hide)'!$B$44+('Parameters calculator (hide)'!$B$45*'Parameters calculator (hide)'!$B$47))</f>
        <v>2443.354875</v>
      </c>
      <c r="N39" s="5">
        <f ca="1">(IF('Demand adjustments for Covid'!$F$9="No",F39,SUM('Demand background (hide)'!DT28,'Demand background (hide)'!DV28:DW28))*(1-'Parameters calculator (hide)'!$B$43))*(1-'Parameters calculator (hide)'!$B$44+('Parameters calculator (hide)'!$B$45*'Parameters calculator (hide)'!$B$47))</f>
        <v>4502.0751749999972</v>
      </c>
      <c r="P39" s="5">
        <f t="shared" ca="1" si="3"/>
        <v>4038.4615384615386</v>
      </c>
      <c r="Q39" s="5">
        <f t="shared" ca="1" si="4"/>
        <v>0</v>
      </c>
      <c r="R39" s="5">
        <f t="shared" ca="1" si="5"/>
        <v>4038.4615384615386</v>
      </c>
      <c r="S39" s="5">
        <f t="shared" ca="1" si="6"/>
        <v>0</v>
      </c>
      <c r="T39" s="5">
        <f ca="1">M39/IF(Summary!$C$8&lt;&gt;"Patients",1,$I$9)</f>
        <v>2443.354875</v>
      </c>
      <c r="U39" s="5">
        <f ca="1">((N39-M39)/IF(Summary!$C$8&lt;&gt;"Patients",1,$I$9))</f>
        <v>2058.7202999999972</v>
      </c>
      <c r="V39" s="5">
        <f t="shared" si="7"/>
        <v>0</v>
      </c>
      <c r="X39" s="5">
        <f ca="1">(VLOOKUP(D39,'SPC background (hide)'!$AG$2:$AN$54,8,0)/IF(Summary!$C$8&lt;&gt;"Patients",1,$I$9))*(1-$I$4)*(1-$I$5+($I$6*$I$7))</f>
        <v>2725.7536799999998</v>
      </c>
    </row>
    <row r="40" spans="1:24" x14ac:dyDescent="0.25">
      <c r="A40" s="87">
        <f t="shared" si="8"/>
        <v>44130</v>
      </c>
      <c r="B40" s="67" t="str">
        <f t="shared" si="0"/>
        <v/>
      </c>
      <c r="C40" s="67" t="str">
        <f t="shared" si="9"/>
        <v/>
      </c>
      <c r="D40" s="67">
        <f t="shared" si="1"/>
        <v>44</v>
      </c>
      <c r="E40" s="5">
        <f ca="1">IF(LEFT(Demand!$C$8,1)="H",VLOOKUP($D40,'SPC background (hide)'!$AG$2:$AS$54,12,0),'Demand background (hide)'!X29)</f>
        <v>2442.5</v>
      </c>
      <c r="F40" s="5">
        <f ca="1">IF(LEFT(Demand!$C$8,1)="H",VLOOKUP($D40,'SPC background (hide)'!$AG$2:$AS$54,13,0),E40*1.1)</f>
        <v>4500.4999999999982</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4038.4615384615386</v>
      </c>
      <c r="J40" s="5">
        <f ca="1">HLOOKUP(D40,'Capacity calculation (hide)'!$BK$110:$DJ$111,2,0)</f>
        <v>0</v>
      </c>
      <c r="K40" s="5">
        <f ca="1">IF(I40-IF(Setup!$I$15="Yes",$G40,0)-IF(Setup!$I$13="Yes",$H40,0)&lt;0,0,I40-IF(Setup!$I$15="Yes",$G40,0)-IF(Setup!$I$13="Yes",$H40,0))</f>
        <v>4038.4615384615386</v>
      </c>
      <c r="L40" s="5">
        <f t="shared" ca="1" si="2"/>
        <v>0</v>
      </c>
      <c r="M40" s="5">
        <f ca="1">(IF('Demand adjustments for Covid'!$F$9="No",E40,SUM('Demand background (hide)'!DS29,'Demand background (hide)'!DV29:DW29))*(1-'Parameters calculator (hide)'!$B$43))*(1-'Parameters calculator (hide)'!$B$44+('Parameters calculator (hide)'!$B$45*'Parameters calculator (hide)'!$B$47))</f>
        <v>2443.354875</v>
      </c>
      <c r="N40" s="5">
        <f ca="1">(IF('Demand adjustments for Covid'!$F$9="No",F40,SUM('Demand background (hide)'!DT29,'Demand background (hide)'!DV29:DW29))*(1-'Parameters calculator (hide)'!$B$43))*(1-'Parameters calculator (hide)'!$B$44+('Parameters calculator (hide)'!$B$45*'Parameters calculator (hide)'!$B$47))</f>
        <v>4502.0751749999972</v>
      </c>
      <c r="P40" s="5">
        <f t="shared" ca="1" si="3"/>
        <v>4038.4615384615386</v>
      </c>
      <c r="Q40" s="5">
        <f t="shared" ca="1" si="4"/>
        <v>0</v>
      </c>
      <c r="R40" s="5">
        <f t="shared" ca="1" si="5"/>
        <v>4038.4615384615386</v>
      </c>
      <c r="S40" s="5">
        <f t="shared" ca="1" si="6"/>
        <v>0</v>
      </c>
      <c r="T40" s="5">
        <f ca="1">M40/IF(Summary!$C$8&lt;&gt;"Patients",1,$I$9)</f>
        <v>2443.354875</v>
      </c>
      <c r="U40" s="5">
        <f ca="1">((N40-M40)/IF(Summary!$C$8&lt;&gt;"Patients",1,$I$9))</f>
        <v>2058.7202999999972</v>
      </c>
      <c r="V40" s="5">
        <f t="shared" si="7"/>
        <v>0</v>
      </c>
      <c r="X40" s="5">
        <f ca="1">(VLOOKUP(D40,'SPC background (hide)'!$AG$2:$AN$54,8,0)/IF(Summary!$C$8&lt;&gt;"Patients",1,$I$9))*(1-$I$4)*(1-$I$5+($I$6*$I$7))</f>
        <v>2725.7536799999998</v>
      </c>
    </row>
    <row r="41" spans="1:24" x14ac:dyDescent="0.25">
      <c r="A41" s="87">
        <f t="shared" si="8"/>
        <v>44137</v>
      </c>
      <c r="B41" s="67" t="str">
        <f t="shared" si="0"/>
        <v/>
      </c>
      <c r="C41" s="67" t="str">
        <f t="shared" si="9"/>
        <v>Nov</v>
      </c>
      <c r="D41" s="67">
        <f t="shared" si="1"/>
        <v>45</v>
      </c>
      <c r="E41" s="5">
        <f ca="1">IF(LEFT(Demand!$C$8,1)="H",VLOOKUP($D41,'SPC background (hide)'!$AG$2:$AS$54,12,0),'Demand background (hide)'!X30)</f>
        <v>2442.5</v>
      </c>
      <c r="F41" s="5">
        <f ca="1">IF(LEFT(Demand!$C$8,1)="H",VLOOKUP($D41,'SPC background (hide)'!$AG$2:$AS$54,13,0),E41*1.1)</f>
        <v>4500.4999999999982</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4038.4615384615386</v>
      </c>
      <c r="J41" s="5">
        <f ca="1">HLOOKUP(D41,'Capacity calculation (hide)'!$BK$110:$DJ$111,2,0)</f>
        <v>0</v>
      </c>
      <c r="K41" s="5">
        <f ca="1">IF(I41-IF(Setup!$I$15="Yes",$G41,0)-IF(Setup!$I$13="Yes",$H41,0)&lt;0,0,I41-IF(Setup!$I$15="Yes",$G41,0)-IF(Setup!$I$13="Yes",$H41,0))</f>
        <v>4038.4615384615386</v>
      </c>
      <c r="L41" s="5">
        <f t="shared" ca="1" si="2"/>
        <v>0</v>
      </c>
      <c r="M41" s="5">
        <f ca="1">(IF('Demand adjustments for Covid'!$F$9="No",E41,SUM('Demand background (hide)'!DS30,'Demand background (hide)'!DV30:DW30))*(1-'Parameters calculator (hide)'!$B$43))*(1-'Parameters calculator (hide)'!$B$44+('Parameters calculator (hide)'!$B$45*'Parameters calculator (hide)'!$B$47))</f>
        <v>2443.354875</v>
      </c>
      <c r="N41" s="5">
        <f ca="1">(IF('Demand adjustments for Covid'!$F$9="No",F41,SUM('Demand background (hide)'!DT30,'Demand background (hide)'!DV30:DW30))*(1-'Parameters calculator (hide)'!$B$43))*(1-'Parameters calculator (hide)'!$B$44+('Parameters calculator (hide)'!$B$45*'Parameters calculator (hide)'!$B$47))</f>
        <v>4502.0751749999972</v>
      </c>
      <c r="P41" s="5">
        <f t="shared" ca="1" si="3"/>
        <v>4038.4615384615386</v>
      </c>
      <c r="Q41" s="5">
        <f t="shared" ca="1" si="4"/>
        <v>0</v>
      </c>
      <c r="R41" s="5">
        <f t="shared" ca="1" si="5"/>
        <v>4038.4615384615386</v>
      </c>
      <c r="S41" s="5">
        <f t="shared" ca="1" si="6"/>
        <v>0</v>
      </c>
      <c r="T41" s="5">
        <f ca="1">M41/IF(Summary!$C$8&lt;&gt;"Patients",1,$I$9)</f>
        <v>2443.354875</v>
      </c>
      <c r="U41" s="5">
        <f ca="1">((N41-M41)/IF(Summary!$C$8&lt;&gt;"Patients",1,$I$9))</f>
        <v>2058.7202999999972</v>
      </c>
      <c r="V41" s="5">
        <f t="shared" si="7"/>
        <v>0</v>
      </c>
      <c r="X41" s="5">
        <f ca="1">(VLOOKUP(D41,'SPC background (hide)'!$AG$2:$AN$54,8,0)/IF(Summary!$C$8&lt;&gt;"Patients",1,$I$9))*(1-$I$4)*(1-$I$5+($I$6*$I$7))</f>
        <v>2725.7536799999998</v>
      </c>
    </row>
    <row r="42" spans="1:24" x14ac:dyDescent="0.25">
      <c r="A42" s="87">
        <f t="shared" si="8"/>
        <v>44144</v>
      </c>
      <c r="B42" s="67" t="str">
        <f t="shared" si="0"/>
        <v/>
      </c>
      <c r="C42" s="67" t="str">
        <f t="shared" si="9"/>
        <v/>
      </c>
      <c r="D42" s="67">
        <f t="shared" si="1"/>
        <v>46</v>
      </c>
      <c r="E42" s="5">
        <f ca="1">IF(LEFT(Demand!$C$8,1)="H",VLOOKUP($D42,'SPC background (hide)'!$AG$2:$AS$54,12,0),'Demand background (hide)'!X31)</f>
        <v>2442.5</v>
      </c>
      <c r="F42" s="5">
        <f ca="1">IF(LEFT(Demand!$C$8,1)="H",VLOOKUP($D42,'SPC background (hide)'!$AG$2:$AS$54,13,0),E42*1.1)</f>
        <v>4500.4999999999982</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4038.4615384615386</v>
      </c>
      <c r="J42" s="5">
        <f ca="1">HLOOKUP(D42,'Capacity calculation (hide)'!$BK$110:$DJ$111,2,0)</f>
        <v>0</v>
      </c>
      <c r="K42" s="5">
        <f ca="1">IF(I42-IF(Setup!$I$15="Yes",$G42,0)-IF(Setup!$I$13="Yes",$H42,0)&lt;0,0,I42-IF(Setup!$I$15="Yes",$G42,0)-IF(Setup!$I$13="Yes",$H42,0))</f>
        <v>4038.4615384615386</v>
      </c>
      <c r="L42" s="5">
        <f t="shared" ca="1" si="2"/>
        <v>0</v>
      </c>
      <c r="M42" s="5">
        <f ca="1">(IF('Demand adjustments for Covid'!$F$9="No",E42,SUM('Demand background (hide)'!DS31,'Demand background (hide)'!DV31:DW31))*(1-'Parameters calculator (hide)'!$B$43))*(1-'Parameters calculator (hide)'!$B$44+('Parameters calculator (hide)'!$B$45*'Parameters calculator (hide)'!$B$47))</f>
        <v>2443.354875</v>
      </c>
      <c r="N42" s="5">
        <f ca="1">(IF('Demand adjustments for Covid'!$F$9="No",F42,SUM('Demand background (hide)'!DT31,'Demand background (hide)'!DV31:DW31))*(1-'Parameters calculator (hide)'!$B$43))*(1-'Parameters calculator (hide)'!$B$44+('Parameters calculator (hide)'!$B$45*'Parameters calculator (hide)'!$B$47))</f>
        <v>4502.0751749999972</v>
      </c>
      <c r="P42" s="5">
        <f t="shared" ca="1" si="3"/>
        <v>4038.4615384615386</v>
      </c>
      <c r="Q42" s="5">
        <f t="shared" ca="1" si="4"/>
        <v>0</v>
      </c>
      <c r="R42" s="5">
        <f t="shared" ca="1" si="5"/>
        <v>4038.4615384615386</v>
      </c>
      <c r="S42" s="5">
        <f t="shared" ca="1" si="6"/>
        <v>0</v>
      </c>
      <c r="T42" s="5">
        <f ca="1">M42/IF(Summary!$C$8&lt;&gt;"Patients",1,$I$9)</f>
        <v>2443.354875</v>
      </c>
      <c r="U42" s="5">
        <f ca="1">((N42-M42)/IF(Summary!$C$8&lt;&gt;"Patients",1,$I$9))</f>
        <v>2058.7202999999972</v>
      </c>
      <c r="V42" s="5">
        <f t="shared" si="7"/>
        <v>0</v>
      </c>
      <c r="X42" s="5">
        <f ca="1">(VLOOKUP(D42,'SPC background (hide)'!$AG$2:$AN$54,8,0)/IF(Summary!$C$8&lt;&gt;"Patients",1,$I$9))*(1-$I$4)*(1-$I$5+($I$6*$I$7))</f>
        <v>2725.7536799999998</v>
      </c>
    </row>
    <row r="43" spans="1:24" x14ac:dyDescent="0.25">
      <c r="A43" s="87">
        <f t="shared" si="8"/>
        <v>44151</v>
      </c>
      <c r="B43" s="67" t="str">
        <f t="shared" si="0"/>
        <v/>
      </c>
      <c r="C43" s="67" t="str">
        <f t="shared" si="9"/>
        <v/>
      </c>
      <c r="D43" s="67">
        <f t="shared" si="1"/>
        <v>47</v>
      </c>
      <c r="E43" s="5">
        <f ca="1">IF(LEFT(Demand!$C$8,1)="H",VLOOKUP($D43,'SPC background (hide)'!$AG$2:$AS$54,12,0),'Demand background (hide)'!X32)</f>
        <v>2442.5</v>
      </c>
      <c r="F43" s="5">
        <f ca="1">IF(LEFT(Demand!$C$8,1)="H",VLOOKUP($D43,'SPC background (hide)'!$AG$2:$AS$54,13,0),E43*1.1)</f>
        <v>4500.4999999999982</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4038.4615384615386</v>
      </c>
      <c r="J43" s="5">
        <f ca="1">HLOOKUP(D43,'Capacity calculation (hide)'!$BK$110:$DJ$111,2,0)</f>
        <v>0</v>
      </c>
      <c r="K43" s="5">
        <f ca="1">IF(I43-IF(Setup!$I$15="Yes",$G43,0)-IF(Setup!$I$13="Yes",$H43,0)&lt;0,0,I43-IF(Setup!$I$15="Yes",$G43,0)-IF(Setup!$I$13="Yes",$H43,0))</f>
        <v>4038.4615384615386</v>
      </c>
      <c r="L43" s="5">
        <f t="shared" ca="1" si="2"/>
        <v>0</v>
      </c>
      <c r="M43" s="5">
        <f ca="1">(IF('Demand adjustments for Covid'!$F$9="No",E43,SUM('Demand background (hide)'!DS32,'Demand background (hide)'!DV32:DW32))*(1-'Parameters calculator (hide)'!$B$43))*(1-'Parameters calculator (hide)'!$B$44+('Parameters calculator (hide)'!$B$45*'Parameters calculator (hide)'!$B$47))</f>
        <v>2443.354875</v>
      </c>
      <c r="N43" s="5">
        <f ca="1">(IF('Demand adjustments for Covid'!$F$9="No",F43,SUM('Demand background (hide)'!DT32,'Demand background (hide)'!DV32:DW32))*(1-'Parameters calculator (hide)'!$B$43))*(1-'Parameters calculator (hide)'!$B$44+('Parameters calculator (hide)'!$B$45*'Parameters calculator (hide)'!$B$47))</f>
        <v>4502.0751749999972</v>
      </c>
      <c r="P43" s="5">
        <f t="shared" ca="1" si="3"/>
        <v>4038.4615384615386</v>
      </c>
      <c r="Q43" s="5">
        <f t="shared" ca="1" si="4"/>
        <v>0</v>
      </c>
      <c r="R43" s="5">
        <f t="shared" ca="1" si="5"/>
        <v>4038.4615384615386</v>
      </c>
      <c r="S43" s="5">
        <f t="shared" ca="1" si="6"/>
        <v>0</v>
      </c>
      <c r="T43" s="5">
        <f ca="1">M43/IF(Summary!$C$8&lt;&gt;"Patients",1,$I$9)</f>
        <v>2443.354875</v>
      </c>
      <c r="U43" s="5">
        <f ca="1">((N43-M43)/IF(Summary!$C$8&lt;&gt;"Patients",1,$I$9))</f>
        <v>2058.7202999999972</v>
      </c>
      <c r="V43" s="5">
        <f t="shared" si="7"/>
        <v>0</v>
      </c>
      <c r="X43" s="5">
        <f ca="1">(VLOOKUP(D43,'SPC background (hide)'!$AG$2:$AN$54,8,0)/IF(Summary!$C$8&lt;&gt;"Patients",1,$I$9))*(1-$I$4)*(1-$I$5+($I$6*$I$7))</f>
        <v>2725.7536799999998</v>
      </c>
    </row>
    <row r="44" spans="1:24" x14ac:dyDescent="0.25">
      <c r="A44" s="87">
        <f t="shared" si="8"/>
        <v>44158</v>
      </c>
      <c r="B44" s="67" t="str">
        <f t="shared" si="0"/>
        <v/>
      </c>
      <c r="C44" s="67" t="str">
        <f t="shared" si="9"/>
        <v/>
      </c>
      <c r="D44" s="67">
        <f t="shared" si="1"/>
        <v>48</v>
      </c>
      <c r="E44" s="5">
        <f ca="1">IF(LEFT(Demand!$C$8,1)="H",VLOOKUP($D44,'SPC background (hide)'!$AG$2:$AS$54,12,0),'Demand background (hide)'!X33)</f>
        <v>2442.5</v>
      </c>
      <c r="F44" s="5">
        <f ca="1">IF(LEFT(Demand!$C$8,1)="H",VLOOKUP($D44,'SPC background (hide)'!$AG$2:$AS$54,13,0),E44*1.1)</f>
        <v>4500.4999999999982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4038.4615384615386</v>
      </c>
      <c r="J44" s="5">
        <f ca="1">HLOOKUP(D44,'Capacity calculation (hide)'!$BK$110:$DJ$111,2,0)</f>
        <v>0</v>
      </c>
      <c r="K44" s="5">
        <f ca="1">IF(I44-IF(Setup!$I$15="Yes",$G44,0)-IF(Setup!$I$13="Yes",$H44,0)&lt;0,0,I44-IF(Setup!$I$15="Yes",$G44,0)-IF(Setup!$I$13="Yes",$H44,0))</f>
        <v>4038.4615384615386</v>
      </c>
      <c r="L44" s="5">
        <f t="shared" ca="1" si="2"/>
        <v>0</v>
      </c>
      <c r="M44" s="5">
        <f ca="1">(IF('Demand adjustments for Covid'!$F$9="No",E44,SUM('Demand background (hide)'!DS33,'Demand background (hide)'!DV33:DW33))*(1-'Parameters calculator (hide)'!$B$43))*(1-'Parameters calculator (hide)'!$B$44+('Parameters calculator (hide)'!$B$45*'Parameters calculator (hide)'!$B$47))</f>
        <v>2443.354875</v>
      </c>
      <c r="N44" s="5">
        <f ca="1">(IF('Demand adjustments for Covid'!$F$9="No",F44,SUM('Demand background (hide)'!DT33,'Demand background (hide)'!DV33:DW33))*(1-'Parameters calculator (hide)'!$B$43))*(1-'Parameters calculator (hide)'!$B$44+('Parameters calculator (hide)'!$B$45*'Parameters calculator (hide)'!$B$47))</f>
        <v>4502.0751749999972</v>
      </c>
      <c r="P44" s="5">
        <f t="shared" ca="1" si="3"/>
        <v>4038.4615384615386</v>
      </c>
      <c r="Q44" s="5">
        <f t="shared" ca="1" si="4"/>
        <v>0</v>
      </c>
      <c r="R44" s="5">
        <f t="shared" ca="1" si="5"/>
        <v>4038.4615384615386</v>
      </c>
      <c r="S44" s="5">
        <f t="shared" ca="1" si="6"/>
        <v>0</v>
      </c>
      <c r="T44" s="5">
        <f ca="1">M44/IF(Summary!$C$8&lt;&gt;"Patients",1,$I$9)</f>
        <v>2443.354875</v>
      </c>
      <c r="U44" s="5">
        <f ca="1">((N44-M44)/IF(Summary!$C$8&lt;&gt;"Patients",1,$I$9))</f>
        <v>2058.7202999999972</v>
      </c>
      <c r="V44" s="5">
        <f t="shared" si="7"/>
        <v>0</v>
      </c>
      <c r="X44" s="5">
        <f ca="1">(VLOOKUP(D44,'SPC background (hide)'!$AG$2:$AN$54,8,0)/IF(Summary!$C$8&lt;&gt;"Patients",1,$I$9))*(1-$I$4)*(1-$I$5+($I$6*$I$7))</f>
        <v>2725.7536799999998</v>
      </c>
    </row>
    <row r="45" spans="1:24" x14ac:dyDescent="0.25">
      <c r="A45" s="87">
        <f t="shared" si="8"/>
        <v>44165</v>
      </c>
      <c r="B45" s="67" t="str">
        <f t="shared" si="0"/>
        <v/>
      </c>
      <c r="C45" s="67" t="str">
        <f t="shared" si="9"/>
        <v/>
      </c>
      <c r="D45" s="67">
        <f t="shared" si="1"/>
        <v>49</v>
      </c>
      <c r="E45" s="5">
        <f ca="1">IF(LEFT(Demand!$C$8,1)="H",VLOOKUP($D45,'SPC background (hide)'!$AG$2:$AS$54,12,0),'Demand background (hide)'!X34)</f>
        <v>2442.5</v>
      </c>
      <c r="F45" s="5">
        <f ca="1">IF(LEFT(Demand!$C$8,1)="H",VLOOKUP($D45,'SPC background (hide)'!$AG$2:$AS$54,13,0),E45*1.1)</f>
        <v>4500.4999999999982</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4038.4615384615386</v>
      </c>
      <c r="J45" s="5">
        <f ca="1">HLOOKUP(D45,'Capacity calculation (hide)'!$BK$110:$DJ$111,2,0)</f>
        <v>0</v>
      </c>
      <c r="K45" s="5">
        <f ca="1">IF(I45-IF(Setup!$I$15="Yes",$G45,0)-IF(Setup!$I$13="Yes",$H45,0)&lt;0,0,I45-IF(Setup!$I$15="Yes",$G45,0)-IF(Setup!$I$13="Yes",$H45,0))</f>
        <v>4038.4615384615386</v>
      </c>
      <c r="L45" s="5">
        <f t="shared" ca="1" si="2"/>
        <v>0</v>
      </c>
      <c r="M45" s="5">
        <f ca="1">(IF('Demand adjustments for Covid'!$F$9="No",E45,SUM('Demand background (hide)'!DS34,'Demand background (hide)'!DV34:DW34))*(1-'Parameters calculator (hide)'!$B$43))*(1-'Parameters calculator (hide)'!$B$44+('Parameters calculator (hide)'!$B$45*'Parameters calculator (hide)'!$B$47))</f>
        <v>2443.354875</v>
      </c>
      <c r="N45" s="5">
        <f ca="1">(IF('Demand adjustments for Covid'!$F$9="No",F45,SUM('Demand background (hide)'!DT34,'Demand background (hide)'!DV34:DW34))*(1-'Parameters calculator (hide)'!$B$43))*(1-'Parameters calculator (hide)'!$B$44+('Parameters calculator (hide)'!$B$45*'Parameters calculator (hide)'!$B$47))</f>
        <v>4502.0751749999972</v>
      </c>
      <c r="P45" s="5">
        <f t="shared" ca="1" si="3"/>
        <v>4038.4615384615386</v>
      </c>
      <c r="Q45" s="5">
        <f t="shared" ca="1" si="4"/>
        <v>0</v>
      </c>
      <c r="R45" s="5">
        <f t="shared" ca="1" si="5"/>
        <v>4038.4615384615386</v>
      </c>
      <c r="S45" s="5">
        <f t="shared" ca="1" si="6"/>
        <v>0</v>
      </c>
      <c r="T45" s="5">
        <f ca="1">M45/IF(Summary!$C$8&lt;&gt;"Patients",1,$I$9)</f>
        <v>2443.354875</v>
      </c>
      <c r="U45" s="5">
        <f ca="1">((N45-M45)/IF(Summary!$C$8&lt;&gt;"Patients",1,$I$9))</f>
        <v>2058.7202999999972</v>
      </c>
      <c r="V45" s="5">
        <f t="shared" si="7"/>
        <v>0</v>
      </c>
      <c r="X45" s="5">
        <f ca="1">(VLOOKUP(D45,'SPC background (hide)'!$AG$2:$AN$54,8,0)/IF(Summary!$C$8&lt;&gt;"Patients",1,$I$9))*(1-$I$4)*(1-$I$5+($I$6*$I$7))</f>
        <v>2725.7536799999998</v>
      </c>
    </row>
    <row r="46" spans="1:24" x14ac:dyDescent="0.25">
      <c r="A46" s="87">
        <f t="shared" si="8"/>
        <v>44172</v>
      </c>
      <c r="B46" s="67" t="str">
        <f t="shared" si="0"/>
        <v/>
      </c>
      <c r="C46" s="67" t="str">
        <f t="shared" si="9"/>
        <v>Dec</v>
      </c>
      <c r="D46" s="67">
        <f t="shared" si="1"/>
        <v>50</v>
      </c>
      <c r="E46" s="5">
        <f ca="1">IF(LEFT(Demand!$C$8,1)="H",VLOOKUP($D46,'SPC background (hide)'!$AG$2:$AS$54,12,0),'Demand background (hide)'!X35)</f>
        <v>2442.5</v>
      </c>
      <c r="F46" s="5">
        <f ca="1">IF(LEFT(Demand!$C$8,1)="H",VLOOKUP($D46,'SPC background (hide)'!$AG$2:$AS$54,13,0),E46*1.1)</f>
        <v>4500.4999999999982</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4038.4615384615386</v>
      </c>
      <c r="J46" s="5">
        <f ca="1">HLOOKUP(D46,'Capacity calculation (hide)'!$BK$110:$DJ$111,2,0)</f>
        <v>0</v>
      </c>
      <c r="K46" s="5">
        <f ca="1">IF(I46-IF(Setup!$I$15="Yes",$G46,0)-IF(Setup!$I$13="Yes",$H46,0)&lt;0,0,I46-IF(Setup!$I$15="Yes",$G46,0)-IF(Setup!$I$13="Yes",$H46,0))</f>
        <v>4038.4615384615386</v>
      </c>
      <c r="L46" s="5">
        <f t="shared" ca="1" si="2"/>
        <v>0</v>
      </c>
      <c r="M46" s="5">
        <f ca="1">(IF('Demand adjustments for Covid'!$F$9="No",E46,SUM('Demand background (hide)'!DS35,'Demand background (hide)'!DV35:DW35))*(1-'Parameters calculator (hide)'!$B$43))*(1-'Parameters calculator (hide)'!$B$44+('Parameters calculator (hide)'!$B$45*'Parameters calculator (hide)'!$B$47))</f>
        <v>2443.354875</v>
      </c>
      <c r="N46" s="5">
        <f ca="1">(IF('Demand adjustments for Covid'!$F$9="No",F46,SUM('Demand background (hide)'!DT35,'Demand background (hide)'!DV35:DW35))*(1-'Parameters calculator (hide)'!$B$43))*(1-'Parameters calculator (hide)'!$B$44+('Parameters calculator (hide)'!$B$45*'Parameters calculator (hide)'!$B$47))</f>
        <v>4502.0751749999972</v>
      </c>
      <c r="P46" s="5">
        <f t="shared" ca="1" si="3"/>
        <v>4038.4615384615386</v>
      </c>
      <c r="Q46" s="5">
        <f t="shared" ca="1" si="4"/>
        <v>0</v>
      </c>
      <c r="R46" s="5">
        <f t="shared" ca="1" si="5"/>
        <v>4038.4615384615386</v>
      </c>
      <c r="S46" s="5">
        <f t="shared" ca="1" si="6"/>
        <v>0</v>
      </c>
      <c r="T46" s="5">
        <f ca="1">M46/IF(Summary!$C$8&lt;&gt;"Patients",1,$I$9)</f>
        <v>2443.354875</v>
      </c>
      <c r="U46" s="5">
        <f ca="1">((N46-M46)/IF(Summary!$C$8&lt;&gt;"Patients",1,$I$9))</f>
        <v>2058.7202999999972</v>
      </c>
      <c r="V46" s="5">
        <f t="shared" si="7"/>
        <v>0</v>
      </c>
      <c r="X46" s="5">
        <f ca="1">(VLOOKUP(D46,'SPC background (hide)'!$AG$2:$AN$54,8,0)/IF(Summary!$C$8&lt;&gt;"Patients",1,$I$9))*(1-$I$4)*(1-$I$5+($I$6*$I$7))</f>
        <v>2725.7536799999998</v>
      </c>
    </row>
    <row r="47" spans="1:24" x14ac:dyDescent="0.25">
      <c r="A47" s="87">
        <f t="shared" si="8"/>
        <v>44179</v>
      </c>
      <c r="B47" s="67" t="str">
        <f t="shared" si="0"/>
        <v/>
      </c>
      <c r="C47" s="67" t="str">
        <f t="shared" si="9"/>
        <v/>
      </c>
      <c r="D47" s="67">
        <f t="shared" si="1"/>
        <v>51</v>
      </c>
      <c r="E47" s="5">
        <f ca="1">IF(LEFT(Demand!$C$8,1)="H",VLOOKUP($D47,'SPC background (hide)'!$AG$2:$AS$54,12,0),'Demand background (hide)'!X36)</f>
        <v>2442.5</v>
      </c>
      <c r="F47" s="5">
        <f ca="1">IF(LEFT(Demand!$C$8,1)="H",VLOOKUP($D47,'SPC background (hide)'!$AG$2:$AS$54,13,0),E47*1.1)</f>
        <v>4500.4999999999982</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4038.4615384615386</v>
      </c>
      <c r="J47" s="5">
        <f ca="1">HLOOKUP(D47,'Capacity calculation (hide)'!$BK$110:$DJ$111,2,0)</f>
        <v>0</v>
      </c>
      <c r="K47" s="5">
        <f ca="1">IF(I47-IF(Setup!$I$15="Yes",$G47,0)-IF(Setup!$I$13="Yes",$H47,0)&lt;0,0,I47-IF(Setup!$I$15="Yes",$G47,0)-IF(Setup!$I$13="Yes",$H47,0))</f>
        <v>4038.4615384615386</v>
      </c>
      <c r="L47" s="5">
        <f t="shared" ca="1" si="2"/>
        <v>0</v>
      </c>
      <c r="M47" s="5">
        <f ca="1">(IF('Demand adjustments for Covid'!$F$9="No",E47,SUM('Demand background (hide)'!DS36,'Demand background (hide)'!DV36:DW36))*(1-'Parameters calculator (hide)'!$B$43))*(1-'Parameters calculator (hide)'!$B$44+('Parameters calculator (hide)'!$B$45*'Parameters calculator (hide)'!$B$47))</f>
        <v>2443.354875</v>
      </c>
      <c r="N47" s="5">
        <f ca="1">(IF('Demand adjustments for Covid'!$F$9="No",F47,SUM('Demand background (hide)'!DT36,'Demand background (hide)'!DV36:DW36))*(1-'Parameters calculator (hide)'!$B$43))*(1-'Parameters calculator (hide)'!$B$44+('Parameters calculator (hide)'!$B$45*'Parameters calculator (hide)'!$B$47))</f>
        <v>4502.0751749999972</v>
      </c>
      <c r="P47" s="5">
        <f t="shared" ca="1" si="3"/>
        <v>4038.4615384615386</v>
      </c>
      <c r="Q47" s="5">
        <f t="shared" ca="1" si="4"/>
        <v>0</v>
      </c>
      <c r="R47" s="5">
        <f t="shared" ca="1" si="5"/>
        <v>4038.4615384615386</v>
      </c>
      <c r="S47" s="5">
        <f t="shared" ca="1" si="6"/>
        <v>0</v>
      </c>
      <c r="T47" s="5">
        <f ca="1">M47/IF(Summary!$C$8&lt;&gt;"Patients",1,$I$9)</f>
        <v>2443.354875</v>
      </c>
      <c r="U47" s="5">
        <f ca="1">((N47-M47)/IF(Summary!$C$8&lt;&gt;"Patients",1,$I$9))</f>
        <v>2058.7202999999972</v>
      </c>
      <c r="V47" s="5">
        <f t="shared" si="7"/>
        <v>0</v>
      </c>
      <c r="X47" s="5">
        <f ca="1">(VLOOKUP(D47,'SPC background (hide)'!$AG$2:$AN$54,8,0)/IF(Summary!$C$8&lt;&gt;"Patients",1,$I$9))*(1-$I$4)*(1-$I$5+($I$6*$I$7))</f>
        <v>2725.7536799999998</v>
      </c>
    </row>
    <row r="48" spans="1:24" x14ac:dyDescent="0.25">
      <c r="A48" s="87">
        <f t="shared" si="8"/>
        <v>44186</v>
      </c>
      <c r="B48" s="67" t="str">
        <f t="shared" ref="B48:B66" si="10">IF(YEAR(A48)&lt;&gt;YEAR(A47),YEAR(A48),"")</f>
        <v/>
      </c>
      <c r="C48" s="67" t="str">
        <f t="shared" si="9"/>
        <v/>
      </c>
      <c r="D48" s="67">
        <f t="shared" si="1"/>
        <v>52</v>
      </c>
      <c r="E48" s="5">
        <f ca="1">IF(LEFT(Demand!$C$8,1)="H",VLOOKUP($D48,'SPC background (hide)'!$AG$2:$AS$54,12,0),'Demand background (hide)'!X37)</f>
        <v>2442.5</v>
      </c>
      <c r="F48" s="5">
        <f ca="1">IF(LEFT(Demand!$C$8,1)="H",VLOOKUP($D48,'SPC background (hide)'!$AG$2:$AS$54,13,0),E48*1.1)</f>
        <v>4500.4999999999982</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4038.4615384615386</v>
      </c>
      <c r="J48" s="5">
        <f ca="1">HLOOKUP(D48,'Capacity calculation (hide)'!$BK$110:$DJ$111,2,0)</f>
        <v>0</v>
      </c>
      <c r="K48" s="5">
        <f ca="1">IF(I48-IF(Setup!$I$15="Yes",$G48,0)-IF(Setup!$I$13="Yes",$H48,0)&lt;0,0,I48-IF(Setup!$I$15="Yes",$G48,0)-IF(Setup!$I$13="Yes",$H48,0))</f>
        <v>4038.4615384615386</v>
      </c>
      <c r="L48" s="5">
        <f t="shared" ca="1" si="2"/>
        <v>0</v>
      </c>
      <c r="M48" s="5">
        <f ca="1">(IF('Demand adjustments for Covid'!$F$9="No",E48,SUM('Demand background (hide)'!DS37,'Demand background (hide)'!DV37:DW37))*(1-'Parameters calculator (hide)'!$B$43))*(1-'Parameters calculator (hide)'!$B$44+('Parameters calculator (hide)'!$B$45*'Parameters calculator (hide)'!$B$47))</f>
        <v>2443.354875</v>
      </c>
      <c r="N48" s="5">
        <f ca="1">(IF('Demand adjustments for Covid'!$F$9="No",F48,SUM('Demand background (hide)'!DT37,'Demand background (hide)'!DV37:DW37))*(1-'Parameters calculator (hide)'!$B$43))*(1-'Parameters calculator (hide)'!$B$44+('Parameters calculator (hide)'!$B$45*'Parameters calculator (hide)'!$B$47))</f>
        <v>4502.0751749999972</v>
      </c>
      <c r="P48" s="5">
        <f t="shared" ca="1" si="3"/>
        <v>4038.4615384615386</v>
      </c>
      <c r="Q48" s="5">
        <f t="shared" ca="1" si="4"/>
        <v>0</v>
      </c>
      <c r="R48" s="5">
        <f t="shared" ca="1" si="5"/>
        <v>4038.4615384615386</v>
      </c>
      <c r="S48" s="5">
        <f t="shared" ca="1" si="6"/>
        <v>0</v>
      </c>
      <c r="T48" s="5">
        <f ca="1">M48/IF(Summary!$C$8&lt;&gt;"Patients",1,$I$9)</f>
        <v>2443.354875</v>
      </c>
      <c r="U48" s="5">
        <f ca="1">((N48-M48)/IF(Summary!$C$8&lt;&gt;"Patients",1,$I$9))</f>
        <v>2058.7202999999972</v>
      </c>
      <c r="V48" s="5">
        <f t="shared" si="7"/>
        <v>0</v>
      </c>
      <c r="X48" s="5">
        <f ca="1">(VLOOKUP(D48,'SPC background (hide)'!$AG$2:$AN$54,8,0)/IF(Summary!$C$8&lt;&gt;"Patients",1,$I$9))*(1-$I$4)*(1-$I$5+($I$6*$I$7))</f>
        <v>2725.7536799999998</v>
      </c>
    </row>
    <row r="49" spans="1:24" x14ac:dyDescent="0.25">
      <c r="A49" s="87">
        <f t="shared" si="8"/>
        <v>44193</v>
      </c>
      <c r="B49" s="67" t="str">
        <f t="shared" si="10"/>
        <v/>
      </c>
      <c r="C49" s="67" t="str">
        <f t="shared" si="9"/>
        <v/>
      </c>
      <c r="D49" s="67">
        <f t="shared" si="1"/>
        <v>53</v>
      </c>
      <c r="E49" s="5">
        <f ca="1">IF(LEFT(Demand!$C$8,1)="H",VLOOKUP($D49,'SPC background (hide)'!$AG$2:$AS$54,12,0),'Demand background (hide)'!X38)</f>
        <v>2442.5</v>
      </c>
      <c r="F49" s="5">
        <f ca="1">IF(LEFT(Demand!$C$8,1)="H",VLOOKUP($D49,'SPC background (hide)'!$AG$2:$AS$54,13,0),E49*1.1)</f>
        <v>4500.4999999999982</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4038.4615384615386</v>
      </c>
      <c r="J49" s="5">
        <f ca="1">HLOOKUP(D49,'Capacity calculation (hide)'!$BK$110:$DJ$111,2,0)</f>
        <v>0</v>
      </c>
      <c r="K49" s="5">
        <f ca="1">IF(I49-IF(Setup!$I$15="Yes",$G49,0)-IF(Setup!$I$13="Yes",$H49,0)&lt;0,0,I49-IF(Setup!$I$15="Yes",$G49,0)-IF(Setup!$I$13="Yes",$H49,0))</f>
        <v>4038.4615384615386</v>
      </c>
      <c r="L49" s="5">
        <f t="shared" ca="1" si="2"/>
        <v>0</v>
      </c>
      <c r="M49" s="5">
        <f ca="1">(IF('Demand adjustments for Covid'!$F$9="No",E49,SUM('Demand background (hide)'!DS38,'Demand background (hide)'!DV38:DW38))*(1-'Parameters calculator (hide)'!$B$43))*(1-'Parameters calculator (hide)'!$B$44+('Parameters calculator (hide)'!$B$45*'Parameters calculator (hide)'!$B$47))</f>
        <v>2443.354875</v>
      </c>
      <c r="N49" s="5">
        <f ca="1">(IF('Demand adjustments for Covid'!$F$9="No",F49,SUM('Demand background (hide)'!DT38,'Demand background (hide)'!DV38:DW38))*(1-'Parameters calculator (hide)'!$B$43))*(1-'Parameters calculator (hide)'!$B$44+('Parameters calculator (hide)'!$B$45*'Parameters calculator (hide)'!$B$47))</f>
        <v>4502.0751749999972</v>
      </c>
      <c r="P49" s="5">
        <f t="shared" ca="1" si="3"/>
        <v>4038.4615384615386</v>
      </c>
      <c r="Q49" s="5">
        <f t="shared" ca="1" si="4"/>
        <v>0</v>
      </c>
      <c r="R49" s="5">
        <f t="shared" ca="1" si="5"/>
        <v>4038.4615384615386</v>
      </c>
      <c r="S49" s="5">
        <f t="shared" ca="1" si="6"/>
        <v>0</v>
      </c>
      <c r="T49" s="5">
        <f ca="1">M49/IF(Summary!$C$8&lt;&gt;"Patients",1,$I$9)</f>
        <v>2443.354875</v>
      </c>
      <c r="U49" s="5">
        <f ca="1">((N49-M49)/IF(Summary!$C$8&lt;&gt;"Patients",1,$I$9))</f>
        <v>2058.7202999999972</v>
      </c>
      <c r="V49" s="5">
        <f t="shared" si="7"/>
        <v>0</v>
      </c>
      <c r="X49" s="5">
        <f ca="1">(VLOOKUP(D49,'SPC background (hide)'!$AG$2:$AN$54,8,0)/IF(Summary!$C$8&lt;&gt;"Patients",1,$I$9))*(1-$I$4)*(1-$I$5+($I$6*$I$7))</f>
        <v>2725.7536799999998</v>
      </c>
    </row>
    <row r="50" spans="1:24" x14ac:dyDescent="0.25">
      <c r="A50" s="87">
        <f t="shared" si="8"/>
        <v>44200</v>
      </c>
      <c r="B50" s="67">
        <f t="shared" si="10"/>
        <v>2021</v>
      </c>
      <c r="C50" s="67" t="str">
        <f t="shared" si="9"/>
        <v>Jan</v>
      </c>
      <c r="D50" s="67">
        <f t="shared" si="1"/>
        <v>1</v>
      </c>
      <c r="E50" s="5">
        <f ca="1">IF(LEFT(Demand!$C$8,1)="H",VLOOKUP($D50,'SPC background (hide)'!$AG$2:$AS$54,12,0),'Demand background (hide)'!X39)</f>
        <v>2442.5</v>
      </c>
      <c r="F50" s="5">
        <f ca="1">IF(LEFT(Demand!$C$8,1)="H",VLOOKUP($D50,'SPC background (hide)'!$AG$2:$AS$54,13,0),E50*1.1)</f>
        <v>4500.4999999999982</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4038.4615384615386</v>
      </c>
      <c r="J50" s="5">
        <f ca="1">HLOOKUP(D50,'Capacity calculation (hide)'!$BK$110:$DJ$111,2,0)</f>
        <v>0</v>
      </c>
      <c r="K50" s="5">
        <f ca="1">IF(I50-IF(Setup!$I$15="Yes",$G50,0)-IF(Setup!$I$13="Yes",$H50,0)&lt;0,0,I50-IF(Setup!$I$15="Yes",$G50,0)-IF(Setup!$I$13="Yes",$H50,0))</f>
        <v>4038.4615384615386</v>
      </c>
      <c r="L50" s="5">
        <f t="shared" ca="1" si="2"/>
        <v>0</v>
      </c>
      <c r="M50" s="5">
        <f ca="1">(IF('Demand adjustments for Covid'!$F$9="No",E50,SUM('Demand background (hide)'!DS39,'Demand background (hide)'!DV39:DW39))*(1-'Parameters calculator (hide)'!$B$43))*(1-'Parameters calculator (hide)'!$B$44+('Parameters calculator (hide)'!$B$45*'Parameters calculator (hide)'!$B$47))</f>
        <v>2443.354875</v>
      </c>
      <c r="N50" s="5">
        <f ca="1">(IF('Demand adjustments for Covid'!$F$9="No",F50,SUM('Demand background (hide)'!DT39,'Demand background (hide)'!DV39:DW39))*(1-'Parameters calculator (hide)'!$B$43))*(1-'Parameters calculator (hide)'!$B$44+('Parameters calculator (hide)'!$B$45*'Parameters calculator (hide)'!$B$47))</f>
        <v>4502.0751749999972</v>
      </c>
      <c r="P50" s="5">
        <f t="shared" ca="1" si="3"/>
        <v>4038.4615384615386</v>
      </c>
      <c r="Q50" s="5">
        <f t="shared" ca="1" si="4"/>
        <v>0</v>
      </c>
      <c r="R50" s="5">
        <f t="shared" ca="1" si="5"/>
        <v>4038.4615384615386</v>
      </c>
      <c r="S50" s="5">
        <f t="shared" ca="1" si="6"/>
        <v>0</v>
      </c>
      <c r="T50" s="5">
        <f ca="1">M50/IF(Summary!$C$8&lt;&gt;"Patients",1,$I$9)</f>
        <v>2443.354875</v>
      </c>
      <c r="U50" s="5">
        <f ca="1">((N50-M50)/IF(Summary!$C$8&lt;&gt;"Patients",1,$I$9))</f>
        <v>2058.7202999999972</v>
      </c>
      <c r="V50" s="5">
        <f t="shared" si="7"/>
        <v>0</v>
      </c>
      <c r="X50" s="5">
        <f ca="1">(VLOOKUP(D50,'SPC background (hide)'!$AG$2:$AN$54,8,0)/IF(Summary!$C$8&lt;&gt;"Patients",1,$I$9))*(1-$I$4)*(1-$I$5+($I$6*$I$7))</f>
        <v>2725.7536799999998</v>
      </c>
    </row>
    <row r="51" spans="1:24" x14ac:dyDescent="0.25">
      <c r="A51" s="87">
        <f t="shared" si="8"/>
        <v>44207</v>
      </c>
      <c r="B51" s="67" t="str">
        <f t="shared" si="10"/>
        <v/>
      </c>
      <c r="C51" s="67" t="str">
        <f t="shared" si="9"/>
        <v/>
      </c>
      <c r="D51" s="67">
        <f t="shared" si="1"/>
        <v>2</v>
      </c>
      <c r="E51" s="5">
        <f ca="1">IF(LEFT(Demand!$C$8,1)="H",VLOOKUP($D51,'SPC background (hide)'!$AG$2:$AS$54,12,0),'Demand background (hide)'!X40)</f>
        <v>2442.5</v>
      </c>
      <c r="F51" s="5">
        <f ca="1">IF(LEFT(Demand!$C$8,1)="H",VLOOKUP($D51,'SPC background (hide)'!$AG$2:$AS$54,13,0),E51*1.1)</f>
        <v>4500.4999999999982</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4038.4615384615386</v>
      </c>
      <c r="J51" s="5">
        <f ca="1">HLOOKUP(D51,'Capacity calculation (hide)'!$BK$110:$DJ$111,2,0)</f>
        <v>0</v>
      </c>
      <c r="K51" s="5">
        <f ca="1">IF(I51-IF(Setup!$I$15="Yes",$G51,0)-IF(Setup!$I$13="Yes",$H51,0)&lt;0,0,I51-IF(Setup!$I$15="Yes",$G51,0)-IF(Setup!$I$13="Yes",$H51,0))</f>
        <v>4038.4615384615386</v>
      </c>
      <c r="L51" s="5">
        <f t="shared" ca="1" si="2"/>
        <v>0</v>
      </c>
      <c r="M51" s="5">
        <f ca="1">(IF('Demand adjustments for Covid'!$F$9="No",E51,SUM('Demand background (hide)'!DS40,'Demand background (hide)'!DV40:DW40))*(1-'Parameters calculator (hide)'!$B$43))*(1-'Parameters calculator (hide)'!$B$44+('Parameters calculator (hide)'!$B$45*'Parameters calculator (hide)'!$B$47))</f>
        <v>2443.354875</v>
      </c>
      <c r="N51" s="5">
        <f ca="1">(IF('Demand adjustments for Covid'!$F$9="No",F51,SUM('Demand background (hide)'!DT40,'Demand background (hide)'!DV40:DW40))*(1-'Parameters calculator (hide)'!$B$43))*(1-'Parameters calculator (hide)'!$B$44+('Parameters calculator (hide)'!$B$45*'Parameters calculator (hide)'!$B$47))</f>
        <v>4502.0751749999972</v>
      </c>
      <c r="P51" s="5">
        <f t="shared" ca="1" si="3"/>
        <v>4038.4615384615386</v>
      </c>
      <c r="Q51" s="5">
        <f t="shared" ca="1" si="4"/>
        <v>0</v>
      </c>
      <c r="R51" s="5">
        <f t="shared" ca="1" si="5"/>
        <v>4038.4615384615386</v>
      </c>
      <c r="S51" s="5">
        <f t="shared" ca="1" si="6"/>
        <v>0</v>
      </c>
      <c r="T51" s="5">
        <f ca="1">M51/IF(Summary!$C$8&lt;&gt;"Patients",1,$I$9)</f>
        <v>2443.354875</v>
      </c>
      <c r="U51" s="5">
        <f ca="1">((N51-M51)/IF(Summary!$C$8&lt;&gt;"Patients",1,$I$9))</f>
        <v>2058.7202999999972</v>
      </c>
      <c r="V51" s="5">
        <f t="shared" si="7"/>
        <v>0</v>
      </c>
      <c r="X51" s="5">
        <f ca="1">(VLOOKUP(D51,'SPC background (hide)'!$AG$2:$AN$54,8,0)/IF(Summary!$C$8&lt;&gt;"Patients",1,$I$9))*(1-$I$4)*(1-$I$5+($I$6*$I$7))</f>
        <v>2725.7536799999998</v>
      </c>
    </row>
    <row r="52" spans="1:24" x14ac:dyDescent="0.25">
      <c r="A52" s="87">
        <f t="shared" si="8"/>
        <v>44214</v>
      </c>
      <c r="B52" s="67" t="str">
        <f t="shared" si="10"/>
        <v/>
      </c>
      <c r="C52" s="67" t="str">
        <f t="shared" si="9"/>
        <v/>
      </c>
      <c r="D52" s="67">
        <f t="shared" si="1"/>
        <v>3</v>
      </c>
      <c r="E52" s="5">
        <f ca="1">IF(LEFT(Demand!$C$8,1)="H",VLOOKUP($D52,'SPC background (hide)'!$AG$2:$AS$54,12,0),'Demand background (hide)'!X41)</f>
        <v>2442.5</v>
      </c>
      <c r="F52" s="5">
        <f ca="1">IF(LEFT(Demand!$C$8,1)="H",VLOOKUP($D52,'SPC background (hide)'!$AG$2:$AS$54,13,0),E52*1.1)</f>
        <v>4500.4999999999982</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4038.4615384615386</v>
      </c>
      <c r="J52" s="5">
        <f ca="1">HLOOKUP(D52,'Capacity calculation (hide)'!$BK$110:$DJ$111,2,0)</f>
        <v>0</v>
      </c>
      <c r="K52" s="5">
        <f ca="1">IF(I52-IF(Setup!$I$15="Yes",$G52,0)-IF(Setup!$I$13="Yes",$H52,0)&lt;0,0,I52-IF(Setup!$I$15="Yes",$G52,0)-IF(Setup!$I$13="Yes",$H52,0))</f>
        <v>4038.4615384615386</v>
      </c>
      <c r="L52" s="5">
        <f t="shared" ca="1" si="2"/>
        <v>0</v>
      </c>
      <c r="M52" s="5">
        <f ca="1">(IF('Demand adjustments for Covid'!$F$9="No",E52,SUM('Demand background (hide)'!DS41,'Demand background (hide)'!DV41:DW41))*(1-'Parameters calculator (hide)'!$B$43))*(1-'Parameters calculator (hide)'!$B$44+('Parameters calculator (hide)'!$B$45*'Parameters calculator (hide)'!$B$47))</f>
        <v>2443.354875</v>
      </c>
      <c r="N52" s="5">
        <f ca="1">(IF('Demand adjustments for Covid'!$F$9="No",F52,SUM('Demand background (hide)'!DT41,'Demand background (hide)'!DV41:DW41))*(1-'Parameters calculator (hide)'!$B$43))*(1-'Parameters calculator (hide)'!$B$44+('Parameters calculator (hide)'!$B$45*'Parameters calculator (hide)'!$B$47))</f>
        <v>4502.0751749999972</v>
      </c>
      <c r="P52" s="5">
        <f t="shared" ca="1" si="3"/>
        <v>4038.4615384615386</v>
      </c>
      <c r="Q52" s="5">
        <f t="shared" ca="1" si="4"/>
        <v>0</v>
      </c>
      <c r="R52" s="5">
        <f t="shared" ca="1" si="5"/>
        <v>4038.4615384615386</v>
      </c>
      <c r="S52" s="5">
        <f t="shared" ca="1" si="6"/>
        <v>0</v>
      </c>
      <c r="T52" s="5">
        <f ca="1">M52/IF(Summary!$C$8&lt;&gt;"Patients",1,$I$9)</f>
        <v>2443.354875</v>
      </c>
      <c r="U52" s="5">
        <f ca="1">((N52-M52)/IF(Summary!$C$8&lt;&gt;"Patients",1,$I$9))</f>
        <v>2058.7202999999972</v>
      </c>
      <c r="V52" s="5">
        <f t="shared" si="7"/>
        <v>0</v>
      </c>
      <c r="X52" s="5">
        <f ca="1">(VLOOKUP(D52,'SPC background (hide)'!$AG$2:$AN$54,8,0)/IF(Summary!$C$8&lt;&gt;"Patients",1,$I$9))*(1-$I$4)*(1-$I$5+($I$6*$I$7))</f>
        <v>2725.7536799999998</v>
      </c>
    </row>
    <row r="53" spans="1:24" x14ac:dyDescent="0.25">
      <c r="A53" s="87">
        <f t="shared" si="8"/>
        <v>44221</v>
      </c>
      <c r="B53" s="67" t="str">
        <f t="shared" si="10"/>
        <v/>
      </c>
      <c r="C53" s="67" t="str">
        <f t="shared" si="9"/>
        <v/>
      </c>
      <c r="D53" s="67">
        <f t="shared" si="1"/>
        <v>4</v>
      </c>
      <c r="E53" s="5">
        <f ca="1">IF(LEFT(Demand!$C$8,1)="H",VLOOKUP($D53,'SPC background (hide)'!$AG$2:$AS$54,12,0),'Demand background (hide)'!X42)</f>
        <v>2442.5</v>
      </c>
      <c r="F53" s="5">
        <f ca="1">IF(LEFT(Demand!$C$8,1)="H",VLOOKUP($D53,'SPC background (hide)'!$AG$2:$AS$54,13,0),E53*1.1)</f>
        <v>4500.4999999999982</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4038.4615384615386</v>
      </c>
      <c r="J53" s="5">
        <f ca="1">HLOOKUP(D53,'Capacity calculation (hide)'!$BK$110:$DJ$111,2,0)</f>
        <v>0</v>
      </c>
      <c r="K53" s="5">
        <f ca="1">IF(I53-IF(Setup!$I$15="Yes",$G53,0)-IF(Setup!$I$13="Yes",$H53,0)&lt;0,0,I53-IF(Setup!$I$15="Yes",$G53,0)-IF(Setup!$I$13="Yes",$H53,0))</f>
        <v>4038.4615384615386</v>
      </c>
      <c r="L53" s="5">
        <f t="shared" ca="1" si="2"/>
        <v>0</v>
      </c>
      <c r="M53" s="5">
        <f ca="1">(IF('Demand adjustments for Covid'!$F$9="No",E53,SUM('Demand background (hide)'!DS42,'Demand background (hide)'!DV42:DW42))*(1-'Parameters calculator (hide)'!$B$43))*(1-'Parameters calculator (hide)'!$B$44+('Parameters calculator (hide)'!$B$45*'Parameters calculator (hide)'!$B$47))</f>
        <v>2443.354875</v>
      </c>
      <c r="N53" s="5">
        <f ca="1">(IF('Demand adjustments for Covid'!$F$9="No",F53,SUM('Demand background (hide)'!DT42,'Demand background (hide)'!DV42:DW42))*(1-'Parameters calculator (hide)'!$B$43))*(1-'Parameters calculator (hide)'!$B$44+('Parameters calculator (hide)'!$B$45*'Parameters calculator (hide)'!$B$47))</f>
        <v>4502.0751749999972</v>
      </c>
      <c r="P53" s="5">
        <f t="shared" ca="1" si="3"/>
        <v>4038.4615384615386</v>
      </c>
      <c r="Q53" s="5">
        <f t="shared" ca="1" si="4"/>
        <v>0</v>
      </c>
      <c r="R53" s="5">
        <f t="shared" ca="1" si="5"/>
        <v>4038.4615384615386</v>
      </c>
      <c r="S53" s="5">
        <f t="shared" ca="1" si="6"/>
        <v>0</v>
      </c>
      <c r="T53" s="5">
        <f ca="1">M53/IF(Summary!$C$8&lt;&gt;"Patients",1,$I$9)</f>
        <v>2443.354875</v>
      </c>
      <c r="U53" s="5">
        <f ca="1">((N53-M53)/IF(Summary!$C$8&lt;&gt;"Patients",1,$I$9))</f>
        <v>2058.7202999999972</v>
      </c>
      <c r="V53" s="5">
        <f t="shared" si="7"/>
        <v>0</v>
      </c>
      <c r="X53" s="5">
        <f ca="1">(VLOOKUP(D53,'SPC background (hide)'!$AG$2:$AN$54,8,0)/IF(Summary!$C$8&lt;&gt;"Patients",1,$I$9))*(1-$I$4)*(1-$I$5+($I$6*$I$7))</f>
        <v>2725.7536799999998</v>
      </c>
    </row>
    <row r="54" spans="1:24" x14ac:dyDescent="0.25">
      <c r="A54" s="87">
        <f t="shared" si="8"/>
        <v>44228</v>
      </c>
      <c r="B54" s="67" t="str">
        <f t="shared" si="10"/>
        <v/>
      </c>
      <c r="C54" s="67" t="str">
        <f t="shared" si="9"/>
        <v>Feb</v>
      </c>
      <c r="D54" s="67">
        <f t="shared" si="1"/>
        <v>5</v>
      </c>
      <c r="E54" s="5">
        <f ca="1">IF(LEFT(Demand!$C$8,1)="H",VLOOKUP($D54,'SPC background (hide)'!$AG$2:$AS$54,12,0),'Demand background (hide)'!X43)</f>
        <v>2442.5</v>
      </c>
      <c r="F54" s="5">
        <f ca="1">IF(LEFT(Demand!$C$8,1)="H",VLOOKUP($D54,'SPC background (hide)'!$AG$2:$AS$54,13,0),E54*1.1)</f>
        <v>4500.4999999999982</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4038.4615384615386</v>
      </c>
      <c r="J54" s="5">
        <f ca="1">HLOOKUP(D54,'Capacity calculation (hide)'!$BK$110:$DJ$111,2,0)</f>
        <v>0</v>
      </c>
      <c r="K54" s="5">
        <f ca="1">IF(I54-IF(Setup!$I$15="Yes",$G54,0)-IF(Setup!$I$13="Yes",$H54,0)&lt;0,0,I54-IF(Setup!$I$15="Yes",$G54,0)-IF(Setup!$I$13="Yes",$H54,0))</f>
        <v>4038.4615384615386</v>
      </c>
      <c r="L54" s="5">
        <f t="shared" ca="1" si="2"/>
        <v>0</v>
      </c>
      <c r="M54" s="5">
        <f ca="1">(IF('Demand adjustments for Covid'!$F$9="No",E54,SUM('Demand background (hide)'!DS43,'Demand background (hide)'!DV43:DW43))*(1-'Parameters calculator (hide)'!$B$43))*(1-'Parameters calculator (hide)'!$B$44+('Parameters calculator (hide)'!$B$45*'Parameters calculator (hide)'!$B$47))</f>
        <v>2443.354875</v>
      </c>
      <c r="N54" s="5">
        <f ca="1">(IF('Demand adjustments for Covid'!$F$9="No",F54,SUM('Demand background (hide)'!DT43,'Demand background (hide)'!DV43:DW43))*(1-'Parameters calculator (hide)'!$B$43))*(1-'Parameters calculator (hide)'!$B$44+('Parameters calculator (hide)'!$B$45*'Parameters calculator (hide)'!$B$47))</f>
        <v>4502.0751749999972</v>
      </c>
      <c r="P54" s="5">
        <f t="shared" ca="1" si="3"/>
        <v>4038.4615384615386</v>
      </c>
      <c r="Q54" s="5">
        <f t="shared" ca="1" si="4"/>
        <v>0</v>
      </c>
      <c r="R54" s="5">
        <f t="shared" ca="1" si="5"/>
        <v>4038.4615384615386</v>
      </c>
      <c r="S54" s="5">
        <f t="shared" ca="1" si="6"/>
        <v>0</v>
      </c>
      <c r="T54" s="5">
        <f ca="1">M54/IF(Summary!$C$8&lt;&gt;"Patients",1,$I$9)</f>
        <v>2443.354875</v>
      </c>
      <c r="U54" s="5">
        <f ca="1">((N54-M54)/IF(Summary!$C$8&lt;&gt;"Patients",1,$I$9))</f>
        <v>2058.7202999999972</v>
      </c>
      <c r="V54" s="5">
        <f t="shared" si="7"/>
        <v>0</v>
      </c>
      <c r="X54" s="5">
        <f ca="1">(VLOOKUP(D54,'SPC background (hide)'!$AG$2:$AN$54,8,0)/IF(Summary!$C$8&lt;&gt;"Patients",1,$I$9))*(1-$I$4)*(1-$I$5+($I$6*$I$7))</f>
        <v>2725.7536799999998</v>
      </c>
    </row>
    <row r="55" spans="1:24" x14ac:dyDescent="0.25">
      <c r="A55" s="87">
        <f t="shared" si="8"/>
        <v>44235</v>
      </c>
      <c r="B55" s="67" t="str">
        <f t="shared" si="10"/>
        <v/>
      </c>
      <c r="C55" s="67" t="str">
        <f t="shared" si="9"/>
        <v/>
      </c>
      <c r="D55" s="67">
        <f t="shared" si="1"/>
        <v>6</v>
      </c>
      <c r="E55" s="5">
        <f ca="1">IF(LEFT(Demand!$C$8,1)="H",VLOOKUP($D55,'SPC background (hide)'!$AG$2:$AS$54,12,0),'Demand background (hide)'!X44)</f>
        <v>2442.5</v>
      </c>
      <c r="F55" s="5">
        <f ca="1">IF(LEFT(Demand!$C$8,1)="H",VLOOKUP($D55,'SPC background (hide)'!$AG$2:$AS$54,13,0),E55*1.1)</f>
        <v>4500.4999999999982</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4038.4615384615386</v>
      </c>
      <c r="J55" s="5">
        <f ca="1">HLOOKUP(D55,'Capacity calculation (hide)'!$BK$110:$DJ$111,2,0)</f>
        <v>0</v>
      </c>
      <c r="K55" s="5">
        <f ca="1">IF(I55-IF(Setup!$I$15="Yes",$G55,0)-IF(Setup!$I$13="Yes",$H55,0)&lt;0,0,I55-IF(Setup!$I$15="Yes",$G55,0)-IF(Setup!$I$13="Yes",$H55,0))</f>
        <v>4038.4615384615386</v>
      </c>
      <c r="L55" s="5">
        <f t="shared" ca="1" si="2"/>
        <v>0</v>
      </c>
      <c r="M55" s="5">
        <f ca="1">(IF('Demand adjustments for Covid'!$F$9="No",E55,SUM('Demand background (hide)'!DS44,'Demand background (hide)'!DV44:DW44))*(1-'Parameters calculator (hide)'!$B$43))*(1-'Parameters calculator (hide)'!$B$44+('Parameters calculator (hide)'!$B$45*'Parameters calculator (hide)'!$B$47))</f>
        <v>2443.354875</v>
      </c>
      <c r="N55" s="5">
        <f ca="1">(IF('Demand adjustments for Covid'!$F$9="No",F55,SUM('Demand background (hide)'!DT44,'Demand background (hide)'!DV44:DW44))*(1-'Parameters calculator (hide)'!$B$43))*(1-'Parameters calculator (hide)'!$B$44+('Parameters calculator (hide)'!$B$45*'Parameters calculator (hide)'!$B$47))</f>
        <v>4502.0751749999972</v>
      </c>
      <c r="P55" s="5">
        <f t="shared" ca="1" si="3"/>
        <v>4038.4615384615386</v>
      </c>
      <c r="Q55" s="5">
        <f t="shared" ca="1" si="4"/>
        <v>0</v>
      </c>
      <c r="R55" s="5">
        <f t="shared" ca="1" si="5"/>
        <v>4038.4615384615386</v>
      </c>
      <c r="S55" s="5">
        <f t="shared" ca="1" si="6"/>
        <v>0</v>
      </c>
      <c r="T55" s="5">
        <f ca="1">M55/IF(Summary!$C$8&lt;&gt;"Patients",1,$I$9)</f>
        <v>2443.354875</v>
      </c>
      <c r="U55" s="5">
        <f ca="1">((N55-M55)/IF(Summary!$C$8&lt;&gt;"Patients",1,$I$9))</f>
        <v>2058.7202999999972</v>
      </c>
      <c r="V55" s="5">
        <f t="shared" si="7"/>
        <v>0</v>
      </c>
      <c r="X55" s="5">
        <f ca="1">(VLOOKUP(D55,'SPC background (hide)'!$AG$2:$AN$54,8,0)/IF(Summary!$C$8&lt;&gt;"Patients",1,$I$9))*(1-$I$4)*(1-$I$5+($I$6*$I$7))</f>
        <v>2725.7536799999998</v>
      </c>
    </row>
    <row r="56" spans="1:24" x14ac:dyDescent="0.25">
      <c r="A56" s="87">
        <f t="shared" si="8"/>
        <v>44242</v>
      </c>
      <c r="B56" s="67" t="str">
        <f t="shared" si="10"/>
        <v/>
      </c>
      <c r="C56" s="67" t="str">
        <f t="shared" si="9"/>
        <v/>
      </c>
      <c r="D56" s="67">
        <f t="shared" si="1"/>
        <v>7</v>
      </c>
      <c r="E56" s="5">
        <f ca="1">IF(LEFT(Demand!$C$8,1)="H",VLOOKUP($D56,'SPC background (hide)'!$AG$2:$AS$54,12,0),'Demand background (hide)'!X45)</f>
        <v>2442.5</v>
      </c>
      <c r="F56" s="5">
        <f ca="1">IF(LEFT(Demand!$C$8,1)="H",VLOOKUP($D56,'SPC background (hide)'!$AG$2:$AS$54,13,0),E56*1.1)</f>
        <v>4500.4999999999982</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4038.4615384615386</v>
      </c>
      <c r="J56" s="5">
        <f ca="1">HLOOKUP(D56,'Capacity calculation (hide)'!$BK$110:$DJ$111,2,0)</f>
        <v>0</v>
      </c>
      <c r="K56" s="5">
        <f ca="1">IF(I56-IF(Setup!$I$15="Yes",$G56,0)-IF(Setup!$I$13="Yes",$H56,0)&lt;0,0,I56-IF(Setup!$I$15="Yes",$G56,0)-IF(Setup!$I$13="Yes",$H56,0))</f>
        <v>4038.4615384615386</v>
      </c>
      <c r="L56" s="5">
        <f t="shared" ca="1" si="2"/>
        <v>0</v>
      </c>
      <c r="M56" s="5">
        <f ca="1">(IF('Demand adjustments for Covid'!$F$9="No",E56,SUM('Demand background (hide)'!DS45,'Demand background (hide)'!DV45:DW45))*(1-'Parameters calculator (hide)'!$B$43))*(1-'Parameters calculator (hide)'!$B$44+('Parameters calculator (hide)'!$B$45*'Parameters calculator (hide)'!$B$47))</f>
        <v>2443.354875</v>
      </c>
      <c r="N56" s="5">
        <f ca="1">(IF('Demand adjustments for Covid'!$F$9="No",F56,SUM('Demand background (hide)'!DT45,'Demand background (hide)'!DV45:DW45))*(1-'Parameters calculator (hide)'!$B$43))*(1-'Parameters calculator (hide)'!$B$44+('Parameters calculator (hide)'!$B$45*'Parameters calculator (hide)'!$B$47))</f>
        <v>4502.0751749999972</v>
      </c>
      <c r="P56" s="5">
        <f t="shared" ca="1" si="3"/>
        <v>4038.4615384615386</v>
      </c>
      <c r="Q56" s="5">
        <f t="shared" ca="1" si="4"/>
        <v>0</v>
      </c>
      <c r="R56" s="5">
        <f t="shared" ca="1" si="5"/>
        <v>4038.4615384615386</v>
      </c>
      <c r="S56" s="5">
        <f t="shared" ca="1" si="6"/>
        <v>0</v>
      </c>
      <c r="T56" s="5">
        <f ca="1">M56/IF(Summary!$C$8&lt;&gt;"Patients",1,$I$9)</f>
        <v>2443.354875</v>
      </c>
      <c r="U56" s="5">
        <f ca="1">((N56-M56)/IF(Summary!$C$8&lt;&gt;"Patients",1,$I$9))</f>
        <v>2058.7202999999972</v>
      </c>
      <c r="V56" s="5">
        <f t="shared" si="7"/>
        <v>0</v>
      </c>
      <c r="X56" s="5">
        <f ca="1">(VLOOKUP(D56,'SPC background (hide)'!$AG$2:$AN$54,8,0)/IF(Summary!$C$8&lt;&gt;"Patients",1,$I$9))*(1-$I$4)*(1-$I$5+($I$6*$I$7))</f>
        <v>2725.7536799999998</v>
      </c>
    </row>
    <row r="57" spans="1:24" x14ac:dyDescent="0.25">
      <c r="A57" s="87">
        <f t="shared" si="8"/>
        <v>44249</v>
      </c>
      <c r="B57" s="67" t="str">
        <f t="shared" si="10"/>
        <v/>
      </c>
      <c r="C57" s="67" t="str">
        <f t="shared" si="9"/>
        <v/>
      </c>
      <c r="D57" s="67">
        <f t="shared" si="1"/>
        <v>8</v>
      </c>
      <c r="E57" s="5">
        <f ca="1">IF(LEFT(Demand!$C$8,1)="H",VLOOKUP($D57,'SPC background (hide)'!$AG$2:$AS$54,12,0),'Demand background (hide)'!X46)</f>
        <v>2442.5</v>
      </c>
      <c r="F57" s="5">
        <f ca="1">IF(LEFT(Demand!$C$8,1)="H",VLOOKUP($D57,'SPC background (hide)'!$AG$2:$AS$54,13,0),E57*1.1)</f>
        <v>4500.4999999999982</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4038.4615384615386</v>
      </c>
      <c r="J57" s="5">
        <f ca="1">HLOOKUP(D57,'Capacity calculation (hide)'!$BK$110:$DJ$111,2,0)</f>
        <v>0</v>
      </c>
      <c r="K57" s="5">
        <f ca="1">IF(I57-IF(Setup!$I$15="Yes",$G57,0)-IF(Setup!$I$13="Yes",$H57,0)&lt;0,0,I57-IF(Setup!$I$15="Yes",$G57,0)-IF(Setup!$I$13="Yes",$H57,0))</f>
        <v>4038.4615384615386</v>
      </c>
      <c r="L57" s="5">
        <f t="shared" ca="1" si="2"/>
        <v>0</v>
      </c>
      <c r="M57" s="5">
        <f ca="1">(IF('Demand adjustments for Covid'!$F$9="No",E57,SUM('Demand background (hide)'!DS46,'Demand background (hide)'!DV46:DW46))*(1-'Parameters calculator (hide)'!$B$43))*(1-'Parameters calculator (hide)'!$B$44+('Parameters calculator (hide)'!$B$45*'Parameters calculator (hide)'!$B$47))</f>
        <v>2443.354875</v>
      </c>
      <c r="N57" s="5">
        <f ca="1">(IF('Demand adjustments for Covid'!$F$9="No",F57,SUM('Demand background (hide)'!DT46,'Demand background (hide)'!DV46:DW46))*(1-'Parameters calculator (hide)'!$B$43))*(1-'Parameters calculator (hide)'!$B$44+('Parameters calculator (hide)'!$B$45*'Parameters calculator (hide)'!$B$47))</f>
        <v>4502.0751749999972</v>
      </c>
      <c r="P57" s="5">
        <f t="shared" ca="1" si="3"/>
        <v>4038.4615384615386</v>
      </c>
      <c r="Q57" s="5">
        <f t="shared" ca="1" si="4"/>
        <v>0</v>
      </c>
      <c r="R57" s="5">
        <f t="shared" ca="1" si="5"/>
        <v>4038.4615384615386</v>
      </c>
      <c r="S57" s="5">
        <f t="shared" ca="1" si="6"/>
        <v>0</v>
      </c>
      <c r="T57" s="5">
        <f ca="1">M57/IF(Summary!$C$8&lt;&gt;"Patients",1,$I$9)</f>
        <v>2443.354875</v>
      </c>
      <c r="U57" s="5">
        <f ca="1">((N57-M57)/IF(Summary!$C$8&lt;&gt;"Patients",1,$I$9))</f>
        <v>2058.7202999999972</v>
      </c>
      <c r="V57" s="5">
        <f t="shared" si="7"/>
        <v>0</v>
      </c>
      <c r="X57" s="5">
        <f ca="1">(VLOOKUP(D57,'SPC background (hide)'!$AG$2:$AN$54,8,0)/IF(Summary!$C$8&lt;&gt;"Patients",1,$I$9))*(1-$I$4)*(1-$I$5+($I$6*$I$7))</f>
        <v>2725.7536799999998</v>
      </c>
    </row>
    <row r="58" spans="1:24" x14ac:dyDescent="0.25">
      <c r="A58" s="87">
        <f t="shared" si="8"/>
        <v>44256</v>
      </c>
      <c r="B58" s="67" t="str">
        <f t="shared" si="10"/>
        <v/>
      </c>
      <c r="C58" s="67" t="str">
        <f t="shared" si="9"/>
        <v>Mar</v>
      </c>
      <c r="D58" s="67">
        <f t="shared" si="1"/>
        <v>9</v>
      </c>
      <c r="E58" s="5">
        <f ca="1">IF(LEFT(Demand!$C$8,1)="H",VLOOKUP($D58,'SPC background (hide)'!$AG$2:$AS$54,12,0),'Demand background (hide)'!X47)</f>
        <v>2442.5</v>
      </c>
      <c r="F58" s="5">
        <f ca="1">IF(LEFT(Demand!$C$8,1)="H",VLOOKUP($D58,'SPC background (hide)'!$AG$2:$AS$54,13,0),E58*1.1)</f>
        <v>4500.4999999999982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4038.4615384615386</v>
      </c>
      <c r="J58" s="5">
        <f ca="1">HLOOKUP(D58,'Capacity calculation (hide)'!$BK$110:$DJ$111,2,0)</f>
        <v>0</v>
      </c>
      <c r="K58" s="5">
        <f ca="1">IF(I58-IF(Setup!$I$15="Yes",$G58,0)-IF(Setup!$I$13="Yes",$H58,0)&lt;0,0,I58-IF(Setup!$I$15="Yes",$G58,0)-IF(Setup!$I$13="Yes",$H58,0))</f>
        <v>4038.4615384615386</v>
      </c>
      <c r="L58" s="5">
        <f t="shared" ca="1" si="2"/>
        <v>0</v>
      </c>
      <c r="M58" s="5">
        <f ca="1">(IF('Demand adjustments for Covid'!$F$9="No",E58,SUM('Demand background (hide)'!DS47,'Demand background (hide)'!DV47:DW47))*(1-'Parameters calculator (hide)'!$B$43))*(1-'Parameters calculator (hide)'!$B$44+('Parameters calculator (hide)'!$B$45*'Parameters calculator (hide)'!$B$47))</f>
        <v>2443.354875</v>
      </c>
      <c r="N58" s="5">
        <f ca="1">(IF('Demand adjustments for Covid'!$F$9="No",F58,SUM('Demand background (hide)'!DT47,'Demand background (hide)'!DV47:DW47))*(1-'Parameters calculator (hide)'!$B$43))*(1-'Parameters calculator (hide)'!$B$44+('Parameters calculator (hide)'!$B$45*'Parameters calculator (hide)'!$B$47))</f>
        <v>4502.0751749999972</v>
      </c>
      <c r="P58" s="5">
        <f t="shared" ca="1" si="3"/>
        <v>4038.4615384615386</v>
      </c>
      <c r="Q58" s="5">
        <f t="shared" ca="1" si="4"/>
        <v>0</v>
      </c>
      <c r="R58" s="5">
        <f t="shared" ca="1" si="5"/>
        <v>4038.4615384615386</v>
      </c>
      <c r="S58" s="5">
        <f t="shared" ca="1" si="6"/>
        <v>0</v>
      </c>
      <c r="T58" s="5">
        <f ca="1">M58/IF(Summary!$C$8&lt;&gt;"Patients",1,$I$9)</f>
        <v>2443.354875</v>
      </c>
      <c r="U58" s="5">
        <f ca="1">((N58-M58)/IF(Summary!$C$8&lt;&gt;"Patients",1,$I$9))</f>
        <v>2058.7202999999972</v>
      </c>
      <c r="V58" s="5">
        <f t="shared" si="7"/>
        <v>0</v>
      </c>
      <c r="X58" s="5">
        <f ca="1">(VLOOKUP(D58,'SPC background (hide)'!$AG$2:$AN$54,8,0)/IF(Summary!$C$8&lt;&gt;"Patients",1,$I$9))*(1-$I$4)*(1-$I$5+($I$6*$I$7))</f>
        <v>2725.7536799999998</v>
      </c>
    </row>
    <row r="59" spans="1:24" x14ac:dyDescent="0.25">
      <c r="A59" s="87">
        <f t="shared" si="8"/>
        <v>44263</v>
      </c>
      <c r="B59" s="67" t="str">
        <f t="shared" si="10"/>
        <v/>
      </c>
      <c r="C59" s="67" t="str">
        <f t="shared" si="9"/>
        <v/>
      </c>
      <c r="D59" s="67">
        <f t="shared" si="1"/>
        <v>10</v>
      </c>
      <c r="E59" s="5">
        <f ca="1">IF(LEFT(Demand!$C$8,1)="H",VLOOKUP($D59,'SPC background (hide)'!$AG$2:$AS$54,12,0),'Demand background (hide)'!X48)</f>
        <v>2442.5</v>
      </c>
      <c r="F59" s="5">
        <f ca="1">IF(LEFT(Demand!$C$8,1)="H",VLOOKUP($D59,'SPC background (hide)'!$AG$2:$AS$54,13,0),E59*1.1)</f>
        <v>4500.4999999999982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4038.4615384615386</v>
      </c>
      <c r="J59" s="5">
        <f ca="1">HLOOKUP(D59,'Capacity calculation (hide)'!$BK$110:$DJ$111,2,0)</f>
        <v>0</v>
      </c>
      <c r="K59" s="5">
        <f ca="1">IF(I59-IF(Setup!$I$15="Yes",$G59,0)-IF(Setup!$I$13="Yes",$H59,0)&lt;0,0,I59-IF(Setup!$I$15="Yes",$G59,0)-IF(Setup!$I$13="Yes",$H59,0))</f>
        <v>4038.4615384615386</v>
      </c>
      <c r="L59" s="5">
        <f t="shared" ca="1" si="2"/>
        <v>0</v>
      </c>
      <c r="M59" s="5">
        <f ca="1">(IF('Demand adjustments for Covid'!$F$9="No",E59,SUM('Demand background (hide)'!DS48,'Demand background (hide)'!DV48:DW48))*(1-'Parameters calculator (hide)'!$B$43))*(1-'Parameters calculator (hide)'!$B$44+('Parameters calculator (hide)'!$B$45*'Parameters calculator (hide)'!$B$47))</f>
        <v>2443.354875</v>
      </c>
      <c r="N59" s="5">
        <f ca="1">(IF('Demand adjustments for Covid'!$F$9="No",F59,SUM('Demand background (hide)'!DT48,'Demand background (hide)'!DV48:DW48))*(1-'Parameters calculator (hide)'!$B$43))*(1-'Parameters calculator (hide)'!$B$44+('Parameters calculator (hide)'!$B$45*'Parameters calculator (hide)'!$B$47))</f>
        <v>4502.0751749999972</v>
      </c>
      <c r="P59" s="5">
        <f t="shared" ca="1" si="3"/>
        <v>4038.4615384615386</v>
      </c>
      <c r="Q59" s="5">
        <f t="shared" ca="1" si="4"/>
        <v>0</v>
      </c>
      <c r="R59" s="5">
        <f t="shared" ca="1" si="5"/>
        <v>4038.4615384615386</v>
      </c>
      <c r="S59" s="5">
        <f t="shared" ca="1" si="6"/>
        <v>0</v>
      </c>
      <c r="T59" s="5">
        <f ca="1">M59/IF(Summary!$C$8&lt;&gt;"Patients",1,$I$9)</f>
        <v>2443.354875</v>
      </c>
      <c r="U59" s="5">
        <f ca="1">((N59-M59)/IF(Summary!$C$8&lt;&gt;"Patients",1,$I$9))</f>
        <v>2058.7202999999972</v>
      </c>
      <c r="V59" s="5">
        <f t="shared" si="7"/>
        <v>0</v>
      </c>
      <c r="X59" s="5">
        <f ca="1">(VLOOKUP(D59,'SPC background (hide)'!$AG$2:$AN$54,8,0)/IF(Summary!$C$8&lt;&gt;"Patients",1,$I$9))*(1-$I$4)*(1-$I$5+($I$6*$I$7))</f>
        <v>2725.7536799999998</v>
      </c>
    </row>
    <row r="60" spans="1:24" x14ac:dyDescent="0.25">
      <c r="A60" s="87">
        <f t="shared" si="8"/>
        <v>44270</v>
      </c>
      <c r="B60" s="67" t="str">
        <f t="shared" si="10"/>
        <v/>
      </c>
      <c r="C60" s="67" t="str">
        <f t="shared" si="9"/>
        <v/>
      </c>
      <c r="D60" s="67">
        <f t="shared" si="1"/>
        <v>11</v>
      </c>
      <c r="E60" s="5">
        <f ca="1">IF(LEFT(Demand!$C$8,1)="H",VLOOKUP($D60,'SPC background (hide)'!$AG$2:$AS$54,12,0),'Demand background (hide)'!X49)</f>
        <v>2442.5</v>
      </c>
      <c r="F60" s="5">
        <f ca="1">IF(LEFT(Demand!$C$8,1)="H",VLOOKUP($D60,'SPC background (hide)'!$AG$2:$AS$54,13,0),E60*1.1)</f>
        <v>4500.4999999999982</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4038.4615384615386</v>
      </c>
      <c r="J60" s="5">
        <f ca="1">HLOOKUP(D60,'Capacity calculation (hide)'!$BK$110:$DJ$111,2,0)</f>
        <v>0</v>
      </c>
      <c r="K60" s="5">
        <f ca="1">IF(I60-IF(Setup!$I$15="Yes",$G60,0)-IF(Setup!$I$13="Yes",$H60,0)&lt;0,0,I60-IF(Setup!$I$15="Yes",$G60,0)-IF(Setup!$I$13="Yes",$H60,0))</f>
        <v>4038.4615384615386</v>
      </c>
      <c r="L60" s="5">
        <f t="shared" ca="1" si="2"/>
        <v>0</v>
      </c>
      <c r="M60" s="5">
        <f ca="1">(IF('Demand adjustments for Covid'!$F$9="No",E60,SUM('Demand background (hide)'!DS49,'Demand background (hide)'!DV49:DW49))*(1-'Parameters calculator (hide)'!$B$43))*(1-'Parameters calculator (hide)'!$B$44+('Parameters calculator (hide)'!$B$45*'Parameters calculator (hide)'!$B$47))</f>
        <v>2443.354875</v>
      </c>
      <c r="N60" s="5">
        <f ca="1">(IF('Demand adjustments for Covid'!$F$9="No",F60,SUM('Demand background (hide)'!DT49,'Demand background (hide)'!DV49:DW49))*(1-'Parameters calculator (hide)'!$B$43))*(1-'Parameters calculator (hide)'!$B$44+('Parameters calculator (hide)'!$B$45*'Parameters calculator (hide)'!$B$47))</f>
        <v>4502.0751749999972</v>
      </c>
      <c r="P60" s="5">
        <f t="shared" ca="1" si="3"/>
        <v>4038.4615384615386</v>
      </c>
      <c r="Q60" s="5">
        <f t="shared" ca="1" si="4"/>
        <v>0</v>
      </c>
      <c r="R60" s="5">
        <f t="shared" ca="1" si="5"/>
        <v>4038.4615384615386</v>
      </c>
      <c r="S60" s="5">
        <f t="shared" ca="1" si="6"/>
        <v>0</v>
      </c>
      <c r="T60" s="5">
        <f ca="1">M60/IF(Summary!$C$8&lt;&gt;"Patients",1,$I$9)</f>
        <v>2443.354875</v>
      </c>
      <c r="U60" s="5">
        <f ca="1">((N60-M60)/IF(Summary!$C$8&lt;&gt;"Patients",1,$I$9))</f>
        <v>2058.7202999999972</v>
      </c>
      <c r="V60" s="5">
        <f t="shared" si="7"/>
        <v>0</v>
      </c>
      <c r="X60" s="5">
        <f ca="1">(VLOOKUP(D60,'SPC background (hide)'!$AG$2:$AN$54,8,0)/IF(Summary!$C$8&lt;&gt;"Patients",1,$I$9))*(1-$I$4)*(1-$I$5+($I$6*$I$7))</f>
        <v>2725.7536799999998</v>
      </c>
    </row>
    <row r="61" spans="1:24" x14ac:dyDescent="0.25">
      <c r="A61" s="87">
        <f t="shared" si="8"/>
        <v>44277</v>
      </c>
      <c r="B61" s="67" t="str">
        <f t="shared" si="10"/>
        <v/>
      </c>
      <c r="C61" s="67" t="str">
        <f t="shared" si="9"/>
        <v/>
      </c>
      <c r="D61" s="67">
        <f t="shared" si="1"/>
        <v>12</v>
      </c>
      <c r="E61" s="5">
        <f ca="1">IF(LEFT(Demand!$C$8,1)="H",VLOOKUP($D61,'SPC background (hide)'!$AG$2:$AS$54,12,0),'Demand background (hide)'!X50)</f>
        <v>2442.5</v>
      </c>
      <c r="F61" s="5">
        <f ca="1">IF(LEFT(Demand!$C$8,1)="H",VLOOKUP($D61,'SPC background (hide)'!$AG$2:$AS$54,13,0),E61*1.1)</f>
        <v>4500.4999999999982</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4038.4615384615386</v>
      </c>
      <c r="J61" s="5">
        <f ca="1">HLOOKUP(D61,'Capacity calculation (hide)'!$BK$110:$DJ$111,2,0)</f>
        <v>0</v>
      </c>
      <c r="K61" s="5">
        <f ca="1">IF(I61-IF(Setup!$I$15="Yes",$G61,0)-IF(Setup!$I$13="Yes",$H61,0)&lt;0,0,I61-IF(Setup!$I$15="Yes",$G61,0)-IF(Setup!$I$13="Yes",$H61,0))</f>
        <v>4038.4615384615386</v>
      </c>
      <c r="L61" s="5">
        <f t="shared" ca="1" si="2"/>
        <v>0</v>
      </c>
      <c r="M61" s="5">
        <f ca="1">(IF('Demand adjustments for Covid'!$F$9="No",E61,SUM('Demand background (hide)'!DS50,'Demand background (hide)'!DV50:DW50))*(1-'Parameters calculator (hide)'!$B$43))*(1-'Parameters calculator (hide)'!$B$44+('Parameters calculator (hide)'!$B$45*'Parameters calculator (hide)'!$B$47))</f>
        <v>2443.354875</v>
      </c>
      <c r="N61" s="5">
        <f ca="1">(IF('Demand adjustments for Covid'!$F$9="No",F61,SUM('Demand background (hide)'!DT50,'Demand background (hide)'!DV50:DW50))*(1-'Parameters calculator (hide)'!$B$43))*(1-'Parameters calculator (hide)'!$B$44+('Parameters calculator (hide)'!$B$45*'Parameters calculator (hide)'!$B$47))</f>
        <v>4502.0751749999972</v>
      </c>
      <c r="P61" s="5">
        <f t="shared" ca="1" si="3"/>
        <v>4038.4615384615386</v>
      </c>
      <c r="Q61" s="5">
        <f t="shared" ca="1" si="4"/>
        <v>0</v>
      </c>
      <c r="R61" s="5">
        <f t="shared" ca="1" si="5"/>
        <v>4038.4615384615386</v>
      </c>
      <c r="S61" s="5">
        <f t="shared" ca="1" si="6"/>
        <v>0</v>
      </c>
      <c r="T61" s="5">
        <f ca="1">M61/IF(Summary!$C$8&lt;&gt;"Patients",1,$I$9)</f>
        <v>2443.354875</v>
      </c>
      <c r="U61" s="5">
        <f ca="1">((N61-M61)/IF(Summary!$C$8&lt;&gt;"Patients",1,$I$9))</f>
        <v>2058.7202999999972</v>
      </c>
      <c r="V61" s="5">
        <f t="shared" si="7"/>
        <v>0</v>
      </c>
      <c r="X61" s="5">
        <f ca="1">(VLOOKUP(D61,'SPC background (hide)'!$AG$2:$AN$54,8,0)/IF(Summary!$C$8&lt;&gt;"Patients",1,$I$9))*(1-$I$4)*(1-$I$5+($I$6*$I$7))</f>
        <v>2725.7536799999998</v>
      </c>
    </row>
    <row r="62" spans="1:24" x14ac:dyDescent="0.25">
      <c r="A62" s="87">
        <f t="shared" si="8"/>
        <v>44284</v>
      </c>
      <c r="B62" s="67" t="str">
        <f t="shared" si="10"/>
        <v/>
      </c>
      <c r="C62" s="67" t="str">
        <f t="shared" si="9"/>
        <v/>
      </c>
      <c r="D62" s="67">
        <f t="shared" si="1"/>
        <v>13</v>
      </c>
      <c r="E62" s="5">
        <f ca="1">IF(LEFT(Demand!$C$8,1)="H",VLOOKUP($D62,'SPC background (hide)'!$AG$2:$AS$54,12,0),'Demand background (hide)'!X51)</f>
        <v>2442.5</v>
      </c>
      <c r="F62" s="5">
        <f ca="1">IF(LEFT(Demand!$C$8,1)="H",VLOOKUP($D62,'SPC background (hide)'!$AG$2:$AS$54,13,0),E62*1.1)</f>
        <v>4500.4999999999982</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4038.4615384615386</v>
      </c>
      <c r="J62" s="5">
        <f ca="1">HLOOKUP(D62,'Capacity calculation (hide)'!$BK$110:$DJ$111,2,0)</f>
        <v>0</v>
      </c>
      <c r="K62" s="5">
        <f ca="1">IF(I62-IF(Setup!$I$15="Yes",$G62,0)-IF(Setup!$I$13="Yes",$H62,0)&lt;0,0,I62-IF(Setup!$I$15="Yes",$G62,0)-IF(Setup!$I$13="Yes",$H62,0))</f>
        <v>4038.4615384615386</v>
      </c>
      <c r="L62" s="5">
        <f t="shared" ca="1" si="2"/>
        <v>0</v>
      </c>
      <c r="M62" s="5">
        <f ca="1">(IF('Demand adjustments for Covid'!$F$9="No",E62,SUM('Demand background (hide)'!DS51,'Demand background (hide)'!DV51:DW51))*(1-'Parameters calculator (hide)'!$B$43))*(1-'Parameters calculator (hide)'!$B$44+('Parameters calculator (hide)'!$B$45*'Parameters calculator (hide)'!$B$47))</f>
        <v>2443.354875</v>
      </c>
      <c r="N62" s="5">
        <f ca="1">(IF('Demand adjustments for Covid'!$F$9="No",F62,SUM('Demand background (hide)'!DT51,'Demand background (hide)'!DV51:DW51))*(1-'Parameters calculator (hide)'!$B$43))*(1-'Parameters calculator (hide)'!$B$44+('Parameters calculator (hide)'!$B$45*'Parameters calculator (hide)'!$B$47))</f>
        <v>4502.0751749999972</v>
      </c>
      <c r="P62" s="5">
        <f t="shared" ca="1" si="3"/>
        <v>4038.4615384615386</v>
      </c>
      <c r="Q62" s="5">
        <f t="shared" ca="1" si="4"/>
        <v>0</v>
      </c>
      <c r="R62" s="5">
        <f t="shared" ca="1" si="5"/>
        <v>4038.4615384615386</v>
      </c>
      <c r="S62" s="5">
        <f t="shared" ca="1" si="6"/>
        <v>0</v>
      </c>
      <c r="T62" s="5">
        <f ca="1">M62/IF(Summary!$C$8&lt;&gt;"Patients",1,$I$9)</f>
        <v>2443.354875</v>
      </c>
      <c r="U62" s="5">
        <f ca="1">((N62-M62)/IF(Summary!$C$8&lt;&gt;"Patients",1,$I$9))</f>
        <v>2058.7202999999972</v>
      </c>
      <c r="V62" s="5">
        <f t="shared" si="7"/>
        <v>0</v>
      </c>
      <c r="X62" s="5">
        <f ca="1">(VLOOKUP(D62,'SPC background (hide)'!$AG$2:$AN$54,8,0)/IF(Summary!$C$8&lt;&gt;"Patients",1,$I$9))*(1-$I$4)*(1-$I$5+($I$6*$I$7))</f>
        <v>2725.7536799999998</v>
      </c>
    </row>
    <row r="63" spans="1:24" x14ac:dyDescent="0.25">
      <c r="A63" s="87">
        <f t="shared" si="8"/>
        <v>44291</v>
      </c>
      <c r="B63" s="67" t="str">
        <f t="shared" si="10"/>
        <v/>
      </c>
      <c r="C63" s="67" t="str">
        <f t="shared" si="9"/>
        <v>Apr</v>
      </c>
      <c r="D63" s="67">
        <f t="shared" si="1"/>
        <v>14</v>
      </c>
      <c r="E63" s="5">
        <f ca="1">IF(LEFT(Demand!$C$8,1)="H",VLOOKUP($D63,'SPC background (hide)'!$AG$2:$AS$54,12,0),'Demand background (hide)'!X52)</f>
        <v>2442.5</v>
      </c>
      <c r="F63" s="5">
        <f ca="1">IF(LEFT(Demand!$C$8,1)="H",VLOOKUP($D63,'SPC background (hide)'!$AG$2:$AS$54,13,0),E63*1.1)</f>
        <v>4500.4999999999982</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4038.4615384615386</v>
      </c>
      <c r="J63" s="5">
        <f ca="1">HLOOKUP(D63,'Capacity calculation (hide)'!$BK$110:$DJ$111,2,0)</f>
        <v>0</v>
      </c>
      <c r="K63" s="5">
        <f ca="1">IF(I63-IF(Setup!$I$15="Yes",$G63,0)-IF(Setup!$I$13="Yes",$H63,0)&lt;0,0,I63-IF(Setup!$I$15="Yes",$G63,0)-IF(Setup!$I$13="Yes",$H63,0))</f>
        <v>4038.4615384615386</v>
      </c>
      <c r="L63" s="5">
        <f t="shared" ca="1" si="2"/>
        <v>0</v>
      </c>
      <c r="M63" s="5">
        <f ca="1">(IF('Demand adjustments for Covid'!$F$9="No",E63,SUM('Demand background (hide)'!DS52,'Demand background (hide)'!DV52:DW52))*(1-'Parameters calculator (hide)'!$B$43))*(1-'Parameters calculator (hide)'!$B$44+('Parameters calculator (hide)'!$B$45*'Parameters calculator (hide)'!$B$47))</f>
        <v>2443.354875</v>
      </c>
      <c r="N63" s="5">
        <f ca="1">(IF('Demand adjustments for Covid'!$F$9="No",F63,SUM('Demand background (hide)'!DT52,'Demand background (hide)'!DV52:DW52))*(1-'Parameters calculator (hide)'!$B$43))*(1-'Parameters calculator (hide)'!$B$44+('Parameters calculator (hide)'!$B$45*'Parameters calculator (hide)'!$B$47))</f>
        <v>4502.0751749999972</v>
      </c>
      <c r="P63" s="5">
        <f t="shared" ca="1" si="3"/>
        <v>4038.4615384615386</v>
      </c>
      <c r="Q63" s="5">
        <f t="shared" ca="1" si="4"/>
        <v>0</v>
      </c>
      <c r="R63" s="5">
        <f t="shared" ca="1" si="5"/>
        <v>4038.4615384615386</v>
      </c>
      <c r="S63" s="5">
        <f t="shared" ca="1" si="6"/>
        <v>0</v>
      </c>
      <c r="T63" s="5">
        <f ca="1">M63/IF(Summary!$C$8&lt;&gt;"Patients",1,$I$9)</f>
        <v>2443.354875</v>
      </c>
      <c r="U63" s="5">
        <f ca="1">((N63-M63)/IF(Summary!$C$8&lt;&gt;"Patients",1,$I$9))</f>
        <v>2058.7202999999972</v>
      </c>
      <c r="V63" s="5">
        <f t="shared" si="7"/>
        <v>0</v>
      </c>
      <c r="X63" s="5">
        <f ca="1">(VLOOKUP(D63,'SPC background (hide)'!$AG$2:$AN$54,8,0)/IF(Summary!$C$8&lt;&gt;"Patients",1,$I$9))*(1-$I$4)*(1-$I$5+($I$6*$I$7))</f>
        <v>2725.7536799999998</v>
      </c>
    </row>
    <row r="64" spans="1:24" x14ac:dyDescent="0.25">
      <c r="A64" s="87">
        <f t="shared" si="8"/>
        <v>44298</v>
      </c>
      <c r="B64" s="67" t="str">
        <f t="shared" si="10"/>
        <v/>
      </c>
      <c r="C64" s="67" t="str">
        <f t="shared" si="9"/>
        <v/>
      </c>
      <c r="D64" s="67">
        <f t="shared" si="1"/>
        <v>15</v>
      </c>
      <c r="E64" s="5">
        <f ca="1">IF(LEFT(Demand!$C$8,1)="H",VLOOKUP($D64,'SPC background (hide)'!$AG$2:$AS$54,12,0),'Demand background (hide)'!X53)</f>
        <v>2442.5</v>
      </c>
      <c r="F64" s="5">
        <f ca="1">IF(LEFT(Demand!$C$8,1)="H",VLOOKUP($D64,'SPC background (hide)'!$AG$2:$AS$54,13,0),E64*1.1)</f>
        <v>4500.4999999999982</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4038.4615384615386</v>
      </c>
      <c r="J64" s="5">
        <f ca="1">HLOOKUP(D64,'Capacity calculation (hide)'!$BK$110:$DJ$111,2,0)</f>
        <v>0</v>
      </c>
      <c r="K64" s="5">
        <f ca="1">IF(I64-IF(Setup!$I$15="Yes",$G64,0)-IF(Setup!$I$13="Yes",$H64,0)&lt;0,0,I64-IF(Setup!$I$15="Yes",$G64,0)-IF(Setup!$I$13="Yes",$H64,0))</f>
        <v>4038.4615384615386</v>
      </c>
      <c r="L64" s="5">
        <f t="shared" ca="1" si="2"/>
        <v>0</v>
      </c>
      <c r="M64" s="5">
        <f ca="1">(IF('Demand adjustments for Covid'!$F$9="No",E64,SUM('Demand background (hide)'!DS53,'Demand background (hide)'!DV53:DW53))*(1-'Parameters calculator (hide)'!$B$43))*(1-'Parameters calculator (hide)'!$B$44+('Parameters calculator (hide)'!$B$45*'Parameters calculator (hide)'!$B$47))</f>
        <v>2443.354875</v>
      </c>
      <c r="N64" s="5">
        <f ca="1">(IF('Demand adjustments for Covid'!$F$9="No",F64,SUM('Demand background (hide)'!DT53,'Demand background (hide)'!DV53:DW53))*(1-'Parameters calculator (hide)'!$B$43))*(1-'Parameters calculator (hide)'!$B$44+('Parameters calculator (hide)'!$B$45*'Parameters calculator (hide)'!$B$47))</f>
        <v>4502.0751749999972</v>
      </c>
      <c r="P64" s="5">
        <f t="shared" ca="1" si="3"/>
        <v>4038.4615384615386</v>
      </c>
      <c r="Q64" s="5">
        <f t="shared" ca="1" si="4"/>
        <v>0</v>
      </c>
      <c r="R64" s="5">
        <f t="shared" ca="1" si="5"/>
        <v>4038.4615384615386</v>
      </c>
      <c r="S64" s="5">
        <f t="shared" ca="1" si="6"/>
        <v>0</v>
      </c>
      <c r="T64" s="5">
        <f ca="1">M64/IF(Summary!$C$8&lt;&gt;"Patients",1,$I$9)</f>
        <v>2443.354875</v>
      </c>
      <c r="U64" s="5">
        <f ca="1">((N64-M64)/IF(Summary!$C$8&lt;&gt;"Patients",1,$I$9))</f>
        <v>2058.7202999999972</v>
      </c>
      <c r="V64" s="5">
        <f t="shared" si="7"/>
        <v>0</v>
      </c>
      <c r="X64" s="5">
        <f ca="1">(VLOOKUP(D64,'SPC background (hide)'!$AG$2:$AN$54,8,0)/IF(Summary!$C$8&lt;&gt;"Patients",1,$I$9))*(1-$I$4)*(1-$I$5+($I$6*$I$7))</f>
        <v>2725.7536799999998</v>
      </c>
    </row>
    <row r="65" spans="1:24" x14ac:dyDescent="0.25">
      <c r="A65" s="87">
        <f t="shared" si="8"/>
        <v>44305</v>
      </c>
      <c r="B65" s="67" t="str">
        <f t="shared" si="10"/>
        <v/>
      </c>
      <c r="C65" s="67" t="str">
        <f t="shared" si="9"/>
        <v/>
      </c>
      <c r="D65" s="67">
        <f t="shared" si="1"/>
        <v>16</v>
      </c>
      <c r="E65" s="5">
        <f ca="1">IF(LEFT(Demand!$C$8,1)="H",VLOOKUP($D65,'SPC background (hide)'!$AG$2:$AS$54,12,0),'Demand background (hide)'!X54)</f>
        <v>2442.5</v>
      </c>
      <c r="F65" s="5">
        <f ca="1">IF(LEFT(Demand!$C$8,1)="H",VLOOKUP($D65,'SPC background (hide)'!$AG$2:$AS$54,13,0),E65*1.1)</f>
        <v>4500.4999999999982</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4038.4615384615386</v>
      </c>
      <c r="J65" s="5">
        <f ca="1">HLOOKUP(D65,'Capacity calculation (hide)'!$BK$110:$DJ$111,2,0)</f>
        <v>0</v>
      </c>
      <c r="K65" s="5">
        <f ca="1">IF(I65-IF(Setup!$I$15="Yes",$G65,0)-IF(Setup!$I$13="Yes",$H65,0)&lt;0,0,I65-IF(Setup!$I$15="Yes",$G65,0)-IF(Setup!$I$13="Yes",$H65,0))</f>
        <v>4038.4615384615386</v>
      </c>
      <c r="L65" s="5">
        <f t="shared" ca="1" si="2"/>
        <v>0</v>
      </c>
      <c r="M65" s="5">
        <f ca="1">(IF('Demand adjustments for Covid'!$F$9="No",E65,SUM('Demand background (hide)'!DS54,'Demand background (hide)'!DV54:DW54))*(1-'Parameters calculator (hide)'!$B$43))*(1-'Parameters calculator (hide)'!$B$44+('Parameters calculator (hide)'!$B$45*'Parameters calculator (hide)'!$B$47))</f>
        <v>2443.354875</v>
      </c>
      <c r="N65" s="5">
        <f ca="1">(IF('Demand adjustments for Covid'!$F$9="No",F65,SUM('Demand background (hide)'!DT54,'Demand background (hide)'!DV54:DW54))*(1-'Parameters calculator (hide)'!$B$43))*(1-'Parameters calculator (hide)'!$B$44+('Parameters calculator (hide)'!$B$45*'Parameters calculator (hide)'!$B$47))</f>
        <v>4502.0751749999972</v>
      </c>
      <c r="P65" s="5">
        <f t="shared" ca="1" si="3"/>
        <v>4038.4615384615386</v>
      </c>
      <c r="Q65" s="5">
        <f t="shared" ca="1" si="4"/>
        <v>0</v>
      </c>
      <c r="R65" s="5">
        <f t="shared" ca="1" si="5"/>
        <v>4038.4615384615386</v>
      </c>
      <c r="S65" s="5">
        <f t="shared" ca="1" si="6"/>
        <v>0</v>
      </c>
      <c r="T65" s="5">
        <f ca="1">M65/IF(Summary!$C$8&lt;&gt;"Patients",1,$I$9)</f>
        <v>2443.354875</v>
      </c>
      <c r="U65" s="5">
        <f ca="1">((N65-M65)/IF(Summary!$C$8&lt;&gt;"Patients",1,$I$9))</f>
        <v>2058.7202999999972</v>
      </c>
      <c r="V65" s="5">
        <f t="shared" si="7"/>
        <v>0</v>
      </c>
      <c r="X65" s="5">
        <f ca="1">(VLOOKUP(D65,'SPC background (hide)'!$AG$2:$AN$54,8,0)/IF(Summary!$C$8&lt;&gt;"Patients",1,$I$9))*(1-$I$4)*(1-$I$5+($I$6*$I$7))</f>
        <v>2725.7536799999998</v>
      </c>
    </row>
    <row r="66" spans="1:24" x14ac:dyDescent="0.25">
      <c r="A66" s="87">
        <f t="shared" si="8"/>
        <v>44312</v>
      </c>
      <c r="B66" s="67" t="str">
        <f t="shared" si="10"/>
        <v/>
      </c>
      <c r="C66" s="67" t="str">
        <f>IF(TEXT(A66,"MMM")&lt;&gt;TEXT(A65,"MMM"),TEXT(A66,"MMM"),"")</f>
        <v/>
      </c>
      <c r="D66" s="67">
        <f t="shared" si="1"/>
        <v>17</v>
      </c>
      <c r="E66" s="5">
        <f ca="1">IF(LEFT(Demand!$C$8,1)="H",VLOOKUP($D66,'SPC background (hide)'!$AG$2:$AS$54,12,0),'Demand background (hide)'!X55)</f>
        <v>2442.5</v>
      </c>
      <c r="F66" s="5">
        <f ca="1">IF(LEFT(Demand!$C$8,1)="H",VLOOKUP($D66,'SPC background (hide)'!$AG$2:$AS$54,13,0),E66*1.1)</f>
        <v>4500.4999999999982</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4038.4615384615386</v>
      </c>
      <c r="J66" s="5">
        <f ca="1">HLOOKUP(D66,'Capacity calculation (hide)'!$BK$110:$DJ$111,2,0)</f>
        <v>0</v>
      </c>
      <c r="K66" s="5">
        <f ca="1">IF(I66-IF(Setup!$I$15="Yes",$G66,0)-IF(Setup!$I$13="Yes",$H66,0)&lt;0,0,I66-IF(Setup!$I$15="Yes",$G66,0)-IF(Setup!$I$13="Yes",$H66,0))</f>
        <v>4038.4615384615386</v>
      </c>
      <c r="L66" s="5">
        <f t="shared" ca="1" si="2"/>
        <v>0</v>
      </c>
      <c r="M66" s="5">
        <f ca="1">(IF('Demand adjustments for Covid'!$F$9="No",E66,SUM('Demand background (hide)'!DS55,'Demand background (hide)'!DV55:DW55))*(1-'Parameters calculator (hide)'!$B$43))*(1-'Parameters calculator (hide)'!$B$44+('Parameters calculator (hide)'!$B$45*'Parameters calculator (hide)'!$B$47))</f>
        <v>2443.354875</v>
      </c>
      <c r="N66" s="5">
        <f ca="1">(IF('Demand adjustments for Covid'!$F$9="No",F66,SUM('Demand background (hide)'!DT55,'Demand background (hide)'!DV55:DW55))*(1-'Parameters calculator (hide)'!$B$43))*(1-'Parameters calculator (hide)'!$B$44+('Parameters calculator (hide)'!$B$45*'Parameters calculator (hide)'!$B$47))</f>
        <v>4502.0751749999972</v>
      </c>
      <c r="P66" s="5">
        <f t="shared" ca="1" si="3"/>
        <v>4038.4615384615386</v>
      </c>
      <c r="Q66" s="5">
        <f t="shared" ca="1" si="4"/>
        <v>0</v>
      </c>
      <c r="R66" s="5">
        <f t="shared" ca="1" si="5"/>
        <v>4038.4615384615386</v>
      </c>
      <c r="S66" s="5">
        <f t="shared" ca="1" si="6"/>
        <v>0</v>
      </c>
      <c r="T66" s="5">
        <f ca="1">M66/IF(Summary!$C$8&lt;&gt;"Patients",1,$I$9)</f>
        <v>2443.354875</v>
      </c>
      <c r="U66" s="5">
        <f ca="1">((N66-M66)/IF(Summary!$C$8&lt;&gt;"Patients",1,$I$9))</f>
        <v>2058.7202999999972</v>
      </c>
      <c r="V66" s="5">
        <f t="shared" si="7"/>
        <v>0</v>
      </c>
      <c r="X66" s="5">
        <f ca="1">(VLOOKUP(D66,'SPC background (hide)'!$AG$2:$AN$54,8,0)/IF(Summary!$C$8&lt;&gt;"Patients",1,$I$9))*(1-$I$4)*(1-$I$5+($I$6*$I$7))</f>
        <v>2725.7536799999998</v>
      </c>
    </row>
    <row r="67" spans="1:24" x14ac:dyDescent="0.25">
      <c r="A67" s="297">
        <f t="shared" si="8"/>
        <v>44319</v>
      </c>
      <c r="B67" s="67" t="str">
        <f t="shared" ref="B67" si="11">IF(YEAR(A67)&lt;&gt;YEAR(A66),YEAR(A67),"")</f>
        <v/>
      </c>
      <c r="C67" s="67" t="str">
        <f t="shared" ref="C67" si="12">IF(TEXT(A67,"MMM")&lt;&gt;TEXT(A66,"MMM"),TEXT(A67,"MMM"),"")</f>
        <v>May</v>
      </c>
      <c r="D67" s="59">
        <f>IF(MAX(D15:D66)=53,WEEKNUM(A67,21),53)</f>
        <v>18</v>
      </c>
      <c r="E67" s="5">
        <f ca="1">VLOOKUP($D67,'SPC background (hide)'!$AG$2:$AS$54,12,0)</f>
        <v>2442.5</v>
      </c>
      <c r="F67" s="5">
        <f ca="1">VLOOKUP($D67,'SPC background (hide)'!$AG$2:$AS$54,13,0)</f>
        <v>4500.4999999999982</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4038.4615384615386</v>
      </c>
      <c r="J67" s="299">
        <f ca="1">IF(D67=53,HLOOKUP(52,'Capacity calculation (hide)'!$BK$110:$DJ$111,2,0),J66)</f>
        <v>0</v>
      </c>
      <c r="K67" s="5">
        <f ca="1">IF(I67-IF(Setup!$I$15="Yes",$G67,0)-IF(Setup!$I$13="Yes",$H67,0)&lt;0,0,I67-IF(Setup!$I$15="Yes",$G67,0)-IF(Setup!$I$13="Yes",$H67,0))</f>
        <v>4038.4615384615386</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2443.354875</v>
      </c>
      <c r="N67" s="5">
        <f ca="1">(IF('Demand adjustments for Covid'!$F$9="No",F67,SUM('Demand background (hide)'!DT56,'Demand background (hide)'!DV56:DW56))*(1-'Parameters calculator (hide)'!$B$43))*(1-'Parameters calculator (hide)'!$B$44+('Parameters calculator (hide)'!$B$45*'Parameters calculator (hide)'!$B$47))</f>
        <v>4502.0751749999972</v>
      </c>
      <c r="O67" s="67"/>
      <c r="P67" s="5">
        <f t="shared" ref="P67" ca="1" si="14">I67</f>
        <v>4038.4615384615386</v>
      </c>
      <c r="Q67" s="5">
        <f t="shared" ref="Q67" ca="1" si="15">J67</f>
        <v>0</v>
      </c>
      <c r="R67" s="5">
        <f t="shared" ref="R67" ca="1" si="16">IF(P67-V67&lt;0,0,P67-V67)</f>
        <v>4038.4615384615386</v>
      </c>
      <c r="S67" s="5">
        <f t="shared" ref="S67" ca="1" si="17">IF(R67=0,IF(P67+Q67-V67&lt;0,0,P67+Q67-V67),Q67)</f>
        <v>0</v>
      </c>
      <c r="T67" s="5">
        <f ca="1">M67/IF(Summary!$C$8&lt;&gt;"Patients",1,$I$9)</f>
        <v>2443.354875</v>
      </c>
      <c r="U67" s="5">
        <f ca="1">((N67-M67)/IF(Summary!$C$8&lt;&gt;"Patients",1,$I$9))</f>
        <v>2058.7202999999972</v>
      </c>
      <c r="V67" s="5">
        <f t="shared" ref="V67" si="18">SUM(G67:H67)</f>
        <v>0</v>
      </c>
      <c r="W67" s="67"/>
      <c r="X67" s="5">
        <f ca="1">(VLOOKUP(D67,'SPC background (hide)'!$AG$2:$AN$54,8,0)/IF(Summary!$C$8&lt;&gt;"Patients",1,$I$9))*(1-$I$4)*(1-$I$5+($I$6*$I$7))</f>
        <v>2725.7536799999998</v>
      </c>
    </row>
    <row r="68" spans="1:24" s="67" customFormat="1" x14ac:dyDescent="0.25">
      <c r="X68" s="5"/>
    </row>
    <row r="69" spans="1:24" x14ac:dyDescent="0.25">
      <c r="X69" s="5"/>
    </row>
    <row r="70" spans="1:24" x14ac:dyDescent="0.25">
      <c r="D70" t="s">
        <v>290</v>
      </c>
      <c r="E70" s="5">
        <f ca="1">AVERAGE(E15:E67)</f>
        <v>2442.5</v>
      </c>
      <c r="F70" s="5">
        <f ca="1">AVERAGE(F15:F67)</f>
        <v>4500.4999999999991</v>
      </c>
      <c r="G70" s="5" t="str">
        <f>IF(Setup!$I$15="Yes",AVERAGE(G15:G67),"")</f>
        <v/>
      </c>
      <c r="H70" s="5" t="str">
        <f>IF(Setup!$I$13="Yes",AVERAGE(H15:H67),"")</f>
        <v/>
      </c>
      <c r="I70" s="5">
        <f ca="1">AVERAGE(I15:I67)</f>
        <v>3140.5079825834514</v>
      </c>
      <c r="J70" s="5">
        <f ca="1">AVERAGE(J15:J67)</f>
        <v>0.94339622641509435</v>
      </c>
      <c r="K70" s="5">
        <f ca="1">AVERAGE(K15:K67)</f>
        <v>3140.5079825834514</v>
      </c>
      <c r="L70" s="5">
        <f ca="1">AVERAGE(L15:L67)</f>
        <v>0.94339622641509435</v>
      </c>
      <c r="M70" s="104">
        <f ca="1">AVERAGE(M15:M67)/IF(Summary!$C$8&lt;&gt;"Patients",1,$I$9)</f>
        <v>2560.1646120283035</v>
      </c>
      <c r="N70" s="104">
        <f ca="1">AVERAGE(N15:N67)/IF(Summary!$C$8&lt;&gt;"Patients",1,$I$9)</f>
        <v>4269.8005110849044</v>
      </c>
      <c r="R70" s="5">
        <f ca="1">AVERAGE(R15:R67)</f>
        <v>3140.5079825834514</v>
      </c>
      <c r="S70" s="5">
        <f ca="1">AVERAGE(S15:S67)</f>
        <v>0.94339622641509435</v>
      </c>
      <c r="V70" s="104">
        <f>IF(AND(Setup!$I$13="No",Setup!$I$15="No"),0,IF(H70&lt;&gt;"",H70,0)+IF(G70&lt;&gt;"",G70,0))</f>
        <v>0</v>
      </c>
      <c r="X70" s="5">
        <f ca="1">AVERAGE(X15:X67)</f>
        <v>2725.7536799999975</v>
      </c>
    </row>
    <row r="71" spans="1:24" x14ac:dyDescent="0.25">
      <c r="E71" s="60"/>
      <c r="I71" t="s">
        <v>308</v>
      </c>
      <c r="K71" s="104">
        <f ca="1">(K70)/IF(Summary!$C$8&lt;&gt;"Patients",1,$I$9)</f>
        <v>3140.5079825834514</v>
      </c>
      <c r="L71" s="104">
        <f ca="1">(L70)/IF(Summary!$C$8&lt;&gt;"Patients",1,$I$9)</f>
        <v>0.94339622641509435</v>
      </c>
      <c r="M71" s="5"/>
      <c r="N71" s="5">
        <f ca="1">N70-M70</f>
        <v>1709.6358990566009</v>
      </c>
      <c r="R71" s="5">
        <f ca="1">SUM(R15:R67)</f>
        <v>166446.92307692292</v>
      </c>
      <c r="S71" s="5">
        <f ca="1">SUM(S15:S67)</f>
        <v>50</v>
      </c>
      <c r="V71" s="5">
        <f>SUM(V15:V67)</f>
        <v>0</v>
      </c>
      <c r="X71" s="5">
        <f ca="1">SUM(X15:X67)</f>
        <v>144464.94503999988</v>
      </c>
    </row>
    <row r="72" spans="1:24" x14ac:dyDescent="0.25">
      <c r="E72" s="5"/>
      <c r="F72" s="5"/>
      <c r="J72" s="5"/>
      <c r="K72" s="5"/>
      <c r="L72" s="5"/>
      <c r="M72" s="5"/>
      <c r="N72" s="5"/>
      <c r="X72" s="5">
        <f ca="1">AVERAGE(X15:X67)</f>
        <v>2725.7536799999975</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1129</v>
      </c>
    </row>
    <row r="3" spans="1:29" x14ac:dyDescent="0.25">
      <c r="A3" t="s">
        <v>1115</v>
      </c>
      <c r="B3" s="302">
        <f>Summary!$D$42</f>
        <v>0</v>
      </c>
      <c r="H3" t="s">
        <v>153</v>
      </c>
      <c r="I3" t="s">
        <v>148</v>
      </c>
      <c r="J3" t="s">
        <v>149</v>
      </c>
      <c r="K3" t="s">
        <v>156</v>
      </c>
      <c r="L3" t="s">
        <v>1127</v>
      </c>
      <c r="M3" t="s">
        <v>531</v>
      </c>
      <c r="N3" t="s">
        <v>1128</v>
      </c>
    </row>
    <row r="4" spans="1:29" x14ac:dyDescent="0.25">
      <c r="A4" t="s">
        <v>1116</v>
      </c>
      <c r="B4" s="302">
        <f>Summary!$D$43</f>
        <v>0</v>
      </c>
      <c r="H4">
        <v>1</v>
      </c>
      <c r="I4">
        <f>'SPC background (hide)'!L4</f>
        <v>1</v>
      </c>
      <c r="J4">
        <f ca="1">'SPC background (hide)'!M4</f>
        <v>10</v>
      </c>
      <c r="K4" s="5">
        <f ca="1">'SPC background (hide)'!O4</f>
        <v>2724.8</v>
      </c>
      <c r="L4">
        <f ca="1">IFERROR(VLOOKUP(H4,'SPC background (hide)'!$AI$2:$AJ$54,2,FALSE),"")</f>
        <v>532.70291568163918</v>
      </c>
      <c r="M4" s="5">
        <f ca="1">'SPC background (hide)'!P4</f>
        <v>2442.5</v>
      </c>
      <c r="N4" s="5">
        <f ca="1">'SPC background (hide)'!Q4</f>
        <v>4500.4999999999982</v>
      </c>
    </row>
    <row r="5" spans="1:29" x14ac:dyDescent="0.25">
      <c r="A5" t="s">
        <v>75</v>
      </c>
      <c r="B5" s="3">
        <f ca="1">'Summary Calculations (hide)'!I4</f>
        <v>0.05</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1117</v>
      </c>
      <c r="B6" s="3">
        <f ca="1">'Summary Calculations (hide)'!I5</f>
        <v>1.0999999999999999E-2</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0.08</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0.8</v>
      </c>
      <c r="H8" s="67">
        <v>5</v>
      </c>
      <c r="I8" s="67">
        <f ca="1">'SPC background (hide)'!L8</f>
        <v>11</v>
      </c>
      <c r="J8" s="67">
        <f ca="1">'SPC background (hide)'!M8</f>
        <v>52</v>
      </c>
      <c r="K8" s="5">
        <f ca="1">'SPC background (hide)'!O8</f>
        <v>2724.8</v>
      </c>
      <c r="L8" s="67">
        <f ca="1">IFERROR(VLOOKUP(H8,'SPC background (hide)'!$AI$2:$AJ$54,2,FALSE),"")</f>
        <v>532.70291568163918</v>
      </c>
      <c r="M8" s="5">
        <f ca="1">'SPC background (hide)'!P8</f>
        <v>2442.5</v>
      </c>
      <c r="N8" s="5">
        <f ca="1">'SPC background (hide)'!Q8</f>
        <v>4500.4999999999982</v>
      </c>
    </row>
    <row r="10" spans="1:29" x14ac:dyDescent="0.25">
      <c r="A10" t="s">
        <v>1149</v>
      </c>
      <c r="B10" s="3"/>
      <c r="H10" t="s">
        <v>1126</v>
      </c>
      <c r="T10" t="s">
        <v>1132</v>
      </c>
    </row>
    <row r="11" spans="1:29" x14ac:dyDescent="0.25">
      <c r="A11" t="s">
        <v>1118</v>
      </c>
      <c r="B11" s="3">
        <f ca="1">(1-B5)*(1-(B6+B7))</f>
        <v>0.86355000000000004</v>
      </c>
      <c r="C11" s="51" t="s">
        <v>1145</v>
      </c>
      <c r="D11" t="s">
        <v>1139</v>
      </c>
      <c r="T11" t="s">
        <v>1133</v>
      </c>
      <c r="U11" t="s">
        <v>1134</v>
      </c>
      <c r="V11" t="s">
        <v>1135</v>
      </c>
      <c r="W11" t="s">
        <v>1136</v>
      </c>
      <c r="X11" t="s">
        <v>1137</v>
      </c>
      <c r="Y11" t="s">
        <v>1138</v>
      </c>
      <c r="Z11" t="s">
        <v>156</v>
      </c>
      <c r="AA11" t="s">
        <v>1142</v>
      </c>
      <c r="AB11" t="s">
        <v>1143</v>
      </c>
      <c r="AC11" t="s">
        <v>1144</v>
      </c>
    </row>
    <row r="12" spans="1:29" x14ac:dyDescent="0.25">
      <c r="A12" t="s">
        <v>1119</v>
      </c>
      <c r="B12" s="3">
        <f ca="1">(1-B5) * (B7*B8)</f>
        <v>6.08E-2</v>
      </c>
      <c r="C12" s="51" t="s">
        <v>1146</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1130</v>
      </c>
      <c r="R12" t="s">
        <v>391</v>
      </c>
      <c r="T12">
        <v>152</v>
      </c>
    </row>
    <row r="13" spans="1:29" x14ac:dyDescent="0.25">
      <c r="A13" t="s">
        <v>1123</v>
      </c>
      <c r="B13" s="3">
        <f ca="1">B11+B12</f>
        <v>0.92435</v>
      </c>
      <c r="C13" s="51" t="s">
        <v>1124</v>
      </c>
      <c r="H13" s="297">
        <f>'Summary Calculations (hide)'!A15</f>
        <v>43955</v>
      </c>
      <c r="I13">
        <f>'Summary Calculations (hide)'!B15</f>
        <v>2020</v>
      </c>
      <c r="J13" t="str">
        <f>'Summary Calculations (hide)'!C15</f>
        <v>May</v>
      </c>
      <c r="K13">
        <f>'Summary Calculations (hide)'!D15</f>
        <v>19</v>
      </c>
      <c r="L13">
        <f ca="1">VLOOKUP($K13,'SPC background (hide)'!$AG$2:$AS$54,3,0)</f>
        <v>1</v>
      </c>
      <c r="M13">
        <f ca="1">((VLOOKUP(L13,$H$4:$N$8,4,FALSE)*(1-$B$5)*(1-$B$6+($B$7*$B$8))))</f>
        <v>2725.7536799999998</v>
      </c>
      <c r="N13" s="67">
        <f ca="1">((VLOOKUP(L13,$H$4:$N$8,5,FALSE)*(1-$B$5)*(1-$B$6+($B$7*$B$8))))</f>
        <v>532.88936170212764</v>
      </c>
      <c r="R13" s="5">
        <f ca="1">(VLOOKUP(K13,'Summary Calculations (hide)'!$D$15:$L$67,8,0)+VLOOKUP(K13,'Summary Calculations (hide)'!$D$15:$L$67,9,0))*IF(Summary!$C$8="Patients",'Summary Calculations (hide)'!$I$9,1)</f>
        <v>20</v>
      </c>
      <c r="AA13">
        <f ca="1">IF(Summary!$C$8="Patients", 'Parameters calculator (hide)'!$H$63,'Parameters calculator (hide)'!$H$62)</f>
        <v>2588.56</v>
      </c>
      <c r="AB13" s="67">
        <f ca="1">IF(Summary!$C$8="Patients", 'Parameters calculator (hide)'!$I$63,'Parameters calculator (hide)'!$I$62)</f>
        <v>2861.0400000000004</v>
      </c>
      <c r="AC13">
        <f ca="1">AB13-AA13</f>
        <v>272.48000000000047</v>
      </c>
    </row>
    <row r="14" spans="1:29" x14ac:dyDescent="0.25">
      <c r="A14" t="s">
        <v>1120</v>
      </c>
      <c r="B14" s="3">
        <f ca="1">1 - B7</f>
        <v>0.92</v>
      </c>
      <c r="C14" s="51" t="s">
        <v>1147</v>
      </c>
      <c r="H14" s="297">
        <f>'Summary Calculations (hide)'!A16</f>
        <v>43962</v>
      </c>
      <c r="I14" t="str">
        <f>'Summary Calculations (hide)'!B16</f>
        <v/>
      </c>
      <c r="J14" t="str">
        <f>'Summary Calculations (hide)'!C16</f>
        <v/>
      </c>
      <c r="K14">
        <f>'Summary Calculations (hide)'!D16</f>
        <v>20</v>
      </c>
      <c r="L14" s="67">
        <f ca="1">VLOOKUP($K14,'SPC background (hide)'!$AG$2:$AS$54,3,0)</f>
        <v>5</v>
      </c>
      <c r="M14" s="67">
        <f t="shared" ref="M14:M64" ca="1" si="0">((VLOOKUP(L14,$H$4:$N$8,4,FALSE)*(1-$B$5)*(1-$B$6+($B$7*$B$8))))</f>
        <v>2725.7536799999998</v>
      </c>
      <c r="N14" s="67">
        <f t="shared" ref="N14:N64" ca="1" si="1">((VLOOKUP(L14,$H$4:$N$8,5,FALSE)*(1-$B$5)*(1-$B$6+($B$7*$B$8))))</f>
        <v>532.88936170212764</v>
      </c>
      <c r="O14" s="67"/>
      <c r="P14" s="67"/>
      <c r="Q14" s="67"/>
      <c r="R14" s="5">
        <f ca="1">(VLOOKUP(K14,'Summary Calculations (hide)'!$D$15:$L$67,8,0)+VLOOKUP(K14,'Summary Calculations (hide)'!$D$15:$L$67,9,0))*IF(Summary!$C$8="Patients",'Summary Calculations (hide)'!$I$9,1)</f>
        <v>20</v>
      </c>
      <c r="AA14" s="67">
        <f ca="1">IF(Summary!$C$8="Patients", 'Parameters calculator (hide)'!$H$63,'Parameters calculator (hide)'!$H$62)</f>
        <v>2588.56</v>
      </c>
      <c r="AB14" s="67">
        <f ca="1">IF(Summary!$C$8="Patients", 'Parameters calculator (hide)'!$I$63,'Parameters calculator (hide)'!$I$62)</f>
        <v>2861.0400000000004</v>
      </c>
      <c r="AC14" s="67">
        <f t="shared" ref="AC14:AC64" ca="1" si="2">AB14-AA14</f>
        <v>272.48000000000047</v>
      </c>
    </row>
    <row r="15" spans="1:29" x14ac:dyDescent="0.25">
      <c r="A15" t="s">
        <v>1121</v>
      </c>
      <c r="B15" s="3">
        <f ca="1">B7*B8</f>
        <v>6.4000000000000001E-2</v>
      </c>
      <c r="C15" s="51" t="s">
        <v>1148</v>
      </c>
      <c r="H15" s="297">
        <f>'Summary Calculations (hide)'!A17</f>
        <v>43969</v>
      </c>
      <c r="I15" t="str">
        <f>'Summary Calculations (hide)'!B17</f>
        <v/>
      </c>
      <c r="J15" t="str">
        <f>'Summary Calculations (hide)'!C17</f>
        <v/>
      </c>
      <c r="K15">
        <f>'Summary Calculations (hide)'!D17</f>
        <v>21</v>
      </c>
      <c r="L15" s="67">
        <f ca="1">VLOOKUP($K15,'SPC background (hide)'!$AG$2:$AS$54,3,0)</f>
        <v>5</v>
      </c>
      <c r="M15" s="67">
        <f t="shared" ca="1" si="0"/>
        <v>2725.7536799999998</v>
      </c>
      <c r="N15" s="67">
        <f t="shared" ca="1" si="1"/>
        <v>532.88936170212764</v>
      </c>
      <c r="O15" s="67"/>
      <c r="P15" s="67"/>
      <c r="Q15" s="67"/>
      <c r="R15" s="5">
        <f ca="1">(VLOOKUP(K15,'Summary Calculations (hide)'!$D$15:$L$67,8,0)+VLOOKUP(K15,'Summary Calculations (hide)'!$D$15:$L$67,9,0))*IF(Summary!$C$8="Patients",'Summary Calculations (hide)'!$I$9,1)</f>
        <v>20</v>
      </c>
      <c r="AA15" s="67">
        <f ca="1">IF(Summary!$C$8="Patients", 'Parameters calculator (hide)'!$H$63,'Parameters calculator (hide)'!$H$62)</f>
        <v>2588.56</v>
      </c>
      <c r="AB15" s="67">
        <f ca="1">IF(Summary!$C$8="Patients", 'Parameters calculator (hide)'!$I$63,'Parameters calculator (hide)'!$I$62)</f>
        <v>2861.0400000000004</v>
      </c>
      <c r="AC15" s="67">
        <f t="shared" ca="1" si="2"/>
        <v>272.48000000000047</v>
      </c>
    </row>
    <row r="16" spans="1:29" x14ac:dyDescent="0.25">
      <c r="A16" t="s">
        <v>1131</v>
      </c>
      <c r="B16" s="3">
        <f ca="1">B14+B15</f>
        <v>0.98399999999999999</v>
      </c>
      <c r="C16" s="51" t="s">
        <v>1125</v>
      </c>
      <c r="H16" s="297">
        <f>'Summary Calculations (hide)'!A18</f>
        <v>43976</v>
      </c>
      <c r="I16" t="str">
        <f>'Summary Calculations (hide)'!B18</f>
        <v/>
      </c>
      <c r="J16" t="str">
        <f>'Summary Calculations (hide)'!C18</f>
        <v/>
      </c>
      <c r="K16">
        <f>'Summary Calculations (hide)'!D18</f>
        <v>22</v>
      </c>
      <c r="L16" s="67">
        <f ca="1">VLOOKUP($K16,'SPC background (hide)'!$AG$2:$AS$54,3,0)</f>
        <v>5</v>
      </c>
      <c r="M16" s="67">
        <f t="shared" ca="1" si="0"/>
        <v>2725.7536799999998</v>
      </c>
      <c r="N16" s="67">
        <f t="shared" ca="1" si="1"/>
        <v>532.88936170212764</v>
      </c>
      <c r="O16" s="67"/>
      <c r="P16" s="67"/>
      <c r="Q16" s="67"/>
      <c r="R16" s="5">
        <f ca="1">(VLOOKUP(K16,'Summary Calculations (hide)'!$D$15:$L$67,8,0)+VLOOKUP(K16,'Summary Calculations (hide)'!$D$15:$L$67,9,0))*IF(Summary!$C$8="Patients",'Summary Calculations (hide)'!$I$9,1)</f>
        <v>20</v>
      </c>
      <c r="AA16" s="67">
        <f ca="1">IF(Summary!$C$8="Patients", 'Parameters calculator (hide)'!$H$63,'Parameters calculator (hide)'!$H$62)</f>
        <v>2588.56</v>
      </c>
      <c r="AB16" s="67">
        <f ca="1">IF(Summary!$C$8="Patients", 'Parameters calculator (hide)'!$I$63,'Parameters calculator (hide)'!$I$62)</f>
        <v>2861.0400000000004</v>
      </c>
      <c r="AC16" s="67">
        <f t="shared" ca="1" si="2"/>
        <v>272.48000000000047</v>
      </c>
    </row>
    <row r="17" spans="1:29" x14ac:dyDescent="0.25">
      <c r="H17" s="297">
        <f>'Summary Calculations (hide)'!A19</f>
        <v>43983</v>
      </c>
      <c r="I17" t="str">
        <f>'Summary Calculations (hide)'!B19</f>
        <v/>
      </c>
      <c r="J17" t="str">
        <f>'Summary Calculations (hide)'!C19</f>
        <v>Jun</v>
      </c>
      <c r="K17">
        <f>'Summary Calculations (hide)'!D19</f>
        <v>23</v>
      </c>
      <c r="L17" s="67">
        <f ca="1">VLOOKUP($K17,'SPC background (hide)'!$AG$2:$AS$54,3,0)</f>
        <v>5</v>
      </c>
      <c r="M17" s="67">
        <f t="shared" ca="1" si="0"/>
        <v>2725.7536799999998</v>
      </c>
      <c r="N17" s="67">
        <f t="shared" ca="1" si="1"/>
        <v>532.88936170212764</v>
      </c>
      <c r="O17" s="67"/>
      <c r="P17" s="67"/>
      <c r="Q17" s="67"/>
      <c r="R17" s="5">
        <f ca="1">(VLOOKUP(K17,'Summary Calculations (hide)'!$D$15:$L$67,8,0)+VLOOKUP(K17,'Summary Calculations (hide)'!$D$15:$L$67,9,0))*IF(Summary!$C$8="Patients",'Summary Calculations (hide)'!$I$9,1)</f>
        <v>20</v>
      </c>
      <c r="AA17" s="67">
        <f ca="1">IF(Summary!$C$8="Patients", 'Parameters calculator (hide)'!$H$63,'Parameters calculator (hide)'!$H$62)</f>
        <v>2588.56</v>
      </c>
      <c r="AB17" s="67">
        <f ca="1">IF(Summary!$C$8="Patients", 'Parameters calculator (hide)'!$I$63,'Parameters calculator (hide)'!$I$62)</f>
        <v>2861.0400000000004</v>
      </c>
      <c r="AC17" s="67">
        <f t="shared" ca="1" si="2"/>
        <v>272.48000000000047</v>
      </c>
    </row>
    <row r="18" spans="1:29" x14ac:dyDescent="0.25">
      <c r="A18" s="3"/>
      <c r="B18" s="3"/>
      <c r="C18" s="3"/>
      <c r="H18" s="297">
        <f>'Summary Calculations (hide)'!A20</f>
        <v>43990</v>
      </c>
      <c r="I18" t="str">
        <f>'Summary Calculations (hide)'!B20</f>
        <v/>
      </c>
      <c r="J18" t="str">
        <f>'Summary Calculations (hide)'!C20</f>
        <v/>
      </c>
      <c r="K18">
        <f>'Summary Calculations (hide)'!D20</f>
        <v>24</v>
      </c>
      <c r="L18" s="67">
        <f ca="1">VLOOKUP($K18,'SPC background (hide)'!$AG$2:$AS$54,3,0)</f>
        <v>5</v>
      </c>
      <c r="M18" s="67">
        <f t="shared" ca="1" si="0"/>
        <v>2725.7536799999998</v>
      </c>
      <c r="N18" s="67">
        <f t="shared" ca="1" si="1"/>
        <v>532.88936170212764</v>
      </c>
      <c r="O18" s="67"/>
      <c r="P18" s="67"/>
      <c r="Q18" s="67"/>
      <c r="R18" s="5">
        <f ca="1">(VLOOKUP(K18,'Summary Calculations (hide)'!$D$15:$L$67,8,0)+VLOOKUP(K18,'Summary Calculations (hide)'!$D$15:$L$67,9,0))*IF(Summary!$C$8="Patients",'Summary Calculations (hide)'!$I$9,1)</f>
        <v>20</v>
      </c>
      <c r="AA18" s="67">
        <f ca="1">IF(Summary!$C$8="Patients", 'Parameters calculator (hide)'!$H$63,'Parameters calculator (hide)'!$H$62)</f>
        <v>2588.56</v>
      </c>
      <c r="AB18" s="67">
        <f ca="1">IF(Summary!$C$8="Patients", 'Parameters calculator (hide)'!$I$63,'Parameters calculator (hide)'!$I$62)</f>
        <v>2861.0400000000004</v>
      </c>
      <c r="AC18" s="67">
        <f t="shared" ca="1" si="2"/>
        <v>272.48000000000047</v>
      </c>
    </row>
    <row r="19" spans="1:29" x14ac:dyDescent="0.25">
      <c r="A19" s="3"/>
      <c r="B19" s="3"/>
      <c r="C19" s="3"/>
      <c r="H19" s="297">
        <f>'Summary Calculations (hide)'!A21</f>
        <v>43997</v>
      </c>
      <c r="I19" t="str">
        <f>'Summary Calculations (hide)'!B21</f>
        <v/>
      </c>
      <c r="J19" t="str">
        <f>'Summary Calculations (hide)'!C21</f>
        <v/>
      </c>
      <c r="K19">
        <f>'Summary Calculations (hide)'!D21</f>
        <v>25</v>
      </c>
      <c r="L19" s="67">
        <f ca="1">VLOOKUP($K19,'SPC background (hide)'!$AG$2:$AS$54,3,0)</f>
        <v>5</v>
      </c>
      <c r="M19" s="67">
        <f t="shared" ca="1" si="0"/>
        <v>2725.7536799999998</v>
      </c>
      <c r="N19" s="67">
        <f t="shared" ca="1" si="1"/>
        <v>532.88936170212764</v>
      </c>
      <c r="O19" s="67"/>
      <c r="P19" s="67"/>
      <c r="Q19" s="67"/>
      <c r="R19" s="5">
        <f ca="1">(VLOOKUP(K19,'Summary Calculations (hide)'!$D$15:$L$67,8,0)+VLOOKUP(K19,'Summary Calculations (hide)'!$D$15:$L$67,9,0))*IF(Summary!$C$8="Patients",'Summary Calculations (hide)'!$I$9,1)</f>
        <v>40</v>
      </c>
      <c r="AA19" s="67">
        <f ca="1">IF(Summary!$C$8="Patients", 'Parameters calculator (hide)'!$H$63,'Parameters calculator (hide)'!$H$62)</f>
        <v>2588.56</v>
      </c>
      <c r="AB19" s="67">
        <f ca="1">IF(Summary!$C$8="Patients", 'Parameters calculator (hide)'!$I$63,'Parameters calculator (hide)'!$I$62)</f>
        <v>2861.0400000000004</v>
      </c>
      <c r="AC19" s="67">
        <f t="shared" ca="1" si="2"/>
        <v>272.48000000000047</v>
      </c>
    </row>
    <row r="20" spans="1:29" x14ac:dyDescent="0.25">
      <c r="A20" s="3"/>
      <c r="B20" s="3"/>
      <c r="C20" s="3"/>
      <c r="H20" s="297">
        <f>'Summary Calculations (hide)'!A22</f>
        <v>44004</v>
      </c>
      <c r="I20" t="str">
        <f>'Summary Calculations (hide)'!B22</f>
        <v/>
      </c>
      <c r="J20" t="str">
        <f>'Summary Calculations (hide)'!C22</f>
        <v/>
      </c>
      <c r="K20">
        <f>'Summary Calculations (hide)'!D22</f>
        <v>26</v>
      </c>
      <c r="L20" s="67">
        <f ca="1">VLOOKUP($K20,'SPC background (hide)'!$AG$2:$AS$54,3,0)</f>
        <v>5</v>
      </c>
      <c r="M20" s="67">
        <f t="shared" ca="1" si="0"/>
        <v>2725.7536799999998</v>
      </c>
      <c r="N20" s="67">
        <f t="shared" ca="1" si="1"/>
        <v>532.88936170212764</v>
      </c>
      <c r="O20" s="67"/>
      <c r="P20" s="67"/>
      <c r="Q20" s="67"/>
      <c r="R20" s="5">
        <f ca="1">(VLOOKUP(K20,'Summary Calculations (hide)'!$D$15:$L$67,8,0)+VLOOKUP(K20,'Summary Calculations (hide)'!$D$15:$L$67,9,0))*IF(Summary!$C$8="Patients",'Summary Calculations (hide)'!$I$9,1)</f>
        <v>80</v>
      </c>
      <c r="AA20" s="67">
        <f ca="1">IF(Summary!$C$8="Patients", 'Parameters calculator (hide)'!$H$63,'Parameters calculator (hide)'!$H$62)</f>
        <v>2588.56</v>
      </c>
      <c r="AB20" s="67">
        <f ca="1">IF(Summary!$C$8="Patients", 'Parameters calculator (hide)'!$I$63,'Parameters calculator (hide)'!$I$62)</f>
        <v>2861.0400000000004</v>
      </c>
      <c r="AC20" s="67">
        <f t="shared" ca="1" si="2"/>
        <v>272.48000000000047</v>
      </c>
    </row>
    <row r="21" spans="1:29" x14ac:dyDescent="0.25">
      <c r="A21" s="3"/>
      <c r="B21" s="3"/>
      <c r="C21" s="3"/>
      <c r="H21" s="297">
        <f>'Summary Calculations (hide)'!A23</f>
        <v>44011</v>
      </c>
      <c r="I21" t="str">
        <f>'Summary Calculations (hide)'!B23</f>
        <v/>
      </c>
      <c r="J21" t="str">
        <f>'Summary Calculations (hide)'!C23</f>
        <v/>
      </c>
      <c r="K21">
        <f>'Summary Calculations (hide)'!D23</f>
        <v>27</v>
      </c>
      <c r="L21" s="67">
        <f ca="1">VLOOKUP($K21,'SPC background (hide)'!$AG$2:$AS$54,3,0)</f>
        <v>5</v>
      </c>
      <c r="M21" s="67">
        <f t="shared" ca="1" si="0"/>
        <v>2725.7536799999998</v>
      </c>
      <c r="N21" s="67">
        <f t="shared" ca="1" si="1"/>
        <v>532.88936170212764</v>
      </c>
      <c r="O21" s="67"/>
      <c r="P21" s="67"/>
      <c r="Q21" s="67"/>
      <c r="R21" s="5">
        <f ca="1">(VLOOKUP(K21,'Summary Calculations (hide)'!$D$15:$L$67,8,0)+VLOOKUP(K21,'Summary Calculations (hide)'!$D$15:$L$67,9,0))*IF(Summary!$C$8="Patients",'Summary Calculations (hide)'!$I$9,1)</f>
        <v>120</v>
      </c>
      <c r="AA21" s="67">
        <f ca="1">IF(Summary!$C$8="Patients", 'Parameters calculator (hide)'!$H$63,'Parameters calculator (hide)'!$H$62)</f>
        <v>2588.56</v>
      </c>
      <c r="AB21" s="67">
        <f ca="1">IF(Summary!$C$8="Patients", 'Parameters calculator (hide)'!$I$63,'Parameters calculator (hide)'!$I$62)</f>
        <v>2861.0400000000004</v>
      </c>
      <c r="AC21" s="67">
        <f t="shared" ca="1" si="2"/>
        <v>272.48000000000047</v>
      </c>
    </row>
    <row r="22" spans="1:29" x14ac:dyDescent="0.25">
      <c r="A22" s="3"/>
      <c r="B22" s="3"/>
      <c r="C22" s="3"/>
      <c r="H22" s="297">
        <f>'Summary Calculations (hide)'!A24</f>
        <v>44018</v>
      </c>
      <c r="I22" t="str">
        <f>'Summary Calculations (hide)'!B24</f>
        <v/>
      </c>
      <c r="J22" t="str">
        <f>'Summary Calculations (hide)'!C24</f>
        <v>Jul</v>
      </c>
      <c r="K22">
        <f>'Summary Calculations (hide)'!D24</f>
        <v>28</v>
      </c>
      <c r="L22" s="67">
        <f ca="1">VLOOKUP($K22,'SPC background (hide)'!$AG$2:$AS$54,3,0)</f>
        <v>5</v>
      </c>
      <c r="M22" s="67">
        <f t="shared" ca="1" si="0"/>
        <v>2725.7536799999998</v>
      </c>
      <c r="N22" s="67">
        <f t="shared" ca="1" si="1"/>
        <v>532.88936170212764</v>
      </c>
      <c r="O22" s="67"/>
      <c r="P22" s="67"/>
      <c r="Q22" s="67"/>
      <c r="R22" s="5">
        <f ca="1">(VLOOKUP(K22,'Summary Calculations (hide)'!$D$15:$L$67,8,0)+VLOOKUP(K22,'Summary Calculations (hide)'!$D$15:$L$67,9,0))*IF(Summary!$C$8="Patients",'Summary Calculations (hide)'!$I$9,1)</f>
        <v>150</v>
      </c>
      <c r="AA22" s="67">
        <f ca="1">IF(Summary!$C$8="Patients", 'Parameters calculator (hide)'!$H$63,'Parameters calculator (hide)'!$H$62)</f>
        <v>2588.56</v>
      </c>
      <c r="AB22" s="67">
        <f ca="1">IF(Summary!$C$8="Patients", 'Parameters calculator (hide)'!$I$63,'Parameters calculator (hide)'!$I$62)</f>
        <v>2861.0400000000004</v>
      </c>
      <c r="AC22" s="67">
        <f t="shared" ca="1" si="2"/>
        <v>272.48000000000047</v>
      </c>
    </row>
    <row r="23" spans="1:29" x14ac:dyDescent="0.25">
      <c r="A23" s="3"/>
      <c r="B23" s="3"/>
      <c r="C23" s="3"/>
      <c r="H23" s="297">
        <f>'Summary Calculations (hide)'!A25</f>
        <v>44025</v>
      </c>
      <c r="I23" t="str">
        <f>'Summary Calculations (hide)'!B25</f>
        <v/>
      </c>
      <c r="J23" t="str">
        <f>'Summary Calculations (hide)'!C25</f>
        <v/>
      </c>
      <c r="K23">
        <f>'Summary Calculations (hide)'!D25</f>
        <v>29</v>
      </c>
      <c r="L23" s="67">
        <f ca="1">VLOOKUP($K23,'SPC background (hide)'!$AG$2:$AS$54,3,0)</f>
        <v>5</v>
      </c>
      <c r="M23" s="67">
        <f t="shared" ca="1" si="0"/>
        <v>2725.7536799999998</v>
      </c>
      <c r="N23" s="67">
        <f t="shared" ca="1" si="1"/>
        <v>532.88936170212764</v>
      </c>
      <c r="O23" s="67"/>
      <c r="P23" s="67"/>
      <c r="Q23" s="67"/>
      <c r="R23" s="5">
        <f ca="1">(VLOOKUP(K23,'Summary Calculations (hide)'!$D$15:$L$67,8,0)+VLOOKUP(K23,'Summary Calculations (hide)'!$D$15:$L$67,9,0))*IF(Summary!$C$8="Patients",'Summary Calculations (hide)'!$I$9,1)</f>
        <v>180</v>
      </c>
      <c r="AA23" s="67">
        <f ca="1">IF(Summary!$C$8="Patients", 'Parameters calculator (hide)'!$H$63,'Parameters calculator (hide)'!$H$62)</f>
        <v>2588.56</v>
      </c>
      <c r="AB23" s="67">
        <f ca="1">IF(Summary!$C$8="Patients", 'Parameters calculator (hide)'!$I$63,'Parameters calculator (hide)'!$I$62)</f>
        <v>2861.0400000000004</v>
      </c>
      <c r="AC23" s="67">
        <f t="shared" ca="1" si="2"/>
        <v>272.48000000000047</v>
      </c>
    </row>
    <row r="24" spans="1:29" x14ac:dyDescent="0.25">
      <c r="A24" s="3"/>
      <c r="B24" s="3"/>
      <c r="C24" s="3"/>
      <c r="H24" s="297">
        <f>'Summary Calculations (hide)'!A26</f>
        <v>44032</v>
      </c>
      <c r="I24" t="str">
        <f>'Summary Calculations (hide)'!B26</f>
        <v/>
      </c>
      <c r="J24" t="str">
        <f>'Summary Calculations (hide)'!C26</f>
        <v/>
      </c>
      <c r="K24">
        <f>'Summary Calculations (hide)'!D26</f>
        <v>30</v>
      </c>
      <c r="L24" s="67">
        <f ca="1">VLOOKUP($K24,'SPC background (hide)'!$AG$2:$AS$54,3,0)</f>
        <v>5</v>
      </c>
      <c r="M24" s="67">
        <f t="shared" ca="1" si="0"/>
        <v>2725.7536799999998</v>
      </c>
      <c r="N24" s="67">
        <f t="shared" ca="1" si="1"/>
        <v>532.88936170212764</v>
      </c>
      <c r="O24" s="67"/>
      <c r="P24" s="67"/>
      <c r="Q24" s="67"/>
      <c r="R24" s="5">
        <f ca="1">(VLOOKUP(K24,'Summary Calculations (hide)'!$D$15:$L$67,8,0)+VLOOKUP(K24,'Summary Calculations (hide)'!$D$15:$L$67,9,0))*IF(Summary!$C$8="Patients",'Summary Calculations (hide)'!$I$9,1)</f>
        <v>180</v>
      </c>
      <c r="AA24" s="67">
        <f ca="1">IF(Summary!$C$8="Patients", 'Parameters calculator (hide)'!$H$63,'Parameters calculator (hide)'!$H$62)</f>
        <v>2588.56</v>
      </c>
      <c r="AB24" s="67">
        <f ca="1">IF(Summary!$C$8="Patients", 'Parameters calculator (hide)'!$I$63,'Parameters calculator (hide)'!$I$62)</f>
        <v>2861.0400000000004</v>
      </c>
      <c r="AC24" s="67">
        <f t="shared" ca="1" si="2"/>
        <v>272.48000000000047</v>
      </c>
    </row>
    <row r="25" spans="1:29" x14ac:dyDescent="0.25">
      <c r="A25" s="3"/>
      <c r="B25" s="3"/>
      <c r="C25" s="3"/>
      <c r="H25" s="297">
        <f>'Summary Calculations (hide)'!A27</f>
        <v>44039</v>
      </c>
      <c r="I25" t="str">
        <f>'Summary Calculations (hide)'!B27</f>
        <v/>
      </c>
      <c r="J25" t="str">
        <f>'Summary Calculations (hide)'!C27</f>
        <v/>
      </c>
      <c r="K25">
        <f>'Summary Calculations (hide)'!D27</f>
        <v>31</v>
      </c>
      <c r="L25" s="67">
        <f ca="1">VLOOKUP($K25,'SPC background (hide)'!$AG$2:$AS$54,3,0)</f>
        <v>5</v>
      </c>
      <c r="M25" s="67">
        <f t="shared" ca="1" si="0"/>
        <v>2725.7536799999998</v>
      </c>
      <c r="N25" s="67">
        <f t="shared" ca="1" si="1"/>
        <v>532.88936170212764</v>
      </c>
      <c r="O25" s="67"/>
      <c r="P25" s="67"/>
      <c r="Q25" s="67"/>
      <c r="R25" s="5">
        <f ca="1">(VLOOKUP(K25,'Summary Calculations (hide)'!$D$15:$L$67,8,0)+VLOOKUP(K25,'Summary Calculations (hide)'!$D$15:$L$67,9,0))*IF(Summary!$C$8="Patients",'Summary Calculations (hide)'!$I$9,1)</f>
        <v>4048.4615384615386</v>
      </c>
      <c r="AA25" s="67">
        <f ca="1">IF(Summary!$C$8="Patients", 'Parameters calculator (hide)'!$H$63,'Parameters calculator (hide)'!$H$62)</f>
        <v>2588.56</v>
      </c>
      <c r="AB25" s="67">
        <f ca="1">IF(Summary!$C$8="Patients", 'Parameters calculator (hide)'!$I$63,'Parameters calculator (hide)'!$I$62)</f>
        <v>2861.0400000000004</v>
      </c>
      <c r="AC25" s="67">
        <f t="shared" ca="1" si="2"/>
        <v>272.48000000000047</v>
      </c>
    </row>
    <row r="26" spans="1:29" x14ac:dyDescent="0.25">
      <c r="A26" s="3"/>
      <c r="B26" s="3"/>
      <c r="C26" s="303"/>
      <c r="H26" s="297">
        <f>'Summary Calculations (hide)'!A28</f>
        <v>44046</v>
      </c>
      <c r="I26" t="str">
        <f>'Summary Calculations (hide)'!B28</f>
        <v/>
      </c>
      <c r="J26" t="str">
        <f>'Summary Calculations (hide)'!C28</f>
        <v>Aug</v>
      </c>
      <c r="K26">
        <f>'Summary Calculations (hide)'!D28</f>
        <v>32</v>
      </c>
      <c r="L26" s="67">
        <f ca="1">VLOOKUP($K26,'SPC background (hide)'!$AG$2:$AS$54,3,0)</f>
        <v>5</v>
      </c>
      <c r="M26" s="67">
        <f t="shared" ca="1" si="0"/>
        <v>2725.7536799999998</v>
      </c>
      <c r="N26" s="67">
        <f t="shared" ca="1" si="1"/>
        <v>532.88936170212764</v>
      </c>
      <c r="O26" s="67"/>
      <c r="P26" s="67"/>
      <c r="Q26" s="67"/>
      <c r="R26" s="5">
        <f ca="1">(VLOOKUP(K26,'Summary Calculations (hide)'!$D$15:$L$67,8,0)+VLOOKUP(K26,'Summary Calculations (hide)'!$D$15:$L$67,9,0))*IF(Summary!$C$8="Patients",'Summary Calculations (hide)'!$I$9,1)</f>
        <v>4048.4615384615386</v>
      </c>
      <c r="AA26" s="67">
        <f ca="1">IF(Summary!$C$8="Patients", 'Parameters calculator (hide)'!$H$63,'Parameters calculator (hide)'!$H$62)</f>
        <v>2588.56</v>
      </c>
      <c r="AB26" s="67">
        <f ca="1">IF(Summary!$C$8="Patients", 'Parameters calculator (hide)'!$I$63,'Parameters calculator (hide)'!$I$62)</f>
        <v>2861.0400000000004</v>
      </c>
      <c r="AC26" s="67">
        <f t="shared" ca="1" si="2"/>
        <v>272.48000000000047</v>
      </c>
    </row>
    <row r="27" spans="1:29" x14ac:dyDescent="0.25">
      <c r="A27" s="3"/>
      <c r="B27" s="3"/>
      <c r="C27" s="3"/>
      <c r="H27" s="297">
        <f>'Summary Calculations (hide)'!A29</f>
        <v>44053</v>
      </c>
      <c r="I27" t="str">
        <f>'Summary Calculations (hide)'!B29</f>
        <v/>
      </c>
      <c r="J27" t="str">
        <f>'Summary Calculations (hide)'!C29</f>
        <v/>
      </c>
      <c r="K27">
        <f>'Summary Calculations (hide)'!D29</f>
        <v>33</v>
      </c>
      <c r="L27" s="67">
        <f ca="1">VLOOKUP($K27,'SPC background (hide)'!$AG$2:$AS$54,3,0)</f>
        <v>5</v>
      </c>
      <c r="M27" s="67">
        <f t="shared" ca="1" si="0"/>
        <v>2725.7536799999998</v>
      </c>
      <c r="N27" s="67">
        <f t="shared" ca="1" si="1"/>
        <v>532.88936170212764</v>
      </c>
      <c r="O27" s="67"/>
      <c r="P27" s="67"/>
      <c r="Q27" s="67"/>
      <c r="R27" s="5">
        <f ca="1">(VLOOKUP(K27,'Summary Calculations (hide)'!$D$15:$L$67,8,0)+VLOOKUP(K27,'Summary Calculations (hide)'!$D$15:$L$67,9,0))*IF(Summary!$C$8="Patients",'Summary Calculations (hide)'!$I$9,1)</f>
        <v>4048.4615384615386</v>
      </c>
      <c r="AA27" s="67">
        <f ca="1">IF(Summary!$C$8="Patients", 'Parameters calculator (hide)'!$H$63,'Parameters calculator (hide)'!$H$62)</f>
        <v>2588.56</v>
      </c>
      <c r="AB27" s="67">
        <f ca="1">IF(Summary!$C$8="Patients", 'Parameters calculator (hide)'!$I$63,'Parameters calculator (hide)'!$I$62)</f>
        <v>2861.0400000000004</v>
      </c>
      <c r="AC27" s="67">
        <f t="shared" ca="1" si="2"/>
        <v>272.48000000000047</v>
      </c>
    </row>
    <row r="28" spans="1:29" x14ac:dyDescent="0.25">
      <c r="A28" s="3"/>
      <c r="B28" s="3"/>
      <c r="C28" s="3"/>
      <c r="H28" s="297">
        <f>'Summary Calculations (hide)'!A30</f>
        <v>44060</v>
      </c>
      <c r="I28" t="str">
        <f>'Summary Calculations (hide)'!B30</f>
        <v/>
      </c>
      <c r="J28" t="str">
        <f>'Summary Calculations (hide)'!C30</f>
        <v/>
      </c>
      <c r="K28">
        <f>'Summary Calculations (hide)'!D30</f>
        <v>34</v>
      </c>
      <c r="L28" s="67">
        <f ca="1">VLOOKUP($K28,'SPC background (hide)'!$AG$2:$AS$54,3,0)</f>
        <v>5</v>
      </c>
      <c r="M28" s="67">
        <f t="shared" ca="1" si="0"/>
        <v>2725.7536799999998</v>
      </c>
      <c r="N28" s="67">
        <f t="shared" ca="1" si="1"/>
        <v>532.88936170212764</v>
      </c>
      <c r="O28" s="67"/>
      <c r="P28" s="67"/>
      <c r="Q28" s="67"/>
      <c r="R28" s="5">
        <f ca="1">(VLOOKUP(K28,'Summary Calculations (hide)'!$D$15:$L$67,8,0)+VLOOKUP(K28,'Summary Calculations (hide)'!$D$15:$L$67,9,0))*IF(Summary!$C$8="Patients",'Summary Calculations (hide)'!$I$9,1)</f>
        <v>4038.4615384615386</v>
      </c>
      <c r="AA28" s="67">
        <f ca="1">IF(Summary!$C$8="Patients", 'Parameters calculator (hide)'!$H$63,'Parameters calculator (hide)'!$H$62)</f>
        <v>2588.56</v>
      </c>
      <c r="AB28" s="67">
        <f ca="1">IF(Summary!$C$8="Patients", 'Parameters calculator (hide)'!$I$63,'Parameters calculator (hide)'!$I$62)</f>
        <v>2861.0400000000004</v>
      </c>
      <c r="AC28" s="67">
        <f t="shared" ca="1" si="2"/>
        <v>272.48000000000047</v>
      </c>
    </row>
    <row r="29" spans="1:29" x14ac:dyDescent="0.25">
      <c r="A29" s="3"/>
      <c r="B29" s="3"/>
      <c r="C29" s="3"/>
      <c r="H29" s="297">
        <f>'Summary Calculations (hide)'!A31</f>
        <v>44067</v>
      </c>
      <c r="I29" t="str">
        <f>'Summary Calculations (hide)'!B31</f>
        <v/>
      </c>
      <c r="J29" t="str">
        <f>'Summary Calculations (hide)'!C31</f>
        <v/>
      </c>
      <c r="K29">
        <f>'Summary Calculations (hide)'!D31</f>
        <v>35</v>
      </c>
      <c r="L29" s="67">
        <f ca="1">VLOOKUP($K29,'SPC background (hide)'!$AG$2:$AS$54,3,0)</f>
        <v>5</v>
      </c>
      <c r="M29" s="67">
        <f t="shared" ca="1" si="0"/>
        <v>2725.7536799999998</v>
      </c>
      <c r="N29" s="67">
        <f t="shared" ca="1" si="1"/>
        <v>532.88936170212764</v>
      </c>
      <c r="O29" s="67"/>
      <c r="P29" s="67"/>
      <c r="Q29" s="67"/>
      <c r="R29" s="5">
        <f ca="1">(VLOOKUP(K29,'Summary Calculations (hide)'!$D$15:$L$67,8,0)+VLOOKUP(K29,'Summary Calculations (hide)'!$D$15:$L$67,9,0))*IF(Summary!$C$8="Patients",'Summary Calculations (hide)'!$I$9,1)</f>
        <v>4048.4615384615386</v>
      </c>
      <c r="AA29" s="67">
        <f ca="1">IF(Summary!$C$8="Patients", 'Parameters calculator (hide)'!$H$63,'Parameters calculator (hide)'!$H$62)</f>
        <v>2588.56</v>
      </c>
      <c r="AB29" s="67">
        <f ca="1">IF(Summary!$C$8="Patients", 'Parameters calculator (hide)'!$I$63,'Parameters calculator (hide)'!$I$62)</f>
        <v>2861.0400000000004</v>
      </c>
      <c r="AC29" s="67">
        <f t="shared" ca="1" si="2"/>
        <v>272.48000000000047</v>
      </c>
    </row>
    <row r="30" spans="1:29" x14ac:dyDescent="0.25">
      <c r="A30" s="3"/>
      <c r="B30" s="3"/>
      <c r="C30" s="3"/>
      <c r="H30" s="297">
        <f>'Summary Calculations (hide)'!A32</f>
        <v>44074</v>
      </c>
      <c r="I30" t="str">
        <f>'Summary Calculations (hide)'!B32</f>
        <v/>
      </c>
      <c r="J30" t="str">
        <f>'Summary Calculations (hide)'!C32</f>
        <v/>
      </c>
      <c r="K30">
        <f>'Summary Calculations (hide)'!D32</f>
        <v>36</v>
      </c>
      <c r="L30" s="67">
        <f ca="1">VLOOKUP($K30,'SPC background (hide)'!$AG$2:$AS$54,3,0)</f>
        <v>5</v>
      </c>
      <c r="M30" s="67">
        <f t="shared" ca="1" si="0"/>
        <v>2725.7536799999998</v>
      </c>
      <c r="N30" s="67">
        <f t="shared" ca="1" si="1"/>
        <v>532.88936170212764</v>
      </c>
      <c r="O30" s="67"/>
      <c r="P30" s="67"/>
      <c r="Q30" s="67"/>
      <c r="R30" s="5">
        <f ca="1">(VLOOKUP(K30,'Summary Calculations (hide)'!$D$15:$L$67,8,0)+VLOOKUP(K30,'Summary Calculations (hide)'!$D$15:$L$67,9,0))*IF(Summary!$C$8="Patients",'Summary Calculations (hide)'!$I$9,1)</f>
        <v>4048.4615384615386</v>
      </c>
      <c r="AA30" s="67">
        <f ca="1">IF(Summary!$C$8="Patients", 'Parameters calculator (hide)'!$H$63,'Parameters calculator (hide)'!$H$62)</f>
        <v>2588.56</v>
      </c>
      <c r="AB30" s="67">
        <f ca="1">IF(Summary!$C$8="Patients", 'Parameters calculator (hide)'!$I$63,'Parameters calculator (hide)'!$I$62)</f>
        <v>2861.0400000000004</v>
      </c>
      <c r="AC30" s="67">
        <f t="shared" ca="1" si="2"/>
        <v>272.48000000000047</v>
      </c>
    </row>
    <row r="31" spans="1:29" x14ac:dyDescent="0.25">
      <c r="A31" s="3"/>
      <c r="B31" s="3"/>
      <c r="C31" s="3"/>
      <c r="H31" s="297">
        <f>'Summary Calculations (hide)'!A33</f>
        <v>44081</v>
      </c>
      <c r="I31" t="str">
        <f>'Summary Calculations (hide)'!B33</f>
        <v/>
      </c>
      <c r="J31" t="str">
        <f>'Summary Calculations (hide)'!C33</f>
        <v>Sep</v>
      </c>
      <c r="K31">
        <f>'Summary Calculations (hide)'!D33</f>
        <v>37</v>
      </c>
      <c r="L31" s="67">
        <f ca="1">VLOOKUP($K31,'SPC background (hide)'!$AG$2:$AS$54,3,0)</f>
        <v>5</v>
      </c>
      <c r="M31" s="67">
        <f t="shared" ca="1" si="0"/>
        <v>2725.7536799999998</v>
      </c>
      <c r="N31" s="67">
        <f t="shared" ca="1" si="1"/>
        <v>532.88936170212764</v>
      </c>
      <c r="O31" s="67"/>
      <c r="P31" s="67"/>
      <c r="Q31" s="67"/>
      <c r="R31" s="5">
        <f ca="1">(VLOOKUP(K31,'Summary Calculations (hide)'!$D$15:$L$67,8,0)+VLOOKUP(K31,'Summary Calculations (hide)'!$D$15:$L$67,9,0))*IF(Summary!$C$8="Patients",'Summary Calculations (hide)'!$I$9,1)</f>
        <v>4038.4615384615386</v>
      </c>
      <c r="AA31" s="67">
        <f ca="1">IF(Summary!$C$8="Patients", 'Parameters calculator (hide)'!$H$63,'Parameters calculator (hide)'!$H$62)</f>
        <v>2588.56</v>
      </c>
      <c r="AB31" s="67">
        <f ca="1">IF(Summary!$C$8="Patients", 'Parameters calculator (hide)'!$I$63,'Parameters calculator (hide)'!$I$62)</f>
        <v>2861.0400000000004</v>
      </c>
      <c r="AC31" s="67">
        <f t="shared" ca="1" si="2"/>
        <v>272.48000000000047</v>
      </c>
    </row>
    <row r="32" spans="1:29" x14ac:dyDescent="0.25">
      <c r="A32" s="3"/>
      <c r="B32" s="3"/>
      <c r="C32" s="3"/>
      <c r="H32" s="297">
        <f>'Summary Calculations (hide)'!A34</f>
        <v>44088</v>
      </c>
      <c r="I32" t="str">
        <f>'Summary Calculations (hide)'!B34</f>
        <v/>
      </c>
      <c r="J32" t="str">
        <f>'Summary Calculations (hide)'!C34</f>
        <v/>
      </c>
      <c r="K32">
        <f>'Summary Calculations (hide)'!D34</f>
        <v>38</v>
      </c>
      <c r="L32" s="67">
        <f ca="1">VLOOKUP($K32,'SPC background (hide)'!$AG$2:$AS$54,3,0)</f>
        <v>5</v>
      </c>
      <c r="M32" s="67">
        <f t="shared" ca="1" si="0"/>
        <v>2725.7536799999998</v>
      </c>
      <c r="N32" s="67">
        <f t="shared" ca="1" si="1"/>
        <v>532.88936170212764</v>
      </c>
      <c r="O32" s="67"/>
      <c r="P32" s="67"/>
      <c r="Q32" s="67"/>
      <c r="R32" s="5">
        <f ca="1">(VLOOKUP(K32,'Summary Calculations (hide)'!$D$15:$L$67,8,0)+VLOOKUP(K32,'Summary Calculations (hide)'!$D$15:$L$67,9,0))*IF(Summary!$C$8="Patients",'Summary Calculations (hide)'!$I$9,1)</f>
        <v>4038.4615384615386</v>
      </c>
      <c r="AA32" s="67">
        <f ca="1">IF(Summary!$C$8="Patients", 'Parameters calculator (hide)'!$H$63,'Parameters calculator (hide)'!$H$62)</f>
        <v>2588.56</v>
      </c>
      <c r="AB32" s="67">
        <f ca="1">IF(Summary!$C$8="Patients", 'Parameters calculator (hide)'!$I$63,'Parameters calculator (hide)'!$I$62)</f>
        <v>2861.0400000000004</v>
      </c>
      <c r="AC32" s="67">
        <f t="shared" ca="1" si="2"/>
        <v>272.48000000000047</v>
      </c>
    </row>
    <row r="33" spans="1:29" x14ac:dyDescent="0.25">
      <c r="B33" t="s">
        <v>1150</v>
      </c>
      <c r="H33" s="297">
        <f>'Summary Calculations (hide)'!A35</f>
        <v>44095</v>
      </c>
      <c r="I33" t="str">
        <f>'Summary Calculations (hide)'!B35</f>
        <v/>
      </c>
      <c r="J33" t="str">
        <f>'Summary Calculations (hide)'!C35</f>
        <v/>
      </c>
      <c r="K33">
        <f>'Summary Calculations (hide)'!D35</f>
        <v>39</v>
      </c>
      <c r="L33" s="67">
        <f ca="1">VLOOKUP($K33,'SPC background (hide)'!$AG$2:$AS$54,3,0)</f>
        <v>5</v>
      </c>
      <c r="M33" s="67">
        <f t="shared" ca="1" si="0"/>
        <v>2725.7536799999998</v>
      </c>
      <c r="N33" s="67">
        <f t="shared" ca="1" si="1"/>
        <v>532.88936170212764</v>
      </c>
      <c r="O33" s="67"/>
      <c r="P33" s="67"/>
      <c r="Q33" s="67"/>
      <c r="R33" s="5">
        <f ca="1">(VLOOKUP(K33,'Summary Calculations (hide)'!$D$15:$L$67,8,0)+VLOOKUP(K33,'Summary Calculations (hide)'!$D$15:$L$67,9,0))*IF(Summary!$C$8="Patients",'Summary Calculations (hide)'!$I$9,1)</f>
        <v>4038.4615384615386</v>
      </c>
      <c r="AA33" s="67">
        <f ca="1">IF(Summary!$C$8="Patients", 'Parameters calculator (hide)'!$H$63,'Parameters calculator (hide)'!$H$62)</f>
        <v>2588.56</v>
      </c>
      <c r="AB33" s="67">
        <f ca="1">IF(Summary!$C$8="Patients", 'Parameters calculator (hide)'!$I$63,'Parameters calculator (hide)'!$I$62)</f>
        <v>2861.0400000000004</v>
      </c>
      <c r="AC33" s="67">
        <f t="shared" ca="1" si="2"/>
        <v>272.48000000000047</v>
      </c>
    </row>
    <row r="34" spans="1:29" x14ac:dyDescent="0.25">
      <c r="A34" t="s">
        <v>1122</v>
      </c>
      <c r="B34" s="5">
        <f ca="1">'Parameters calculator (hide)'!C79</f>
        <v>152</v>
      </c>
      <c r="H34" s="297">
        <f>'Summary Calculations (hide)'!A36</f>
        <v>44102</v>
      </c>
      <c r="I34" t="str">
        <f>'Summary Calculations (hide)'!B36</f>
        <v/>
      </c>
      <c r="J34" t="str">
        <f>'Summary Calculations (hide)'!C36</f>
        <v/>
      </c>
      <c r="K34">
        <f>'Summary Calculations (hide)'!D36</f>
        <v>40</v>
      </c>
      <c r="L34" s="67">
        <f ca="1">VLOOKUP($K34,'SPC background (hide)'!$AG$2:$AS$54,3,0)</f>
        <v>5</v>
      </c>
      <c r="M34" s="67">
        <f t="shared" ca="1" si="0"/>
        <v>2725.7536799999998</v>
      </c>
      <c r="N34" s="67">
        <f t="shared" ca="1" si="1"/>
        <v>532.88936170212764</v>
      </c>
      <c r="O34" s="67"/>
      <c r="P34" s="67"/>
      <c r="Q34" s="67"/>
      <c r="R34" s="5">
        <f ca="1">(VLOOKUP(K34,'Summary Calculations (hide)'!$D$15:$L$67,8,0)+VLOOKUP(K34,'Summary Calculations (hide)'!$D$15:$L$67,9,0))*IF(Summary!$C$8="Patients",'Summary Calculations (hide)'!$I$9,1)</f>
        <v>4038.4615384615386</v>
      </c>
      <c r="AA34" s="67">
        <f ca="1">IF(Summary!$C$8="Patients", 'Parameters calculator (hide)'!$H$63,'Parameters calculator (hide)'!$H$62)</f>
        <v>2588.56</v>
      </c>
      <c r="AB34" s="67">
        <f ca="1">IF(Summary!$C$8="Patients", 'Parameters calculator (hide)'!$I$63,'Parameters calculator (hide)'!$I$62)</f>
        <v>2861.0400000000004</v>
      </c>
      <c r="AC34" s="67">
        <f t="shared" ca="1" si="2"/>
        <v>272.48000000000047</v>
      </c>
    </row>
    <row r="35" spans="1:29" x14ac:dyDescent="0.25">
      <c r="H35" s="297">
        <f>'Summary Calculations (hide)'!A37</f>
        <v>44109</v>
      </c>
      <c r="I35" t="str">
        <f>'Summary Calculations (hide)'!B37</f>
        <v/>
      </c>
      <c r="J35" t="str">
        <f>'Summary Calculations (hide)'!C37</f>
        <v>Oct</v>
      </c>
      <c r="K35">
        <f>'Summary Calculations (hide)'!D37</f>
        <v>41</v>
      </c>
      <c r="L35" s="67">
        <f ca="1">VLOOKUP($K35,'SPC background (hide)'!$AG$2:$AS$54,3,0)</f>
        <v>5</v>
      </c>
      <c r="M35" s="67">
        <f t="shared" ca="1" si="0"/>
        <v>2725.7536799999998</v>
      </c>
      <c r="N35" s="67">
        <f t="shared" ca="1" si="1"/>
        <v>532.88936170212764</v>
      </c>
      <c r="O35" s="67"/>
      <c r="P35" s="67"/>
      <c r="Q35" s="67"/>
      <c r="R35" s="5">
        <f ca="1">(VLOOKUP(K35,'Summary Calculations (hide)'!$D$15:$L$67,8,0)+VLOOKUP(K35,'Summary Calculations (hide)'!$D$15:$L$67,9,0))*IF(Summary!$C$8="Patients",'Summary Calculations (hide)'!$I$9,1)</f>
        <v>4038.4615384615386</v>
      </c>
      <c r="AA35" s="67">
        <f ca="1">IF(Summary!$C$8="Patients", 'Parameters calculator (hide)'!$H$63,'Parameters calculator (hide)'!$H$62)</f>
        <v>2588.56</v>
      </c>
      <c r="AB35" s="67">
        <f ca="1">IF(Summary!$C$8="Patients", 'Parameters calculator (hide)'!$I$63,'Parameters calculator (hide)'!$I$62)</f>
        <v>2861.0400000000004</v>
      </c>
      <c r="AC35" s="67">
        <f t="shared" ca="1" si="2"/>
        <v>272.48000000000047</v>
      </c>
    </row>
    <row r="36" spans="1:29" x14ac:dyDescent="0.25">
      <c r="H36" s="297">
        <f>'Summary Calculations (hide)'!A38</f>
        <v>44116</v>
      </c>
      <c r="I36" t="str">
        <f>'Summary Calculations (hide)'!B38</f>
        <v/>
      </c>
      <c r="J36" t="str">
        <f>'Summary Calculations (hide)'!C38</f>
        <v/>
      </c>
      <c r="K36">
        <f>'Summary Calculations (hide)'!D38</f>
        <v>42</v>
      </c>
      <c r="L36" s="67">
        <f ca="1">VLOOKUP($K36,'SPC background (hide)'!$AG$2:$AS$54,3,0)</f>
        <v>5</v>
      </c>
      <c r="M36" s="67">
        <f t="shared" ca="1" si="0"/>
        <v>2725.7536799999998</v>
      </c>
      <c r="N36" s="67">
        <f t="shared" ca="1" si="1"/>
        <v>532.88936170212764</v>
      </c>
      <c r="O36" s="67"/>
      <c r="P36" s="67"/>
      <c r="Q36" s="67"/>
      <c r="R36" s="5">
        <f ca="1">(VLOOKUP(K36,'Summary Calculations (hide)'!$D$15:$L$67,8,0)+VLOOKUP(K36,'Summary Calculations (hide)'!$D$15:$L$67,9,0))*IF(Summary!$C$8="Patients",'Summary Calculations (hide)'!$I$9,1)</f>
        <v>4038.4615384615386</v>
      </c>
      <c r="AA36" s="67">
        <f ca="1">IF(Summary!$C$8="Patients", 'Parameters calculator (hide)'!$H$63,'Parameters calculator (hide)'!$H$62)</f>
        <v>2588.56</v>
      </c>
      <c r="AB36" s="67">
        <f ca="1">IF(Summary!$C$8="Patients", 'Parameters calculator (hide)'!$I$63,'Parameters calculator (hide)'!$I$62)</f>
        <v>2861.0400000000004</v>
      </c>
      <c r="AC36" s="67">
        <f t="shared" ca="1" si="2"/>
        <v>272.48000000000047</v>
      </c>
    </row>
    <row r="37" spans="1:29" x14ac:dyDescent="0.25">
      <c r="H37" s="297">
        <f>'Summary Calculations (hide)'!A39</f>
        <v>44123</v>
      </c>
      <c r="I37" t="str">
        <f>'Summary Calculations (hide)'!B39</f>
        <v/>
      </c>
      <c r="J37" t="str">
        <f>'Summary Calculations (hide)'!C39</f>
        <v/>
      </c>
      <c r="K37">
        <f>'Summary Calculations (hide)'!D39</f>
        <v>43</v>
      </c>
      <c r="L37" s="67">
        <f ca="1">VLOOKUP($K37,'SPC background (hide)'!$AG$2:$AS$54,3,0)</f>
        <v>5</v>
      </c>
      <c r="M37" s="67">
        <f t="shared" ca="1" si="0"/>
        <v>2725.7536799999998</v>
      </c>
      <c r="N37" s="67">
        <f t="shared" ca="1" si="1"/>
        <v>532.88936170212764</v>
      </c>
      <c r="O37" s="67"/>
      <c r="P37" s="67"/>
      <c r="Q37" s="67"/>
      <c r="R37" s="5">
        <f ca="1">(VLOOKUP(K37,'Summary Calculations (hide)'!$D$15:$L$67,8,0)+VLOOKUP(K37,'Summary Calculations (hide)'!$D$15:$L$67,9,0))*IF(Summary!$C$8="Patients",'Summary Calculations (hide)'!$I$9,1)</f>
        <v>4038.4615384615386</v>
      </c>
      <c r="AA37" s="67">
        <f ca="1">IF(Summary!$C$8="Patients", 'Parameters calculator (hide)'!$H$63,'Parameters calculator (hide)'!$H$62)</f>
        <v>2588.56</v>
      </c>
      <c r="AB37" s="67">
        <f ca="1">IF(Summary!$C$8="Patients", 'Parameters calculator (hide)'!$I$63,'Parameters calculator (hide)'!$I$62)</f>
        <v>2861.0400000000004</v>
      </c>
      <c r="AC37" s="67">
        <f t="shared" ca="1" si="2"/>
        <v>272.48000000000047</v>
      </c>
    </row>
    <row r="38" spans="1:29" x14ac:dyDescent="0.25">
      <c r="H38" s="297">
        <f>'Summary Calculations (hide)'!A40</f>
        <v>44130</v>
      </c>
      <c r="I38" t="str">
        <f>'Summary Calculations (hide)'!B40</f>
        <v/>
      </c>
      <c r="J38" t="str">
        <f>'Summary Calculations (hide)'!C40</f>
        <v/>
      </c>
      <c r="K38">
        <f>'Summary Calculations (hide)'!D40</f>
        <v>44</v>
      </c>
      <c r="L38" s="67">
        <f ca="1">VLOOKUP($K38,'SPC background (hide)'!$AG$2:$AS$54,3,0)</f>
        <v>5</v>
      </c>
      <c r="M38" s="67">
        <f t="shared" ca="1" si="0"/>
        <v>2725.7536799999998</v>
      </c>
      <c r="N38" s="67">
        <f t="shared" ca="1" si="1"/>
        <v>532.88936170212764</v>
      </c>
      <c r="O38" s="67"/>
      <c r="P38" s="67"/>
      <c r="Q38" s="67"/>
      <c r="R38" s="5">
        <f ca="1">(VLOOKUP(K38,'Summary Calculations (hide)'!$D$15:$L$67,8,0)+VLOOKUP(K38,'Summary Calculations (hide)'!$D$15:$L$67,9,0))*IF(Summary!$C$8="Patients",'Summary Calculations (hide)'!$I$9,1)</f>
        <v>4038.4615384615386</v>
      </c>
      <c r="AA38" s="67">
        <f ca="1">IF(Summary!$C$8="Patients", 'Parameters calculator (hide)'!$H$63,'Parameters calculator (hide)'!$H$62)</f>
        <v>2588.56</v>
      </c>
      <c r="AB38" s="67">
        <f ca="1">IF(Summary!$C$8="Patients", 'Parameters calculator (hide)'!$I$63,'Parameters calculator (hide)'!$I$62)</f>
        <v>2861.0400000000004</v>
      </c>
      <c r="AC38" s="67">
        <f t="shared" ca="1" si="2"/>
        <v>272.48000000000047</v>
      </c>
    </row>
    <row r="39" spans="1:29" x14ac:dyDescent="0.25">
      <c r="H39" s="297">
        <f>'Summary Calculations (hide)'!A41</f>
        <v>44137</v>
      </c>
      <c r="I39" t="str">
        <f>'Summary Calculations (hide)'!B41</f>
        <v/>
      </c>
      <c r="J39" t="str">
        <f>'Summary Calculations (hide)'!C41</f>
        <v>Nov</v>
      </c>
      <c r="K39">
        <f>'Summary Calculations (hide)'!D41</f>
        <v>45</v>
      </c>
      <c r="L39" s="67">
        <f ca="1">VLOOKUP($K39,'SPC background (hide)'!$AG$2:$AS$54,3,0)</f>
        <v>5</v>
      </c>
      <c r="M39" s="67">
        <f t="shared" ca="1" si="0"/>
        <v>2725.7536799999998</v>
      </c>
      <c r="N39" s="67">
        <f t="shared" ca="1" si="1"/>
        <v>532.88936170212764</v>
      </c>
      <c r="O39" s="67"/>
      <c r="P39" s="67"/>
      <c r="Q39" s="67"/>
      <c r="R39" s="5">
        <f ca="1">(VLOOKUP(K39,'Summary Calculations (hide)'!$D$15:$L$67,8,0)+VLOOKUP(K39,'Summary Calculations (hide)'!$D$15:$L$67,9,0))*IF(Summary!$C$8="Patients",'Summary Calculations (hide)'!$I$9,1)</f>
        <v>4038.4615384615386</v>
      </c>
      <c r="AA39" s="67">
        <f ca="1">IF(Summary!$C$8="Patients", 'Parameters calculator (hide)'!$H$63,'Parameters calculator (hide)'!$H$62)</f>
        <v>2588.56</v>
      </c>
      <c r="AB39" s="67">
        <f ca="1">IF(Summary!$C$8="Patients", 'Parameters calculator (hide)'!$I$63,'Parameters calculator (hide)'!$I$62)</f>
        <v>2861.0400000000004</v>
      </c>
      <c r="AC39" s="67">
        <f t="shared" ca="1" si="2"/>
        <v>272.48000000000047</v>
      </c>
    </row>
    <row r="40" spans="1:29" x14ac:dyDescent="0.25">
      <c r="H40" s="297">
        <f>'Summary Calculations (hide)'!A42</f>
        <v>44144</v>
      </c>
      <c r="I40" t="str">
        <f>'Summary Calculations (hide)'!B42</f>
        <v/>
      </c>
      <c r="J40" t="str">
        <f>'Summary Calculations (hide)'!C42</f>
        <v/>
      </c>
      <c r="K40">
        <f>'Summary Calculations (hide)'!D42</f>
        <v>46</v>
      </c>
      <c r="L40" s="67">
        <f ca="1">VLOOKUP($K40,'SPC background (hide)'!$AG$2:$AS$54,3,0)</f>
        <v>5</v>
      </c>
      <c r="M40" s="67">
        <f t="shared" ca="1" si="0"/>
        <v>2725.7536799999998</v>
      </c>
      <c r="N40" s="67">
        <f t="shared" ca="1" si="1"/>
        <v>532.88936170212764</v>
      </c>
      <c r="O40" s="67"/>
      <c r="P40" s="67"/>
      <c r="Q40" s="67"/>
      <c r="R40" s="5">
        <f ca="1">(VLOOKUP(K40,'Summary Calculations (hide)'!$D$15:$L$67,8,0)+VLOOKUP(K40,'Summary Calculations (hide)'!$D$15:$L$67,9,0))*IF(Summary!$C$8="Patients",'Summary Calculations (hide)'!$I$9,1)</f>
        <v>4038.4615384615386</v>
      </c>
      <c r="AA40" s="67">
        <f ca="1">IF(Summary!$C$8="Patients", 'Parameters calculator (hide)'!$H$63,'Parameters calculator (hide)'!$H$62)</f>
        <v>2588.56</v>
      </c>
      <c r="AB40" s="67">
        <f ca="1">IF(Summary!$C$8="Patients", 'Parameters calculator (hide)'!$I$63,'Parameters calculator (hide)'!$I$62)</f>
        <v>2861.0400000000004</v>
      </c>
      <c r="AC40" s="67">
        <f t="shared" ca="1" si="2"/>
        <v>272.48000000000047</v>
      </c>
    </row>
    <row r="41" spans="1:29" x14ac:dyDescent="0.25">
      <c r="H41" s="297">
        <f>'Summary Calculations (hide)'!A43</f>
        <v>44151</v>
      </c>
      <c r="I41" t="str">
        <f>'Summary Calculations (hide)'!B43</f>
        <v/>
      </c>
      <c r="J41" t="str">
        <f>'Summary Calculations (hide)'!C43</f>
        <v/>
      </c>
      <c r="K41">
        <f>'Summary Calculations (hide)'!D43</f>
        <v>47</v>
      </c>
      <c r="L41" s="67">
        <f ca="1">VLOOKUP($K41,'SPC background (hide)'!$AG$2:$AS$54,3,0)</f>
        <v>5</v>
      </c>
      <c r="M41" s="67">
        <f t="shared" ca="1" si="0"/>
        <v>2725.7536799999998</v>
      </c>
      <c r="N41" s="67">
        <f t="shared" ca="1" si="1"/>
        <v>532.88936170212764</v>
      </c>
      <c r="O41" s="67"/>
      <c r="P41" s="67"/>
      <c r="Q41" s="67"/>
      <c r="R41" s="5">
        <f ca="1">(VLOOKUP(K41,'Summary Calculations (hide)'!$D$15:$L$67,8,0)+VLOOKUP(K41,'Summary Calculations (hide)'!$D$15:$L$67,9,0))*IF(Summary!$C$8="Patients",'Summary Calculations (hide)'!$I$9,1)</f>
        <v>4038.4615384615386</v>
      </c>
      <c r="AA41" s="67">
        <f ca="1">IF(Summary!$C$8="Patients", 'Parameters calculator (hide)'!$H$63,'Parameters calculator (hide)'!$H$62)</f>
        <v>2588.56</v>
      </c>
      <c r="AB41" s="67">
        <f ca="1">IF(Summary!$C$8="Patients", 'Parameters calculator (hide)'!$I$63,'Parameters calculator (hide)'!$I$62)</f>
        <v>2861.0400000000004</v>
      </c>
      <c r="AC41" s="67">
        <f t="shared" ca="1" si="2"/>
        <v>272.48000000000047</v>
      </c>
    </row>
    <row r="42" spans="1:29" x14ac:dyDescent="0.25">
      <c r="H42" s="297">
        <f>'Summary Calculations (hide)'!A44</f>
        <v>44158</v>
      </c>
      <c r="I42" t="str">
        <f>'Summary Calculations (hide)'!B44</f>
        <v/>
      </c>
      <c r="J42" t="str">
        <f>'Summary Calculations (hide)'!C44</f>
        <v/>
      </c>
      <c r="K42">
        <f>'Summary Calculations (hide)'!D44</f>
        <v>48</v>
      </c>
      <c r="L42" s="67">
        <f ca="1">VLOOKUP($K42,'SPC background (hide)'!$AG$2:$AS$54,3,0)</f>
        <v>5</v>
      </c>
      <c r="M42" s="67">
        <f t="shared" ca="1" si="0"/>
        <v>2725.7536799999998</v>
      </c>
      <c r="N42" s="67">
        <f t="shared" ca="1" si="1"/>
        <v>532.88936170212764</v>
      </c>
      <c r="O42" s="67"/>
      <c r="P42" s="67"/>
      <c r="Q42" s="67"/>
      <c r="R42" s="5">
        <f ca="1">(VLOOKUP(K42,'Summary Calculations (hide)'!$D$15:$L$67,8,0)+VLOOKUP(K42,'Summary Calculations (hide)'!$D$15:$L$67,9,0))*IF(Summary!$C$8="Patients",'Summary Calculations (hide)'!$I$9,1)</f>
        <v>4038.4615384615386</v>
      </c>
      <c r="AA42" s="67">
        <f ca="1">IF(Summary!$C$8="Patients", 'Parameters calculator (hide)'!$H$63,'Parameters calculator (hide)'!$H$62)</f>
        <v>2588.56</v>
      </c>
      <c r="AB42" s="67">
        <f ca="1">IF(Summary!$C$8="Patients", 'Parameters calculator (hide)'!$I$63,'Parameters calculator (hide)'!$I$62)</f>
        <v>2861.0400000000004</v>
      </c>
      <c r="AC42" s="67">
        <f t="shared" ca="1" si="2"/>
        <v>272.48000000000047</v>
      </c>
    </row>
    <row r="43" spans="1:29" x14ac:dyDescent="0.25">
      <c r="H43" s="297">
        <f>'Summary Calculations (hide)'!A45</f>
        <v>44165</v>
      </c>
      <c r="I43" t="str">
        <f>'Summary Calculations (hide)'!B45</f>
        <v/>
      </c>
      <c r="J43" t="str">
        <f>'Summary Calculations (hide)'!C45</f>
        <v/>
      </c>
      <c r="K43">
        <f>'Summary Calculations (hide)'!D45</f>
        <v>49</v>
      </c>
      <c r="L43" s="67">
        <f ca="1">VLOOKUP($K43,'SPC background (hide)'!$AG$2:$AS$54,3,0)</f>
        <v>5</v>
      </c>
      <c r="M43" s="67">
        <f t="shared" ca="1" si="0"/>
        <v>2725.7536799999998</v>
      </c>
      <c r="N43" s="67">
        <f t="shared" ca="1" si="1"/>
        <v>532.88936170212764</v>
      </c>
      <c r="O43" s="67"/>
      <c r="P43" s="67"/>
      <c r="Q43" s="67"/>
      <c r="R43" s="5">
        <f ca="1">(VLOOKUP(K43,'Summary Calculations (hide)'!$D$15:$L$67,8,0)+VLOOKUP(K43,'Summary Calculations (hide)'!$D$15:$L$67,9,0))*IF(Summary!$C$8="Patients",'Summary Calculations (hide)'!$I$9,1)</f>
        <v>4038.4615384615386</v>
      </c>
      <c r="AA43" s="67">
        <f ca="1">IF(Summary!$C$8="Patients", 'Parameters calculator (hide)'!$H$63,'Parameters calculator (hide)'!$H$62)</f>
        <v>2588.56</v>
      </c>
      <c r="AB43" s="67">
        <f ca="1">IF(Summary!$C$8="Patients", 'Parameters calculator (hide)'!$I$63,'Parameters calculator (hide)'!$I$62)</f>
        <v>2861.0400000000004</v>
      </c>
      <c r="AC43" s="67">
        <f t="shared" ca="1" si="2"/>
        <v>272.48000000000047</v>
      </c>
    </row>
    <row r="44" spans="1:29" x14ac:dyDescent="0.25">
      <c r="H44" s="297">
        <f>'Summary Calculations (hide)'!A46</f>
        <v>44172</v>
      </c>
      <c r="I44" t="str">
        <f>'Summary Calculations (hide)'!B46</f>
        <v/>
      </c>
      <c r="J44" t="str">
        <f>'Summary Calculations (hide)'!C46</f>
        <v>Dec</v>
      </c>
      <c r="K44">
        <f>'Summary Calculations (hide)'!D46</f>
        <v>50</v>
      </c>
      <c r="L44" s="67">
        <f ca="1">VLOOKUP($K44,'SPC background (hide)'!$AG$2:$AS$54,3,0)</f>
        <v>5</v>
      </c>
      <c r="M44" s="67">
        <f t="shared" ca="1" si="0"/>
        <v>2725.7536799999998</v>
      </c>
      <c r="N44" s="67">
        <f t="shared" ca="1" si="1"/>
        <v>532.88936170212764</v>
      </c>
      <c r="O44" s="67"/>
      <c r="P44" s="67"/>
      <c r="Q44" s="67"/>
      <c r="R44" s="5">
        <f ca="1">(VLOOKUP(K44,'Summary Calculations (hide)'!$D$15:$L$67,8,0)+VLOOKUP(K44,'Summary Calculations (hide)'!$D$15:$L$67,9,0))*IF(Summary!$C$8="Patients",'Summary Calculations (hide)'!$I$9,1)</f>
        <v>4038.4615384615386</v>
      </c>
      <c r="AA44" s="67">
        <f ca="1">IF(Summary!$C$8="Patients", 'Parameters calculator (hide)'!$H$63,'Parameters calculator (hide)'!$H$62)</f>
        <v>2588.56</v>
      </c>
      <c r="AB44" s="67">
        <f ca="1">IF(Summary!$C$8="Patients", 'Parameters calculator (hide)'!$I$63,'Parameters calculator (hide)'!$I$62)</f>
        <v>2861.0400000000004</v>
      </c>
      <c r="AC44" s="67">
        <f t="shared" ca="1" si="2"/>
        <v>272.48000000000047</v>
      </c>
    </row>
    <row r="45" spans="1:29" x14ac:dyDescent="0.25">
      <c r="H45" s="297">
        <f>'Summary Calculations (hide)'!A47</f>
        <v>44179</v>
      </c>
      <c r="I45" t="str">
        <f>'Summary Calculations (hide)'!B47</f>
        <v/>
      </c>
      <c r="J45" t="str">
        <f>'Summary Calculations (hide)'!C47</f>
        <v/>
      </c>
      <c r="K45">
        <f>'Summary Calculations (hide)'!D47</f>
        <v>51</v>
      </c>
      <c r="L45" s="67">
        <f ca="1">VLOOKUP($K45,'SPC background (hide)'!$AG$2:$AS$54,3,0)</f>
        <v>5</v>
      </c>
      <c r="M45" s="67">
        <f t="shared" ca="1" si="0"/>
        <v>2725.7536799999998</v>
      </c>
      <c r="N45" s="67">
        <f t="shared" ca="1" si="1"/>
        <v>532.88936170212764</v>
      </c>
      <c r="O45" s="67"/>
      <c r="P45" s="67"/>
      <c r="Q45" s="67"/>
      <c r="R45" s="5">
        <f ca="1">(VLOOKUP(K45,'Summary Calculations (hide)'!$D$15:$L$67,8,0)+VLOOKUP(K45,'Summary Calculations (hide)'!$D$15:$L$67,9,0))*IF(Summary!$C$8="Patients",'Summary Calculations (hide)'!$I$9,1)</f>
        <v>4038.4615384615386</v>
      </c>
      <c r="AA45" s="67">
        <f ca="1">IF(Summary!$C$8="Patients", 'Parameters calculator (hide)'!$H$63,'Parameters calculator (hide)'!$H$62)</f>
        <v>2588.56</v>
      </c>
      <c r="AB45" s="67">
        <f ca="1">IF(Summary!$C$8="Patients", 'Parameters calculator (hide)'!$I$63,'Parameters calculator (hide)'!$I$62)</f>
        <v>2861.0400000000004</v>
      </c>
      <c r="AC45" s="67">
        <f t="shared" ca="1" si="2"/>
        <v>272.48000000000047</v>
      </c>
    </row>
    <row r="46" spans="1:29" x14ac:dyDescent="0.25">
      <c r="H46" s="297">
        <f>'Summary Calculations (hide)'!A48</f>
        <v>44186</v>
      </c>
      <c r="I46" t="str">
        <f>'Summary Calculations (hide)'!B48</f>
        <v/>
      </c>
      <c r="J46" t="str">
        <f>'Summary Calculations (hide)'!C48</f>
        <v/>
      </c>
      <c r="K46">
        <f>'Summary Calculations (hide)'!D48</f>
        <v>52</v>
      </c>
      <c r="L46" s="67">
        <f ca="1">VLOOKUP($K46,'SPC background (hide)'!$AG$2:$AS$54,3,0)</f>
        <v>5</v>
      </c>
      <c r="M46" s="67">
        <f t="shared" ca="1" si="0"/>
        <v>2725.7536799999998</v>
      </c>
      <c r="N46" s="67">
        <f t="shared" ca="1" si="1"/>
        <v>532.88936170212764</v>
      </c>
      <c r="O46" s="67"/>
      <c r="P46" s="67"/>
      <c r="Q46" s="67"/>
      <c r="R46" s="5">
        <f ca="1">(VLOOKUP(K46,'Summary Calculations (hide)'!$D$15:$L$67,8,0)+VLOOKUP(K46,'Summary Calculations (hide)'!$D$15:$L$67,9,0))*IF(Summary!$C$8="Patients",'Summary Calculations (hide)'!$I$9,1)</f>
        <v>4038.4615384615386</v>
      </c>
      <c r="AA46" s="67">
        <f ca="1">IF(Summary!$C$8="Patients", 'Parameters calculator (hide)'!$H$63,'Parameters calculator (hide)'!$H$62)</f>
        <v>2588.56</v>
      </c>
      <c r="AB46" s="67">
        <f ca="1">IF(Summary!$C$8="Patients", 'Parameters calculator (hide)'!$I$63,'Parameters calculator (hide)'!$I$62)</f>
        <v>2861.0400000000004</v>
      </c>
      <c r="AC46" s="67">
        <f t="shared" ca="1" si="2"/>
        <v>272.48000000000047</v>
      </c>
    </row>
    <row r="47" spans="1:29" x14ac:dyDescent="0.25">
      <c r="H47" s="297">
        <f>'Summary Calculations (hide)'!A49</f>
        <v>44193</v>
      </c>
      <c r="I47" t="str">
        <f>'Summary Calculations (hide)'!B49</f>
        <v/>
      </c>
      <c r="J47" t="str">
        <f>'Summary Calculations (hide)'!C49</f>
        <v/>
      </c>
      <c r="K47">
        <f>'Summary Calculations (hide)'!D49</f>
        <v>53</v>
      </c>
      <c r="L47" s="67">
        <f ca="1">VLOOKUP($K47,'SPC background (hide)'!$AG$2:$AS$54,3,0)</f>
        <v>5</v>
      </c>
      <c r="M47" s="67">
        <f t="shared" ca="1" si="0"/>
        <v>2725.7536799999998</v>
      </c>
      <c r="N47" s="67">
        <f t="shared" ca="1" si="1"/>
        <v>532.88936170212764</v>
      </c>
      <c r="O47" s="67"/>
      <c r="P47" s="67"/>
      <c r="Q47" s="67"/>
      <c r="R47" s="5">
        <f ca="1">(VLOOKUP(K47,'Summary Calculations (hide)'!$D$15:$L$67,8,0)+VLOOKUP(K47,'Summary Calculations (hide)'!$D$15:$L$67,9,0))*IF(Summary!$C$8="Patients",'Summary Calculations (hide)'!$I$9,1)</f>
        <v>4038.4615384615386</v>
      </c>
      <c r="AA47" s="67">
        <f ca="1">IF(Summary!$C$8="Patients", 'Parameters calculator (hide)'!$H$63,'Parameters calculator (hide)'!$H$62)</f>
        <v>2588.56</v>
      </c>
      <c r="AB47" s="67">
        <f ca="1">IF(Summary!$C$8="Patients", 'Parameters calculator (hide)'!$I$63,'Parameters calculator (hide)'!$I$62)</f>
        <v>2861.0400000000004</v>
      </c>
      <c r="AC47" s="67">
        <f t="shared" ca="1" si="2"/>
        <v>272.48000000000047</v>
      </c>
    </row>
    <row r="48" spans="1:29" x14ac:dyDescent="0.25">
      <c r="H48" s="297">
        <f>'Summary Calculations (hide)'!A50</f>
        <v>44200</v>
      </c>
      <c r="I48">
        <f>'Summary Calculations (hide)'!B50</f>
        <v>2021</v>
      </c>
      <c r="J48" t="str">
        <f>'Summary Calculations (hide)'!C50</f>
        <v>Jan</v>
      </c>
      <c r="K48">
        <f>'Summary Calculations (hide)'!D50</f>
        <v>1</v>
      </c>
      <c r="L48" s="67">
        <f ca="1">VLOOKUP($K48,'SPC background (hide)'!$AG$2:$AS$54,3,0)</f>
        <v>5</v>
      </c>
      <c r="M48" s="67">
        <f t="shared" ca="1" si="0"/>
        <v>2725.7536799999998</v>
      </c>
      <c r="N48" s="67">
        <f t="shared" ca="1" si="1"/>
        <v>532.88936170212764</v>
      </c>
      <c r="O48" s="67"/>
      <c r="P48" s="67"/>
      <c r="Q48" s="67"/>
      <c r="R48" s="5">
        <f ca="1">(VLOOKUP(K48,'Summary Calculations (hide)'!$D$15:$L$67,8,0)+VLOOKUP(K48,'Summary Calculations (hide)'!$D$15:$L$67,9,0))*IF(Summary!$C$8="Patients",'Summary Calculations (hide)'!$I$9,1)</f>
        <v>4038.4615384615386</v>
      </c>
      <c r="AA48" s="67">
        <f ca="1">IF(Summary!$C$8="Patients", 'Parameters calculator (hide)'!$H$63,'Parameters calculator (hide)'!$H$62)</f>
        <v>2588.56</v>
      </c>
      <c r="AB48" s="67">
        <f ca="1">IF(Summary!$C$8="Patients", 'Parameters calculator (hide)'!$I$63,'Parameters calculator (hide)'!$I$62)</f>
        <v>2861.0400000000004</v>
      </c>
      <c r="AC48" s="67">
        <f t="shared" ca="1" si="2"/>
        <v>272.48000000000047</v>
      </c>
    </row>
    <row r="49" spans="8:29" x14ac:dyDescent="0.25">
      <c r="H49" s="297">
        <f>'Summary Calculations (hide)'!A51</f>
        <v>44207</v>
      </c>
      <c r="I49" t="str">
        <f>'Summary Calculations (hide)'!B51</f>
        <v/>
      </c>
      <c r="J49" t="str">
        <f>'Summary Calculations (hide)'!C51</f>
        <v/>
      </c>
      <c r="K49">
        <f>'Summary Calculations (hide)'!D51</f>
        <v>2</v>
      </c>
      <c r="L49" s="67">
        <f ca="1">VLOOKUP($K49,'SPC background (hide)'!$AG$2:$AS$54,3,0)</f>
        <v>5</v>
      </c>
      <c r="M49" s="67">
        <f t="shared" ca="1" si="0"/>
        <v>2725.7536799999998</v>
      </c>
      <c r="N49" s="67">
        <f t="shared" ca="1" si="1"/>
        <v>532.88936170212764</v>
      </c>
      <c r="O49" s="67"/>
      <c r="P49" s="67"/>
      <c r="Q49" s="67"/>
      <c r="R49" s="5">
        <f ca="1">(VLOOKUP(K49,'Summary Calculations (hide)'!$D$15:$L$67,8,0)+VLOOKUP(K49,'Summary Calculations (hide)'!$D$15:$L$67,9,0))*IF(Summary!$C$8="Patients",'Summary Calculations (hide)'!$I$9,1)</f>
        <v>4038.4615384615386</v>
      </c>
      <c r="AA49" s="67">
        <f ca="1">IF(Summary!$C$8="Patients", 'Parameters calculator (hide)'!$H$63,'Parameters calculator (hide)'!$H$62)</f>
        <v>2588.56</v>
      </c>
      <c r="AB49" s="67">
        <f ca="1">IF(Summary!$C$8="Patients", 'Parameters calculator (hide)'!$I$63,'Parameters calculator (hide)'!$I$62)</f>
        <v>2861.0400000000004</v>
      </c>
      <c r="AC49" s="67">
        <f t="shared" ca="1" si="2"/>
        <v>272.48000000000047</v>
      </c>
    </row>
    <row r="50" spans="8:29" x14ac:dyDescent="0.25">
      <c r="H50" s="297">
        <f>'Summary Calculations (hide)'!A52</f>
        <v>44214</v>
      </c>
      <c r="I50" t="str">
        <f>'Summary Calculations (hide)'!B52</f>
        <v/>
      </c>
      <c r="J50" t="str">
        <f>'Summary Calculations (hide)'!C52</f>
        <v/>
      </c>
      <c r="K50">
        <f>'Summary Calculations (hide)'!D52</f>
        <v>3</v>
      </c>
      <c r="L50" s="67">
        <f ca="1">VLOOKUP($K50,'SPC background (hide)'!$AG$2:$AS$54,3,0)</f>
        <v>5</v>
      </c>
      <c r="M50" s="67">
        <f t="shared" ca="1" si="0"/>
        <v>2725.7536799999998</v>
      </c>
      <c r="N50" s="67">
        <f t="shared" ca="1" si="1"/>
        <v>532.88936170212764</v>
      </c>
      <c r="O50" s="67"/>
      <c r="P50" s="67"/>
      <c r="Q50" s="67"/>
      <c r="R50" s="5">
        <f ca="1">(VLOOKUP(K50,'Summary Calculations (hide)'!$D$15:$L$67,8,0)+VLOOKUP(K50,'Summary Calculations (hide)'!$D$15:$L$67,9,0))*IF(Summary!$C$8="Patients",'Summary Calculations (hide)'!$I$9,1)</f>
        <v>4038.4615384615386</v>
      </c>
      <c r="AA50" s="67">
        <f ca="1">IF(Summary!$C$8="Patients", 'Parameters calculator (hide)'!$H$63,'Parameters calculator (hide)'!$H$62)</f>
        <v>2588.56</v>
      </c>
      <c r="AB50" s="67">
        <f ca="1">IF(Summary!$C$8="Patients", 'Parameters calculator (hide)'!$I$63,'Parameters calculator (hide)'!$I$62)</f>
        <v>2861.0400000000004</v>
      </c>
      <c r="AC50" s="67">
        <f t="shared" ca="1" si="2"/>
        <v>272.48000000000047</v>
      </c>
    </row>
    <row r="51" spans="8:29" x14ac:dyDescent="0.25">
      <c r="H51" s="297">
        <f>'Summary Calculations (hide)'!A53</f>
        <v>44221</v>
      </c>
      <c r="I51" t="str">
        <f>'Summary Calculations (hide)'!B53</f>
        <v/>
      </c>
      <c r="J51" t="str">
        <f>'Summary Calculations (hide)'!C53</f>
        <v/>
      </c>
      <c r="K51">
        <f>'Summary Calculations (hide)'!D53</f>
        <v>4</v>
      </c>
      <c r="L51" s="67">
        <f ca="1">VLOOKUP($K51,'SPC background (hide)'!$AG$2:$AS$54,3,0)</f>
        <v>5</v>
      </c>
      <c r="M51" s="67">
        <f t="shared" ca="1" si="0"/>
        <v>2725.7536799999998</v>
      </c>
      <c r="N51" s="67">
        <f t="shared" ca="1" si="1"/>
        <v>532.88936170212764</v>
      </c>
      <c r="O51" s="67"/>
      <c r="P51" s="67"/>
      <c r="Q51" s="67"/>
      <c r="R51" s="5">
        <f ca="1">(VLOOKUP(K51,'Summary Calculations (hide)'!$D$15:$L$67,8,0)+VLOOKUP(K51,'Summary Calculations (hide)'!$D$15:$L$67,9,0))*IF(Summary!$C$8="Patients",'Summary Calculations (hide)'!$I$9,1)</f>
        <v>4038.4615384615386</v>
      </c>
      <c r="AA51" s="67">
        <f ca="1">IF(Summary!$C$8="Patients", 'Parameters calculator (hide)'!$H$63,'Parameters calculator (hide)'!$H$62)</f>
        <v>2588.56</v>
      </c>
      <c r="AB51" s="67">
        <f ca="1">IF(Summary!$C$8="Patients", 'Parameters calculator (hide)'!$I$63,'Parameters calculator (hide)'!$I$62)</f>
        <v>2861.0400000000004</v>
      </c>
      <c r="AC51" s="67">
        <f t="shared" ca="1" si="2"/>
        <v>272.48000000000047</v>
      </c>
    </row>
    <row r="52" spans="8:29" x14ac:dyDescent="0.25">
      <c r="H52" s="297">
        <f>'Summary Calculations (hide)'!A54</f>
        <v>44228</v>
      </c>
      <c r="I52" t="str">
        <f>'Summary Calculations (hide)'!B54</f>
        <v/>
      </c>
      <c r="J52" t="str">
        <f>'Summary Calculations (hide)'!C54</f>
        <v>Feb</v>
      </c>
      <c r="K52">
        <f>'Summary Calculations (hide)'!D54</f>
        <v>5</v>
      </c>
      <c r="L52" s="67">
        <f ca="1">VLOOKUP($K52,'SPC background (hide)'!$AG$2:$AS$54,3,0)</f>
        <v>5</v>
      </c>
      <c r="M52" s="67">
        <f t="shared" ca="1" si="0"/>
        <v>2725.7536799999998</v>
      </c>
      <c r="N52" s="67">
        <f t="shared" ca="1" si="1"/>
        <v>532.88936170212764</v>
      </c>
      <c r="O52" s="67"/>
      <c r="P52" s="67"/>
      <c r="Q52" s="67"/>
      <c r="R52" s="5">
        <f ca="1">(VLOOKUP(K52,'Summary Calculations (hide)'!$D$15:$L$67,8,0)+VLOOKUP(K52,'Summary Calculations (hide)'!$D$15:$L$67,9,0))*IF(Summary!$C$8="Patients",'Summary Calculations (hide)'!$I$9,1)</f>
        <v>4038.4615384615386</v>
      </c>
      <c r="AA52" s="67">
        <f ca="1">IF(Summary!$C$8="Patients", 'Parameters calculator (hide)'!$H$63,'Parameters calculator (hide)'!$H$62)</f>
        <v>2588.56</v>
      </c>
      <c r="AB52" s="67">
        <f ca="1">IF(Summary!$C$8="Patients", 'Parameters calculator (hide)'!$I$63,'Parameters calculator (hide)'!$I$62)</f>
        <v>2861.0400000000004</v>
      </c>
      <c r="AC52" s="67">
        <f t="shared" ca="1" si="2"/>
        <v>272.48000000000047</v>
      </c>
    </row>
    <row r="53" spans="8:29" x14ac:dyDescent="0.25">
      <c r="H53" s="297">
        <f>'Summary Calculations (hide)'!A55</f>
        <v>44235</v>
      </c>
      <c r="I53" t="str">
        <f>'Summary Calculations (hide)'!B55</f>
        <v/>
      </c>
      <c r="J53" t="str">
        <f>'Summary Calculations (hide)'!C55</f>
        <v/>
      </c>
      <c r="K53">
        <f>'Summary Calculations (hide)'!D55</f>
        <v>6</v>
      </c>
      <c r="L53" s="67">
        <f ca="1">VLOOKUP($K53,'SPC background (hide)'!$AG$2:$AS$54,3,0)</f>
        <v>5</v>
      </c>
      <c r="M53" s="67">
        <f t="shared" ca="1" si="0"/>
        <v>2725.7536799999998</v>
      </c>
      <c r="N53" s="67">
        <f t="shared" ca="1" si="1"/>
        <v>532.88936170212764</v>
      </c>
      <c r="O53" s="67"/>
      <c r="P53" s="67"/>
      <c r="Q53" s="67"/>
      <c r="R53" s="5">
        <f ca="1">(VLOOKUP(K53,'Summary Calculations (hide)'!$D$15:$L$67,8,0)+VLOOKUP(K53,'Summary Calculations (hide)'!$D$15:$L$67,9,0))*IF(Summary!$C$8="Patients",'Summary Calculations (hide)'!$I$9,1)</f>
        <v>4038.4615384615386</v>
      </c>
      <c r="AA53" s="67">
        <f ca="1">IF(Summary!$C$8="Patients", 'Parameters calculator (hide)'!$H$63,'Parameters calculator (hide)'!$H$62)</f>
        <v>2588.56</v>
      </c>
      <c r="AB53" s="67">
        <f ca="1">IF(Summary!$C$8="Patients", 'Parameters calculator (hide)'!$I$63,'Parameters calculator (hide)'!$I$62)</f>
        <v>2861.0400000000004</v>
      </c>
      <c r="AC53" s="67">
        <f t="shared" ca="1" si="2"/>
        <v>272.48000000000047</v>
      </c>
    </row>
    <row r="54" spans="8:29" x14ac:dyDescent="0.25">
      <c r="H54" s="297">
        <f>'Summary Calculations (hide)'!A56</f>
        <v>44242</v>
      </c>
      <c r="I54" t="str">
        <f>'Summary Calculations (hide)'!B56</f>
        <v/>
      </c>
      <c r="J54" t="str">
        <f>'Summary Calculations (hide)'!C56</f>
        <v/>
      </c>
      <c r="K54">
        <f>'Summary Calculations (hide)'!D56</f>
        <v>7</v>
      </c>
      <c r="L54" s="67">
        <f ca="1">VLOOKUP($K54,'SPC background (hide)'!$AG$2:$AS$54,3,0)</f>
        <v>5</v>
      </c>
      <c r="M54" s="67">
        <f t="shared" ca="1" si="0"/>
        <v>2725.7536799999998</v>
      </c>
      <c r="N54" s="67">
        <f t="shared" ca="1" si="1"/>
        <v>532.88936170212764</v>
      </c>
      <c r="O54" s="67"/>
      <c r="P54" s="67"/>
      <c r="Q54" s="67"/>
      <c r="R54" s="5">
        <f ca="1">(VLOOKUP(K54,'Summary Calculations (hide)'!$D$15:$L$67,8,0)+VLOOKUP(K54,'Summary Calculations (hide)'!$D$15:$L$67,9,0))*IF(Summary!$C$8="Patients",'Summary Calculations (hide)'!$I$9,1)</f>
        <v>4038.4615384615386</v>
      </c>
      <c r="AA54" s="67">
        <f ca="1">IF(Summary!$C$8="Patients", 'Parameters calculator (hide)'!$H$63,'Parameters calculator (hide)'!$H$62)</f>
        <v>2588.56</v>
      </c>
      <c r="AB54" s="67">
        <f ca="1">IF(Summary!$C$8="Patients", 'Parameters calculator (hide)'!$I$63,'Parameters calculator (hide)'!$I$62)</f>
        <v>2861.0400000000004</v>
      </c>
      <c r="AC54" s="67">
        <f t="shared" ca="1" si="2"/>
        <v>272.48000000000047</v>
      </c>
    </row>
    <row r="55" spans="8:29" x14ac:dyDescent="0.25">
      <c r="H55" s="297">
        <f>'Summary Calculations (hide)'!A57</f>
        <v>44249</v>
      </c>
      <c r="I55" t="str">
        <f>'Summary Calculations (hide)'!B57</f>
        <v/>
      </c>
      <c r="J55" t="str">
        <f>'Summary Calculations (hide)'!C57</f>
        <v/>
      </c>
      <c r="K55">
        <f>'Summary Calculations (hide)'!D57</f>
        <v>8</v>
      </c>
      <c r="L55" s="67">
        <f ca="1">VLOOKUP($K55,'SPC background (hide)'!$AG$2:$AS$54,3,0)</f>
        <v>5</v>
      </c>
      <c r="M55" s="67">
        <f t="shared" ca="1" si="0"/>
        <v>2725.7536799999998</v>
      </c>
      <c r="N55" s="67">
        <f t="shared" ca="1" si="1"/>
        <v>532.88936170212764</v>
      </c>
      <c r="O55" s="67"/>
      <c r="P55" s="67"/>
      <c r="Q55" s="67"/>
      <c r="R55" s="5">
        <f ca="1">(VLOOKUP(K55,'Summary Calculations (hide)'!$D$15:$L$67,8,0)+VLOOKUP(K55,'Summary Calculations (hide)'!$D$15:$L$67,9,0))*IF(Summary!$C$8="Patients",'Summary Calculations (hide)'!$I$9,1)</f>
        <v>4038.4615384615386</v>
      </c>
      <c r="AA55" s="67">
        <f ca="1">IF(Summary!$C$8="Patients", 'Parameters calculator (hide)'!$H$63,'Parameters calculator (hide)'!$H$62)</f>
        <v>2588.56</v>
      </c>
      <c r="AB55" s="67">
        <f ca="1">IF(Summary!$C$8="Patients", 'Parameters calculator (hide)'!$I$63,'Parameters calculator (hide)'!$I$62)</f>
        <v>2861.0400000000004</v>
      </c>
      <c r="AC55" s="67">
        <f t="shared" ca="1" si="2"/>
        <v>272.48000000000047</v>
      </c>
    </row>
    <row r="56" spans="8:29" x14ac:dyDescent="0.25">
      <c r="H56" s="297">
        <f>'Summary Calculations (hide)'!A58</f>
        <v>44256</v>
      </c>
      <c r="I56" t="str">
        <f>'Summary Calculations (hide)'!B58</f>
        <v/>
      </c>
      <c r="J56" t="str">
        <f>'Summary Calculations (hide)'!C58</f>
        <v>Mar</v>
      </c>
      <c r="K56">
        <f>'Summary Calculations (hide)'!D58</f>
        <v>9</v>
      </c>
      <c r="L56" s="67">
        <f ca="1">VLOOKUP($K56,'SPC background (hide)'!$AG$2:$AS$54,3,0)</f>
        <v>5</v>
      </c>
      <c r="M56" s="67">
        <f t="shared" ca="1" si="0"/>
        <v>2725.7536799999998</v>
      </c>
      <c r="N56" s="67">
        <f t="shared" ca="1" si="1"/>
        <v>532.88936170212764</v>
      </c>
      <c r="O56" s="67"/>
      <c r="P56" s="67"/>
      <c r="Q56" s="67"/>
      <c r="R56" s="5">
        <f ca="1">(VLOOKUP(K56,'Summary Calculations (hide)'!$D$15:$L$67,8,0)+VLOOKUP(K56,'Summary Calculations (hide)'!$D$15:$L$67,9,0))*IF(Summary!$C$8="Patients",'Summary Calculations (hide)'!$I$9,1)</f>
        <v>4038.4615384615386</v>
      </c>
      <c r="AA56" s="67">
        <f ca="1">IF(Summary!$C$8="Patients", 'Parameters calculator (hide)'!$H$63,'Parameters calculator (hide)'!$H$62)</f>
        <v>2588.56</v>
      </c>
      <c r="AB56" s="67">
        <f ca="1">IF(Summary!$C$8="Patients", 'Parameters calculator (hide)'!$I$63,'Parameters calculator (hide)'!$I$62)</f>
        <v>2861.0400000000004</v>
      </c>
      <c r="AC56" s="67">
        <f t="shared" ca="1" si="2"/>
        <v>272.48000000000047</v>
      </c>
    </row>
    <row r="57" spans="8:29" x14ac:dyDescent="0.25">
      <c r="H57" s="297">
        <f>'Summary Calculations (hide)'!A59</f>
        <v>44263</v>
      </c>
      <c r="I57" t="str">
        <f>'Summary Calculations (hide)'!B59</f>
        <v/>
      </c>
      <c r="J57" t="str">
        <f>'Summary Calculations (hide)'!C59</f>
        <v/>
      </c>
      <c r="K57">
        <f>'Summary Calculations (hide)'!D59</f>
        <v>10</v>
      </c>
      <c r="L57" s="67">
        <f ca="1">VLOOKUP($K57,'SPC background (hide)'!$AG$2:$AS$54,3,0)</f>
        <v>1</v>
      </c>
      <c r="M57" s="67">
        <f t="shared" ca="1" si="0"/>
        <v>2725.7536799999998</v>
      </c>
      <c r="N57" s="67">
        <f t="shared" ca="1" si="1"/>
        <v>532.88936170212764</v>
      </c>
      <c r="O57" s="67"/>
      <c r="P57" s="67"/>
      <c r="Q57" s="67"/>
      <c r="R57" s="5">
        <f ca="1">(VLOOKUP(K57,'Summary Calculations (hide)'!$D$15:$L$67,8,0)+VLOOKUP(K57,'Summary Calculations (hide)'!$D$15:$L$67,9,0))*IF(Summary!$C$8="Patients",'Summary Calculations (hide)'!$I$9,1)</f>
        <v>4038.4615384615386</v>
      </c>
      <c r="AA57" s="67">
        <f ca="1">IF(Summary!$C$8="Patients", 'Parameters calculator (hide)'!$H$63,'Parameters calculator (hide)'!$H$62)</f>
        <v>2588.56</v>
      </c>
      <c r="AB57" s="67">
        <f ca="1">IF(Summary!$C$8="Patients", 'Parameters calculator (hide)'!$I$63,'Parameters calculator (hide)'!$I$62)</f>
        <v>2861.0400000000004</v>
      </c>
      <c r="AC57" s="67">
        <f t="shared" ca="1" si="2"/>
        <v>272.48000000000047</v>
      </c>
    </row>
    <row r="58" spans="8:29" x14ac:dyDescent="0.25">
      <c r="H58" s="297">
        <f>'Summary Calculations (hide)'!A60</f>
        <v>44270</v>
      </c>
      <c r="I58" t="str">
        <f>'Summary Calculations (hide)'!B60</f>
        <v/>
      </c>
      <c r="J58" t="str">
        <f>'Summary Calculations (hide)'!C60</f>
        <v/>
      </c>
      <c r="K58">
        <f>'Summary Calculations (hide)'!D60</f>
        <v>11</v>
      </c>
      <c r="L58" s="67">
        <f ca="1">VLOOKUP($K58,'SPC background (hide)'!$AG$2:$AS$54,3,0)</f>
        <v>1</v>
      </c>
      <c r="M58" s="67">
        <f t="shared" ca="1" si="0"/>
        <v>2725.7536799999998</v>
      </c>
      <c r="N58" s="67">
        <f t="shared" ca="1" si="1"/>
        <v>532.88936170212764</v>
      </c>
      <c r="O58" s="67"/>
      <c r="P58" s="67"/>
      <c r="Q58" s="67"/>
      <c r="R58" s="5">
        <f ca="1">(VLOOKUP(K58,'Summary Calculations (hide)'!$D$15:$L$67,8,0)+VLOOKUP(K58,'Summary Calculations (hide)'!$D$15:$L$67,9,0))*IF(Summary!$C$8="Patients",'Summary Calculations (hide)'!$I$9,1)</f>
        <v>4038.4615384615386</v>
      </c>
      <c r="AA58" s="67">
        <f ca="1">IF(Summary!$C$8="Patients", 'Parameters calculator (hide)'!$H$63,'Parameters calculator (hide)'!$H$62)</f>
        <v>2588.56</v>
      </c>
      <c r="AB58" s="67">
        <f ca="1">IF(Summary!$C$8="Patients", 'Parameters calculator (hide)'!$I$63,'Parameters calculator (hide)'!$I$62)</f>
        <v>2861.0400000000004</v>
      </c>
      <c r="AC58" s="67">
        <f t="shared" ca="1" si="2"/>
        <v>272.48000000000047</v>
      </c>
    </row>
    <row r="59" spans="8:29" x14ac:dyDescent="0.25">
      <c r="H59" s="297">
        <f>'Summary Calculations (hide)'!A61</f>
        <v>44277</v>
      </c>
      <c r="I59" t="str">
        <f>'Summary Calculations (hide)'!B61</f>
        <v/>
      </c>
      <c r="J59" t="str">
        <f>'Summary Calculations (hide)'!C61</f>
        <v/>
      </c>
      <c r="K59">
        <f>'Summary Calculations (hide)'!D61</f>
        <v>12</v>
      </c>
      <c r="L59" s="67">
        <f ca="1">VLOOKUP($K59,'SPC background (hide)'!$AG$2:$AS$54,3,0)</f>
        <v>1</v>
      </c>
      <c r="M59" s="67">
        <f t="shared" ca="1" si="0"/>
        <v>2725.7536799999998</v>
      </c>
      <c r="N59" s="67">
        <f t="shared" ca="1" si="1"/>
        <v>532.88936170212764</v>
      </c>
      <c r="O59" s="67"/>
      <c r="P59" s="67"/>
      <c r="Q59" s="67"/>
      <c r="R59" s="5">
        <f ca="1">(VLOOKUP(K59,'Summary Calculations (hide)'!$D$15:$L$67,8,0)+VLOOKUP(K59,'Summary Calculations (hide)'!$D$15:$L$67,9,0))*IF(Summary!$C$8="Patients",'Summary Calculations (hide)'!$I$9,1)</f>
        <v>4038.4615384615386</v>
      </c>
      <c r="AA59" s="67">
        <f ca="1">IF(Summary!$C$8="Patients", 'Parameters calculator (hide)'!$H$63,'Parameters calculator (hide)'!$H$62)</f>
        <v>2588.56</v>
      </c>
      <c r="AB59" s="67">
        <f ca="1">IF(Summary!$C$8="Patients", 'Parameters calculator (hide)'!$I$63,'Parameters calculator (hide)'!$I$62)</f>
        <v>2861.0400000000004</v>
      </c>
      <c r="AC59" s="67">
        <f t="shared" ca="1" si="2"/>
        <v>272.48000000000047</v>
      </c>
    </row>
    <row r="60" spans="8:29" x14ac:dyDescent="0.25">
      <c r="H60" s="297">
        <f>'Summary Calculations (hide)'!A62</f>
        <v>44284</v>
      </c>
      <c r="I60" t="str">
        <f>'Summary Calculations (hide)'!B62</f>
        <v/>
      </c>
      <c r="J60" t="str">
        <f>'Summary Calculations (hide)'!C62</f>
        <v/>
      </c>
      <c r="K60">
        <f>'Summary Calculations (hide)'!D62</f>
        <v>13</v>
      </c>
      <c r="L60" s="67">
        <f ca="1">VLOOKUP($K60,'SPC background (hide)'!$AG$2:$AS$54,3,0)</f>
        <v>1</v>
      </c>
      <c r="M60" s="67">
        <f t="shared" ca="1" si="0"/>
        <v>2725.7536799999998</v>
      </c>
      <c r="N60" s="67">
        <f t="shared" ca="1" si="1"/>
        <v>532.88936170212764</v>
      </c>
      <c r="O60" s="67"/>
      <c r="P60" s="67"/>
      <c r="Q60" s="67"/>
      <c r="R60" s="5">
        <f ca="1">(VLOOKUP(K60,'Summary Calculations (hide)'!$D$15:$L$67,8,0)+VLOOKUP(K60,'Summary Calculations (hide)'!$D$15:$L$67,9,0))*IF(Summary!$C$8="Patients",'Summary Calculations (hide)'!$I$9,1)</f>
        <v>4038.4615384615386</v>
      </c>
      <c r="AA60" s="67">
        <f ca="1">IF(Summary!$C$8="Patients", 'Parameters calculator (hide)'!$H$63,'Parameters calculator (hide)'!$H$62)</f>
        <v>2588.56</v>
      </c>
      <c r="AB60" s="67">
        <f ca="1">IF(Summary!$C$8="Patients", 'Parameters calculator (hide)'!$I$63,'Parameters calculator (hide)'!$I$62)</f>
        <v>2861.0400000000004</v>
      </c>
      <c r="AC60" s="67">
        <f t="shared" ca="1" si="2"/>
        <v>272.48000000000047</v>
      </c>
    </row>
    <row r="61" spans="8:29" x14ac:dyDescent="0.25">
      <c r="H61" s="297">
        <f>'Summary Calculations (hide)'!A63</f>
        <v>44291</v>
      </c>
      <c r="I61" t="str">
        <f>'Summary Calculations (hide)'!B63</f>
        <v/>
      </c>
      <c r="J61" t="str">
        <f>'Summary Calculations (hide)'!C63</f>
        <v>Apr</v>
      </c>
      <c r="K61">
        <f>'Summary Calculations (hide)'!D63</f>
        <v>14</v>
      </c>
      <c r="L61" s="67">
        <f ca="1">VLOOKUP($K61,'SPC background (hide)'!$AG$2:$AS$54,3,0)</f>
        <v>1</v>
      </c>
      <c r="M61" s="67">
        <f t="shared" ca="1" si="0"/>
        <v>2725.7536799999998</v>
      </c>
      <c r="N61" s="67">
        <f t="shared" ca="1" si="1"/>
        <v>532.88936170212764</v>
      </c>
      <c r="O61" s="67"/>
      <c r="P61" s="67"/>
      <c r="Q61" s="67"/>
      <c r="R61" s="5">
        <f ca="1">(VLOOKUP(K61,'Summary Calculations (hide)'!$D$15:$L$67,8,0)+VLOOKUP(K61,'Summary Calculations (hide)'!$D$15:$L$67,9,0))*IF(Summary!$C$8="Patients",'Summary Calculations (hide)'!$I$9,1)</f>
        <v>4038.4615384615386</v>
      </c>
      <c r="AA61" s="67">
        <f ca="1">IF(Summary!$C$8="Patients", 'Parameters calculator (hide)'!$H$63,'Parameters calculator (hide)'!$H$62)</f>
        <v>2588.56</v>
      </c>
      <c r="AB61" s="67">
        <f ca="1">IF(Summary!$C$8="Patients", 'Parameters calculator (hide)'!$I$63,'Parameters calculator (hide)'!$I$62)</f>
        <v>2861.0400000000004</v>
      </c>
      <c r="AC61" s="67">
        <f t="shared" ca="1" si="2"/>
        <v>272.48000000000047</v>
      </c>
    </row>
    <row r="62" spans="8:29" x14ac:dyDescent="0.25">
      <c r="H62" s="297">
        <f>'Summary Calculations (hide)'!A64</f>
        <v>44298</v>
      </c>
      <c r="I62" t="str">
        <f>'Summary Calculations (hide)'!B64</f>
        <v/>
      </c>
      <c r="J62" t="str">
        <f>'Summary Calculations (hide)'!C64</f>
        <v/>
      </c>
      <c r="K62">
        <f>'Summary Calculations (hide)'!D64</f>
        <v>15</v>
      </c>
      <c r="L62" s="67">
        <f ca="1">VLOOKUP($K62,'SPC background (hide)'!$AG$2:$AS$54,3,0)</f>
        <v>1</v>
      </c>
      <c r="M62" s="67">
        <f t="shared" ca="1" si="0"/>
        <v>2725.7536799999998</v>
      </c>
      <c r="N62" s="67">
        <f t="shared" ca="1" si="1"/>
        <v>532.88936170212764</v>
      </c>
      <c r="O62" s="67"/>
      <c r="P62" s="67"/>
      <c r="Q62" s="67"/>
      <c r="R62" s="5">
        <f ca="1">(VLOOKUP(K62,'Summary Calculations (hide)'!$D$15:$L$67,8,0)+VLOOKUP(K62,'Summary Calculations (hide)'!$D$15:$L$67,9,0))*IF(Summary!$C$8="Patients",'Summary Calculations (hide)'!$I$9,1)</f>
        <v>4038.4615384615386</v>
      </c>
      <c r="AA62" s="67">
        <f ca="1">IF(Summary!$C$8="Patients", 'Parameters calculator (hide)'!$H$63,'Parameters calculator (hide)'!$H$62)</f>
        <v>2588.56</v>
      </c>
      <c r="AB62" s="67">
        <f ca="1">IF(Summary!$C$8="Patients", 'Parameters calculator (hide)'!$I$63,'Parameters calculator (hide)'!$I$62)</f>
        <v>2861.0400000000004</v>
      </c>
      <c r="AC62" s="67">
        <f t="shared" ca="1" si="2"/>
        <v>272.48000000000047</v>
      </c>
    </row>
    <row r="63" spans="8:29" x14ac:dyDescent="0.25">
      <c r="H63" s="297">
        <f>'Summary Calculations (hide)'!A65</f>
        <v>44305</v>
      </c>
      <c r="I63" t="str">
        <f>'Summary Calculations (hide)'!B65</f>
        <v/>
      </c>
      <c r="J63" t="str">
        <f>'Summary Calculations (hide)'!C65</f>
        <v/>
      </c>
      <c r="K63">
        <f>'Summary Calculations (hide)'!D65</f>
        <v>16</v>
      </c>
      <c r="L63" s="67">
        <f ca="1">VLOOKUP($K63,'SPC background (hide)'!$AG$2:$AS$54,3,0)</f>
        <v>1</v>
      </c>
      <c r="M63" s="67">
        <f t="shared" ca="1" si="0"/>
        <v>2725.7536799999998</v>
      </c>
      <c r="N63" s="67">
        <f t="shared" ca="1" si="1"/>
        <v>532.88936170212764</v>
      </c>
      <c r="O63" s="67"/>
      <c r="P63" s="67"/>
      <c r="Q63" s="67"/>
      <c r="R63" s="5">
        <f ca="1">(VLOOKUP(K63,'Summary Calculations (hide)'!$D$15:$L$67,8,0)+VLOOKUP(K63,'Summary Calculations (hide)'!$D$15:$L$67,9,0))*IF(Summary!$C$8="Patients",'Summary Calculations (hide)'!$I$9,1)</f>
        <v>4038.4615384615386</v>
      </c>
      <c r="AA63" s="67">
        <f ca="1">IF(Summary!$C$8="Patients", 'Parameters calculator (hide)'!$H$63,'Parameters calculator (hide)'!$H$62)</f>
        <v>2588.56</v>
      </c>
      <c r="AB63" s="67">
        <f ca="1">IF(Summary!$C$8="Patients", 'Parameters calculator (hide)'!$I$63,'Parameters calculator (hide)'!$I$62)</f>
        <v>2861.0400000000004</v>
      </c>
      <c r="AC63" s="67">
        <f t="shared" ca="1" si="2"/>
        <v>272.48000000000047</v>
      </c>
    </row>
    <row r="64" spans="8:29" x14ac:dyDescent="0.25">
      <c r="H64" s="297">
        <f>'Summary Calculations (hide)'!A66</f>
        <v>44312</v>
      </c>
      <c r="I64" t="str">
        <f>'Summary Calculations (hide)'!B66</f>
        <v/>
      </c>
      <c r="J64" t="str">
        <f>'Summary Calculations (hide)'!C66</f>
        <v/>
      </c>
      <c r="K64">
        <f>'Summary Calculations (hide)'!D66</f>
        <v>17</v>
      </c>
      <c r="L64" s="67">
        <f ca="1">VLOOKUP($K64,'SPC background (hide)'!$AG$2:$AS$54,3,0)</f>
        <v>1</v>
      </c>
      <c r="M64" s="67">
        <f t="shared" ca="1" si="0"/>
        <v>2725.7536799999998</v>
      </c>
      <c r="N64" s="67">
        <f t="shared" ca="1" si="1"/>
        <v>532.88936170212764</v>
      </c>
      <c r="O64" s="67"/>
      <c r="P64" s="67"/>
      <c r="Q64" s="67"/>
      <c r="R64" s="5">
        <f ca="1">(VLOOKUP(K64,'Summary Calculations (hide)'!$D$15:$L$67,8,0)+VLOOKUP(K64,'Summary Calculations (hide)'!$D$15:$L$67,9,0))*IF(Summary!$C$8="Patients",'Summary Calculations (hide)'!$I$9,1)</f>
        <v>4038.4615384615386</v>
      </c>
      <c r="AA64" s="67">
        <f ca="1">IF(Summary!$C$8="Patients", 'Parameters calculator (hide)'!$H$63,'Parameters calculator (hide)'!$H$62)</f>
        <v>2588.56</v>
      </c>
      <c r="AB64" s="67">
        <f ca="1">IF(Summary!$C$8="Patients", 'Parameters calculator (hide)'!$I$63,'Parameters calculator (hide)'!$I$62)</f>
        <v>2861.0400000000004</v>
      </c>
      <c r="AC64" s="67">
        <f t="shared" ca="1" si="2"/>
        <v>272.48000000000047</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AC52" sqref="AC52"/>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23</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6">
        <f>Capacity!C3</f>
        <v>43955</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1157</v>
      </c>
      <c r="C8" s="309" t="s">
        <v>20</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1159</v>
      </c>
      <c r="C11" s="356"/>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1235</v>
      </c>
      <c r="D12" s="357">
        <f ca="1">'Summary Calculations (hide)'!X70</f>
        <v>2725.7536799999975</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5"/>
      <c r="C13" s="357" t="str">
        <f>IF(C11&lt;&gt;"","New value","")</f>
        <v/>
      </c>
      <c r="D13" s="35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1155</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1151</v>
      </c>
      <c r="C15" s="355"/>
      <c r="D15" s="308">
        <f ca="1">'Parameters calculator (hide)'!B43</f>
        <v>0.05</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1152</v>
      </c>
      <c r="C16" s="355"/>
      <c r="D16" s="308">
        <f ca="1">'Parameters calculator (hide)'!B44</f>
        <v>1.0999999999999999E-2</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1153</v>
      </c>
      <c r="C17" s="355"/>
      <c r="D17" s="308">
        <f ca="1">'Parameters calculator (hide)'!B45</f>
        <v>0.08</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1154</v>
      </c>
      <c r="C18" s="355"/>
      <c r="D18" s="308">
        <f ca="1">'Parameters calculator (hide)'!B46</f>
        <v>0.2</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20</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customHeight="1" x14ac:dyDescent="0.25">
      <c r="B22" s="398" t="s">
        <v>512</v>
      </c>
      <c r="C22" s="399" t="s">
        <v>511</v>
      </c>
      <c r="D22" s="39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x14ac:dyDescent="0.25">
      <c r="B23" s="400"/>
      <c r="C23" s="401"/>
      <c r="D23" s="401"/>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x14ac:dyDescent="0.25">
      <c r="B24" s="45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x14ac:dyDescent="0.25">
      <c r="B26" s="163" t="s">
        <v>1113</v>
      </c>
      <c r="C26" s="220">
        <f t="shared" ref="C26:C45" si="0">IF(B26="","",COUNTIF(F26:BE26,"X"))</f>
        <v>0</v>
      </c>
      <c r="D26" s="164"/>
      <c r="F26" s="155"/>
      <c r="G26" s="155"/>
      <c r="H26" s="155"/>
      <c r="I26" s="15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x14ac:dyDescent="0.25">
      <c r="B27" s="163" t="s">
        <v>1246</v>
      </c>
      <c r="C27" s="220">
        <f t="shared" si="0"/>
        <v>0</v>
      </c>
      <c r="D27" s="164"/>
      <c r="F27" s="155"/>
      <c r="G27" s="155"/>
      <c r="H27" s="155"/>
      <c r="I27" s="155"/>
      <c r="J27" s="155"/>
      <c r="K27" s="155"/>
      <c r="L27" s="155"/>
      <c r="M27" s="155"/>
      <c r="N27" s="155"/>
      <c r="O27" s="155"/>
      <c r="P27" s="155"/>
      <c r="Q27" s="155"/>
      <c r="R27" s="155"/>
      <c r="S27" s="155"/>
      <c r="T27" s="155"/>
      <c r="U27" s="155"/>
      <c r="V27" s="155"/>
      <c r="W27" s="155"/>
      <c r="X27" s="155"/>
      <c r="Y27" s="155"/>
      <c r="Z27" s="155"/>
      <c r="AA27" s="155"/>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row>
    <row r="28" spans="2:62"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JpCNLY9nbpiLNM8qRettbP0ls34MzQFrMMuN/qek+Dakp1Wyu4vHxBNIb6ZTd+zyuaUGNpC6Pf9c0B5MSr03jw==" saltValue="DpDdIz7bx2cpZuFJeQLplw=="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1162</v>
      </c>
      <c r="AE3" t="s">
        <v>1163</v>
      </c>
    </row>
    <row r="4" spans="1:31" x14ac:dyDescent="0.25">
      <c r="A4" s="87">
        <f ca="1">IF(Planning!$C$6="",TODAY()-WEEKDAY(TODAY(),3)+7,Planning!$C$6)</f>
        <v>43955</v>
      </c>
      <c r="B4">
        <f ca="1">IF(WEEKNUM(A4)=53,1,WEEKNUM(A4))</f>
        <v>19</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3641.2739999999994</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3.0010499999998501</v>
      </c>
      <c r="E4" s="5">
        <f ca="1">VLOOKUP($B4,'Summary Calculations (hide)'!$D$15:$U$67,15,0)</f>
        <v>20</v>
      </c>
      <c r="F4" s="5">
        <f ca="1">VLOOKUP($B4,'Summary Calculations (hide)'!$D$15:$U$67,16,0)</f>
        <v>0</v>
      </c>
      <c r="G4" s="5">
        <f ca="1">SUM(E4:F4)</f>
        <v>20</v>
      </c>
      <c r="H4" s="5">
        <f ca="1">IF(G4+SUM(I4:AC4)&lt;0,0,G4+SUM(I4:AC4))</f>
        <v>20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3641.2739999999999</v>
      </c>
      <c r="AE4" s="67">
        <f ca="1">VLOOKUP($B4,'Summary Calculations (hide)'!$D$15:$U$67,18,0)</f>
        <v>3.0010499999998501</v>
      </c>
    </row>
    <row r="5" spans="1:31" x14ac:dyDescent="0.25">
      <c r="A5" s="87">
        <f ca="1">A4+7</f>
        <v>43962</v>
      </c>
      <c r="B5" s="67">
        <f t="shared" ref="B5:B55" ca="1" si="0">IF(WEEKNUM(A5)=53,1,WEEKNUM(A5))</f>
        <v>20</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3491.5341093749994</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3.0010500000003049</v>
      </c>
      <c r="E5" s="5">
        <f ca="1">VLOOKUP($B5,'Summary Calculations (hide)'!$D$15:$U$67,15,0)</f>
        <v>20</v>
      </c>
      <c r="F5" s="5">
        <f ca="1">VLOOKUP($B5,'Summary Calculations (hide)'!$D$15:$U$67,16,0)</f>
        <v>0</v>
      </c>
      <c r="G5" s="5">
        <f t="shared" ref="G5:G55" ca="1" si="1">SUM(E5:F5)</f>
        <v>20</v>
      </c>
      <c r="H5" s="5">
        <f t="shared" ref="H5:H55" ca="1" si="2">IF(G5+SUM(I5:AC5)&lt;0,0,G5+SUM(I5:AC5))</f>
        <v>20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3491.5341093749998</v>
      </c>
      <c r="AE5" s="67">
        <f ca="1">VLOOKUP($B5,'Summary Calculations (hide)'!$D$15:$U$67,18,0)</f>
        <v>3.0010499999998501</v>
      </c>
    </row>
    <row r="6" spans="1:31" x14ac:dyDescent="0.25">
      <c r="A6" s="87">
        <f t="shared" ref="A6:A55" ca="1" si="3">A5+7</f>
        <v>43969</v>
      </c>
      <c r="B6" s="67">
        <f t="shared" ca="1" si="0"/>
        <v>21</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3341.7942187499993</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3.0010500000003049</v>
      </c>
      <c r="E6" s="5">
        <f ca="1">VLOOKUP($B6,'Summary Calculations (hide)'!$D$15:$U$67,15,0)</f>
        <v>20</v>
      </c>
      <c r="F6" s="5">
        <f ca="1">VLOOKUP($B6,'Summary Calculations (hide)'!$D$15:$U$67,16,0)</f>
        <v>0</v>
      </c>
      <c r="G6" s="5">
        <f t="shared" ca="1" si="1"/>
        <v>20</v>
      </c>
      <c r="H6" s="5">
        <f t="shared" ca="1" si="2"/>
        <v>20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3341.7942187499998</v>
      </c>
      <c r="AE6" s="67">
        <f ca="1">VLOOKUP($B6,'Summary Calculations (hide)'!$D$15:$U$67,18,0)</f>
        <v>3.0010499999998501</v>
      </c>
    </row>
    <row r="7" spans="1:31" x14ac:dyDescent="0.25">
      <c r="A7" s="87">
        <f t="shared" ca="1" si="3"/>
        <v>43976</v>
      </c>
      <c r="B7" s="67">
        <f t="shared" ca="1" si="0"/>
        <v>22</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3192.0543281249993</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3.0010500000003049</v>
      </c>
      <c r="E7" s="5">
        <f ca="1">VLOOKUP($B7,'Summary Calculations (hide)'!$D$15:$U$67,15,0)</f>
        <v>20</v>
      </c>
      <c r="F7" s="5">
        <f ca="1">VLOOKUP($B7,'Summary Calculations (hide)'!$D$15:$U$67,16,0)</f>
        <v>0</v>
      </c>
      <c r="G7" s="5">
        <f t="shared" ca="1" si="1"/>
        <v>20</v>
      </c>
      <c r="H7" s="5">
        <f t="shared" ca="1" si="2"/>
        <v>20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3192.0543281249998</v>
      </c>
      <c r="AE7" s="67">
        <f ca="1">VLOOKUP($B7,'Summary Calculations (hide)'!$D$15:$U$67,18,0)</f>
        <v>3.0010499999998501</v>
      </c>
    </row>
    <row r="8" spans="1:31" x14ac:dyDescent="0.25">
      <c r="A8" s="87">
        <f t="shared" ca="1" si="3"/>
        <v>43983</v>
      </c>
      <c r="B8" s="67">
        <f t="shared" ca="1" si="0"/>
        <v>23</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3042.3144374999997</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3.0010499999998501</v>
      </c>
      <c r="E8" s="5">
        <f ca="1">VLOOKUP($B8,'Summary Calculations (hide)'!$D$15:$U$67,15,0)</f>
        <v>20</v>
      </c>
      <c r="F8" s="5">
        <f ca="1">VLOOKUP($B8,'Summary Calculations (hide)'!$D$15:$U$67,16,0)</f>
        <v>0</v>
      </c>
      <c r="G8" s="5">
        <f t="shared" ca="1" si="1"/>
        <v>20</v>
      </c>
      <c r="H8" s="5">
        <f t="shared" ca="1" si="2"/>
        <v>20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3042.3144374999997</v>
      </c>
      <c r="AE8" s="67">
        <f ca="1">VLOOKUP($B8,'Summary Calculations (hide)'!$D$15:$U$67,18,0)</f>
        <v>3.0010499999998501</v>
      </c>
    </row>
    <row r="9" spans="1:31" x14ac:dyDescent="0.25">
      <c r="A9" s="87">
        <f t="shared" ca="1" si="3"/>
        <v>43990</v>
      </c>
      <c r="B9" s="67">
        <f t="shared" ca="1" si="0"/>
        <v>24</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2892.5745468749997</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3.0010499999998501</v>
      </c>
      <c r="E9" s="5">
        <f ca="1">VLOOKUP($B9,'Summary Calculations (hide)'!$D$15:$U$67,15,0)</f>
        <v>20</v>
      </c>
      <c r="F9" s="5">
        <f ca="1">VLOOKUP($B9,'Summary Calculations (hide)'!$D$15:$U$67,16,0)</f>
        <v>0</v>
      </c>
      <c r="G9" s="5">
        <f t="shared" ca="1" si="1"/>
        <v>20</v>
      </c>
      <c r="H9" s="5">
        <f t="shared" ca="1" si="2"/>
        <v>20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2892.5745468749997</v>
      </c>
      <c r="AE9" s="67">
        <f ca="1">VLOOKUP($B9,'Summary Calculations (hide)'!$D$15:$U$67,18,0)</f>
        <v>3.0010499999998501</v>
      </c>
    </row>
    <row r="10" spans="1:31" x14ac:dyDescent="0.25">
      <c r="A10" s="87">
        <f t="shared" ca="1" si="3"/>
        <v>43997</v>
      </c>
      <c r="B10" s="67">
        <f t="shared" ca="1" si="0"/>
        <v>25</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2742.8346562499996</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3.0010499999998501</v>
      </c>
      <c r="E10" s="5">
        <f ca="1">VLOOKUP($B10,'Summary Calculations (hide)'!$D$15:$U$67,15,0)</f>
        <v>40</v>
      </c>
      <c r="F10" s="5">
        <f ca="1">VLOOKUP($B10,'Summary Calculations (hide)'!$D$15:$U$67,16,0)</f>
        <v>0</v>
      </c>
      <c r="G10" s="5">
        <f t="shared" ca="1" si="1"/>
        <v>40</v>
      </c>
      <c r="H10" s="5">
        <f t="shared" ca="1" si="2"/>
        <v>40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2742.8346562499996</v>
      </c>
      <c r="AE10" s="67">
        <f ca="1">VLOOKUP($B10,'Summary Calculations (hide)'!$D$15:$U$67,18,0)</f>
        <v>3.0010500000003049</v>
      </c>
    </row>
    <row r="11" spans="1:31" x14ac:dyDescent="0.25">
      <c r="A11" s="87">
        <f t="shared" ca="1" si="3"/>
        <v>44004</v>
      </c>
      <c r="B11" s="67">
        <f t="shared" ca="1" si="0"/>
        <v>26</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2593.0947656249996</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3.0010499999998501</v>
      </c>
      <c r="E11" s="5">
        <f ca="1">VLOOKUP($B11,'Summary Calculations (hide)'!$D$15:$U$67,15,0)</f>
        <v>80</v>
      </c>
      <c r="F11" s="5">
        <f ca="1">VLOOKUP($B11,'Summary Calculations (hide)'!$D$15:$U$67,16,0)</f>
        <v>0</v>
      </c>
      <c r="G11" s="5">
        <f t="shared" ca="1" si="1"/>
        <v>80</v>
      </c>
      <c r="H11" s="5">
        <f t="shared" ca="1" si="2"/>
        <v>80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2593.094765625</v>
      </c>
      <c r="AE11" s="67">
        <f ca="1">VLOOKUP($B11,'Summary Calculations (hide)'!$D$15:$U$67,18,0)</f>
        <v>3.0010499999998501</v>
      </c>
    </row>
    <row r="12" spans="1:31" x14ac:dyDescent="0.25">
      <c r="A12" s="87">
        <f t="shared" ca="1" si="3"/>
        <v>44011</v>
      </c>
      <c r="B12" s="67">
        <f t="shared" ca="1" si="0"/>
        <v>27</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2443.3548749999995</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3.0010500000003049</v>
      </c>
      <c r="E12" s="5">
        <f ca="1">VLOOKUP($B12,'Summary Calculations (hide)'!$D$15:$U$67,15,0)</f>
        <v>120</v>
      </c>
      <c r="F12" s="5">
        <f ca="1">VLOOKUP($B12,'Summary Calculations (hide)'!$D$15:$U$67,16,0)</f>
        <v>0</v>
      </c>
      <c r="G12" s="5">
        <f t="shared" ca="1" si="1"/>
        <v>120</v>
      </c>
      <c r="H12" s="5">
        <f t="shared" ca="1" si="2"/>
        <v>120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2443.354875</v>
      </c>
      <c r="AE12" s="67">
        <f ca="1">VLOOKUP($B12,'Summary Calculations (hide)'!$D$15:$U$67,18,0)</f>
        <v>3.0010499999998501</v>
      </c>
    </row>
    <row r="13" spans="1:31" x14ac:dyDescent="0.25">
      <c r="A13" s="87">
        <f t="shared" ca="1" si="3"/>
        <v>44018</v>
      </c>
      <c r="B13" s="67">
        <f t="shared" ca="1" si="0"/>
        <v>28</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2443.3548749999995</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2058.7202999999977</v>
      </c>
      <c r="E13" s="5">
        <f ca="1">VLOOKUP($B13,'Summary Calculations (hide)'!$D$15:$U$67,15,0)</f>
        <v>150</v>
      </c>
      <c r="F13" s="5">
        <f ca="1">VLOOKUP($B13,'Summary Calculations (hide)'!$D$15:$U$67,16,0)</f>
        <v>0</v>
      </c>
      <c r="G13" s="5">
        <f t="shared" ca="1" si="1"/>
        <v>150</v>
      </c>
      <c r="H13" s="5">
        <f t="shared" ca="1" si="2"/>
        <v>150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2543.3898749999998</v>
      </c>
      <c r="AE13" s="67">
        <f ca="1">VLOOKUP($B13,'Summary Calculations (hide)'!$D$15:$U$67,18,0)</f>
        <v>2058.7202999999972</v>
      </c>
    </row>
    <row r="14" spans="1:31" x14ac:dyDescent="0.25">
      <c r="A14" s="87">
        <f t="shared" ca="1" si="3"/>
        <v>44025</v>
      </c>
      <c r="B14" s="67">
        <f t="shared" ca="1" si="0"/>
        <v>29</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2443.3548749999995</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2058.7202999999977</v>
      </c>
      <c r="E14" s="5">
        <f ca="1">VLOOKUP($B14,'Summary Calculations (hide)'!$D$15:$U$67,15,0)</f>
        <v>180</v>
      </c>
      <c r="F14" s="5">
        <f ca="1">VLOOKUP($B14,'Summary Calculations (hide)'!$D$15:$U$67,16,0)</f>
        <v>0</v>
      </c>
      <c r="G14" s="5">
        <f t="shared" ca="1" si="1"/>
        <v>180</v>
      </c>
      <c r="H14" s="5">
        <f t="shared" ca="1" si="2"/>
        <v>180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2543.3898749999998</v>
      </c>
      <c r="AE14" s="67">
        <f ca="1">VLOOKUP($B14,'Summary Calculations (hide)'!$D$15:$U$67,18,0)</f>
        <v>2058.7202999999972</v>
      </c>
    </row>
    <row r="15" spans="1:31" x14ac:dyDescent="0.25">
      <c r="A15" s="87">
        <f t="shared" ca="1" si="3"/>
        <v>44032</v>
      </c>
      <c r="B15" s="67">
        <f t="shared" ca="1" si="0"/>
        <v>30</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2443.3548749999995</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2058.7202999999977</v>
      </c>
      <c r="E15" s="5">
        <f ca="1">VLOOKUP($B15,'Summary Calculations (hide)'!$D$15:$U$67,15,0)</f>
        <v>180</v>
      </c>
      <c r="F15" s="5">
        <f ca="1">VLOOKUP($B15,'Summary Calculations (hide)'!$D$15:$U$67,16,0)</f>
        <v>0</v>
      </c>
      <c r="G15" s="5">
        <f t="shared" ca="1" si="1"/>
        <v>180</v>
      </c>
      <c r="H15" s="5">
        <f t="shared" ca="1" si="2"/>
        <v>180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2543.3898749999998</v>
      </c>
      <c r="AE15" s="67">
        <f ca="1">VLOOKUP($B15,'Summary Calculations (hide)'!$D$15:$U$67,18,0)</f>
        <v>2058.7202999999972</v>
      </c>
    </row>
    <row r="16" spans="1:31" x14ac:dyDescent="0.25">
      <c r="A16" s="87">
        <f t="shared" ca="1" si="3"/>
        <v>44039</v>
      </c>
      <c r="B16" s="67">
        <f t="shared" ca="1" si="0"/>
        <v>31</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2443.3548749999995</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2058.7202999999977</v>
      </c>
      <c r="E16" s="5">
        <f ca="1">VLOOKUP($B16,'Summary Calculations (hide)'!$D$15:$U$67,15,0)</f>
        <v>4038.4615384615386</v>
      </c>
      <c r="F16" s="5">
        <f ca="1">VLOOKUP($B16,'Summary Calculations (hide)'!$D$15:$U$67,16,0)</f>
        <v>10</v>
      </c>
      <c r="G16" s="5">
        <f t="shared" ca="1" si="1"/>
        <v>4048.4615384615386</v>
      </c>
      <c r="H16" s="5">
        <f t="shared" ca="1" si="2"/>
        <v>4048.4615384615386</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2543.3898749999998</v>
      </c>
      <c r="AE16" s="67">
        <f ca="1">VLOOKUP($B16,'Summary Calculations (hide)'!$D$15:$U$67,18,0)</f>
        <v>2058.7202999999972</v>
      </c>
    </row>
    <row r="17" spans="1:31" x14ac:dyDescent="0.25">
      <c r="A17" s="87">
        <f t="shared" ca="1" si="3"/>
        <v>44046</v>
      </c>
      <c r="B17" s="67">
        <f t="shared" ca="1" si="0"/>
        <v>32</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2443.3548749999995</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2058.7202999999977</v>
      </c>
      <c r="E17" s="5">
        <f ca="1">VLOOKUP($B17,'Summary Calculations (hide)'!$D$15:$U$67,15,0)</f>
        <v>4038.4615384615386</v>
      </c>
      <c r="F17" s="5">
        <f ca="1">VLOOKUP($B17,'Summary Calculations (hide)'!$D$15:$U$67,16,0)</f>
        <v>10</v>
      </c>
      <c r="G17" s="5">
        <f t="shared" ca="1" si="1"/>
        <v>4048.4615384615386</v>
      </c>
      <c r="H17" s="5">
        <f t="shared" ca="1" si="2"/>
        <v>4048.4615384615386</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2543.3898749999998</v>
      </c>
      <c r="AE17" s="67">
        <f ca="1">VLOOKUP($B17,'Summary Calculations (hide)'!$D$15:$U$67,18,0)</f>
        <v>2058.7202999999972</v>
      </c>
    </row>
    <row r="18" spans="1:31" x14ac:dyDescent="0.25">
      <c r="A18" s="87">
        <f t="shared" ca="1" si="3"/>
        <v>44053</v>
      </c>
      <c r="B18" s="67">
        <f t="shared" ca="1" si="0"/>
        <v>33</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2443.3548749999995</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2058.7202999999977</v>
      </c>
      <c r="E18" s="5">
        <f ca="1">VLOOKUP($B18,'Summary Calculations (hide)'!$D$15:$U$67,15,0)</f>
        <v>4038.4615384615386</v>
      </c>
      <c r="F18" s="5">
        <f ca="1">VLOOKUP($B18,'Summary Calculations (hide)'!$D$15:$U$67,16,0)</f>
        <v>10</v>
      </c>
      <c r="G18" s="5">
        <f t="shared" ca="1" si="1"/>
        <v>4048.4615384615386</v>
      </c>
      <c r="H18" s="5">
        <f t="shared" ca="1" si="2"/>
        <v>4048.4615384615386</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2543.3898749999998</v>
      </c>
      <c r="AE18" s="67">
        <f ca="1">VLOOKUP($B18,'Summary Calculations (hide)'!$D$15:$U$67,18,0)</f>
        <v>2058.7202999999972</v>
      </c>
    </row>
    <row r="19" spans="1:31" x14ac:dyDescent="0.25">
      <c r="A19" s="87">
        <f t="shared" ca="1" si="3"/>
        <v>44060</v>
      </c>
      <c r="B19" s="67">
        <f t="shared" ca="1" si="0"/>
        <v>34</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2443.3548749999995</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2058.7202999999977</v>
      </c>
      <c r="E19" s="5">
        <f ca="1">VLOOKUP($B19,'Summary Calculations (hide)'!$D$15:$U$67,15,0)</f>
        <v>4038.4615384615386</v>
      </c>
      <c r="F19" s="5">
        <f ca="1">VLOOKUP($B19,'Summary Calculations (hide)'!$D$15:$U$67,16,0)</f>
        <v>0</v>
      </c>
      <c r="G19" s="5">
        <f t="shared" ca="1" si="1"/>
        <v>4038.4615384615386</v>
      </c>
      <c r="H19" s="5">
        <f t="shared" ca="1" si="2"/>
        <v>4038.4615384615386</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2543.3898749999998</v>
      </c>
      <c r="AE19" s="67">
        <f ca="1">VLOOKUP($B19,'Summary Calculations (hide)'!$D$15:$U$67,18,0)</f>
        <v>2058.7202999999972</v>
      </c>
    </row>
    <row r="20" spans="1:31" x14ac:dyDescent="0.25">
      <c r="A20" s="87">
        <f t="shared" ca="1" si="3"/>
        <v>44067</v>
      </c>
      <c r="B20" s="67">
        <f t="shared" ca="1" si="0"/>
        <v>35</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2443.3548749999995</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2058.7202999999977</v>
      </c>
      <c r="E20" s="5">
        <f ca="1">VLOOKUP($B20,'Summary Calculations (hide)'!$D$15:$U$67,15,0)</f>
        <v>4038.4615384615386</v>
      </c>
      <c r="F20" s="5">
        <f ca="1">VLOOKUP($B20,'Summary Calculations (hide)'!$D$15:$U$67,16,0)</f>
        <v>10</v>
      </c>
      <c r="G20" s="5">
        <f t="shared" ca="1" si="1"/>
        <v>4048.4615384615386</v>
      </c>
      <c r="H20" s="5">
        <f t="shared" ca="1" si="2"/>
        <v>4048.4615384615386</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2543.3898749999998</v>
      </c>
      <c r="AE20" s="67">
        <f ca="1">VLOOKUP($B20,'Summary Calculations (hide)'!$D$15:$U$67,18,0)</f>
        <v>2058.7202999999972</v>
      </c>
    </row>
    <row r="21" spans="1:31" x14ac:dyDescent="0.25">
      <c r="A21" s="87">
        <f t="shared" ca="1" si="3"/>
        <v>44074</v>
      </c>
      <c r="B21" s="67">
        <f t="shared" ca="1" si="0"/>
        <v>36</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2443.3548749999995</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2058.7202999999977</v>
      </c>
      <c r="E21" s="5">
        <f ca="1">VLOOKUP($B21,'Summary Calculations (hide)'!$D$15:$U$67,15,0)</f>
        <v>4038.4615384615386</v>
      </c>
      <c r="F21" s="5">
        <f ca="1">VLOOKUP($B21,'Summary Calculations (hide)'!$D$15:$U$67,16,0)</f>
        <v>10</v>
      </c>
      <c r="G21" s="5">
        <f t="shared" ca="1" si="1"/>
        <v>4048.4615384615386</v>
      </c>
      <c r="H21" s="5">
        <f t="shared" ca="1" si="2"/>
        <v>4048.4615384615386</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2443.354875</v>
      </c>
      <c r="AE21" s="67">
        <f ca="1">VLOOKUP($B21,'Summary Calculations (hide)'!$D$15:$U$67,18,0)</f>
        <v>2058.7202999999972</v>
      </c>
    </row>
    <row r="22" spans="1:31" x14ac:dyDescent="0.25">
      <c r="A22" s="87">
        <f t="shared" ca="1" si="3"/>
        <v>44081</v>
      </c>
      <c r="B22" s="67">
        <f t="shared" ca="1" si="0"/>
        <v>37</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2443.3548749999995</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2058.7202999999977</v>
      </c>
      <c r="E22" s="5">
        <f ca="1">VLOOKUP($B22,'Summary Calculations (hide)'!$D$15:$U$67,15,0)</f>
        <v>4038.4615384615386</v>
      </c>
      <c r="F22" s="5">
        <f ca="1">VLOOKUP($B22,'Summary Calculations (hide)'!$D$15:$U$67,16,0)</f>
        <v>0</v>
      </c>
      <c r="G22" s="5">
        <f t="shared" ca="1" si="1"/>
        <v>4038.4615384615386</v>
      </c>
      <c r="H22" s="5">
        <f t="shared" ca="1" si="2"/>
        <v>4038.4615384615386</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2443.354875</v>
      </c>
      <c r="AE22" s="67">
        <f ca="1">VLOOKUP($B22,'Summary Calculations (hide)'!$D$15:$U$67,18,0)</f>
        <v>2058.7202999999972</v>
      </c>
    </row>
    <row r="23" spans="1:31" x14ac:dyDescent="0.25">
      <c r="A23" s="87">
        <f t="shared" ca="1" si="3"/>
        <v>44088</v>
      </c>
      <c r="B23" s="67">
        <f t="shared" ca="1" si="0"/>
        <v>38</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2443.3548749999995</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2058.7202999999977</v>
      </c>
      <c r="E23" s="5">
        <f ca="1">VLOOKUP($B23,'Summary Calculations (hide)'!$D$15:$U$67,15,0)</f>
        <v>4038.4615384615386</v>
      </c>
      <c r="F23" s="5">
        <f ca="1">VLOOKUP($B23,'Summary Calculations (hide)'!$D$15:$U$67,16,0)</f>
        <v>0</v>
      </c>
      <c r="G23" s="5">
        <f t="shared" ca="1" si="1"/>
        <v>4038.4615384615386</v>
      </c>
      <c r="H23" s="5">
        <f t="shared" ca="1" si="2"/>
        <v>4038.4615384615386</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2443.354875</v>
      </c>
      <c r="AE23" s="67">
        <f ca="1">VLOOKUP($B23,'Summary Calculations (hide)'!$D$15:$U$67,18,0)</f>
        <v>2058.7202999999972</v>
      </c>
    </row>
    <row r="24" spans="1:31" x14ac:dyDescent="0.25">
      <c r="A24" s="87">
        <f t="shared" ca="1" si="3"/>
        <v>44095</v>
      </c>
      <c r="B24" s="67">
        <f t="shared" ca="1" si="0"/>
        <v>39</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2443.3548749999995</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2058.7202999999977</v>
      </c>
      <c r="E24" s="5">
        <f ca="1">VLOOKUP($B24,'Summary Calculations (hide)'!$D$15:$U$67,15,0)</f>
        <v>4038.4615384615386</v>
      </c>
      <c r="F24" s="5">
        <f ca="1">VLOOKUP($B24,'Summary Calculations (hide)'!$D$15:$U$67,16,0)</f>
        <v>0</v>
      </c>
      <c r="G24" s="5">
        <f t="shared" ca="1" si="1"/>
        <v>4038.4615384615386</v>
      </c>
      <c r="H24" s="5">
        <f t="shared" ca="1" si="2"/>
        <v>4038.4615384615386</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2443.354875</v>
      </c>
      <c r="AE24" s="67">
        <f ca="1">VLOOKUP($B24,'Summary Calculations (hide)'!$D$15:$U$67,18,0)</f>
        <v>2058.7202999999972</v>
      </c>
    </row>
    <row r="25" spans="1:31" x14ac:dyDescent="0.25">
      <c r="A25" s="87">
        <f t="shared" ca="1" si="3"/>
        <v>44102</v>
      </c>
      <c r="B25" s="67">
        <f t="shared" ca="1" si="0"/>
        <v>40</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2443.3548749999995</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2058.7202999999977</v>
      </c>
      <c r="E25" s="5">
        <f ca="1">VLOOKUP($B25,'Summary Calculations (hide)'!$D$15:$U$67,15,0)</f>
        <v>4038.4615384615386</v>
      </c>
      <c r="F25" s="5">
        <f ca="1">VLOOKUP($B25,'Summary Calculations (hide)'!$D$15:$U$67,16,0)</f>
        <v>0</v>
      </c>
      <c r="G25" s="5">
        <f t="shared" ca="1" si="1"/>
        <v>4038.4615384615386</v>
      </c>
      <c r="H25" s="5">
        <f t="shared" ca="1" si="2"/>
        <v>4038.4615384615386</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2443.354875</v>
      </c>
      <c r="AE25" s="67">
        <f ca="1">VLOOKUP($B25,'Summary Calculations (hide)'!$D$15:$U$67,18,0)</f>
        <v>2058.7202999999972</v>
      </c>
    </row>
    <row r="26" spans="1:31" x14ac:dyDescent="0.25">
      <c r="A26" s="87">
        <f t="shared" ca="1" si="3"/>
        <v>44109</v>
      </c>
      <c r="B26" s="67">
        <f t="shared" ca="1" si="0"/>
        <v>41</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2443.3548749999995</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2058.7202999999977</v>
      </c>
      <c r="E26" s="5">
        <f ca="1">VLOOKUP($B26,'Summary Calculations (hide)'!$D$15:$U$67,15,0)</f>
        <v>4038.4615384615386</v>
      </c>
      <c r="F26" s="5">
        <f ca="1">VLOOKUP($B26,'Summary Calculations (hide)'!$D$15:$U$67,16,0)</f>
        <v>0</v>
      </c>
      <c r="G26" s="5">
        <f t="shared" ca="1" si="1"/>
        <v>4038.4615384615386</v>
      </c>
      <c r="H26" s="5">
        <f t="shared" ca="1" si="2"/>
        <v>4038.4615384615386</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2443.354875</v>
      </c>
      <c r="AE26" s="67">
        <f ca="1">VLOOKUP($B26,'Summary Calculations (hide)'!$D$15:$U$67,18,0)</f>
        <v>2058.7202999999972</v>
      </c>
    </row>
    <row r="27" spans="1:31" x14ac:dyDescent="0.25">
      <c r="A27" s="87">
        <f t="shared" ca="1" si="3"/>
        <v>44116</v>
      </c>
      <c r="B27" s="67">
        <f t="shared" ca="1" si="0"/>
        <v>42</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2443.3548749999995</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2058.7202999999977</v>
      </c>
      <c r="E27" s="5">
        <f ca="1">VLOOKUP($B27,'Summary Calculations (hide)'!$D$15:$U$67,15,0)</f>
        <v>4038.4615384615386</v>
      </c>
      <c r="F27" s="5">
        <f ca="1">VLOOKUP($B27,'Summary Calculations (hide)'!$D$15:$U$67,16,0)</f>
        <v>0</v>
      </c>
      <c r="G27" s="5">
        <f t="shared" ca="1" si="1"/>
        <v>4038.4615384615386</v>
      </c>
      <c r="H27" s="5">
        <f t="shared" ca="1" si="2"/>
        <v>4038.4615384615386</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2443.354875</v>
      </c>
      <c r="AE27" s="67">
        <f ca="1">VLOOKUP($B27,'Summary Calculations (hide)'!$D$15:$U$67,18,0)</f>
        <v>2058.7202999999972</v>
      </c>
    </row>
    <row r="28" spans="1:31" x14ac:dyDescent="0.25">
      <c r="A28" s="87">
        <f t="shared" ca="1" si="3"/>
        <v>44123</v>
      </c>
      <c r="B28" s="67">
        <f t="shared" ca="1" si="0"/>
        <v>43</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2443.3548749999995</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2058.7202999999977</v>
      </c>
      <c r="E28" s="5">
        <f ca="1">VLOOKUP($B28,'Summary Calculations (hide)'!$D$15:$U$67,15,0)</f>
        <v>4038.4615384615386</v>
      </c>
      <c r="F28" s="5">
        <f ca="1">VLOOKUP($B28,'Summary Calculations (hide)'!$D$15:$U$67,16,0)</f>
        <v>0</v>
      </c>
      <c r="G28" s="5">
        <f t="shared" ca="1" si="1"/>
        <v>4038.4615384615386</v>
      </c>
      <c r="H28" s="5">
        <f t="shared" ca="1" si="2"/>
        <v>4038.4615384615386</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2443.354875</v>
      </c>
      <c r="AE28" s="67">
        <f ca="1">VLOOKUP($B28,'Summary Calculations (hide)'!$D$15:$U$67,18,0)</f>
        <v>2058.7202999999972</v>
      </c>
    </row>
    <row r="29" spans="1:31" x14ac:dyDescent="0.25">
      <c r="A29" s="87">
        <f t="shared" ca="1" si="3"/>
        <v>44130</v>
      </c>
      <c r="B29" s="67">
        <f t="shared" ca="1" si="0"/>
        <v>44</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2443.3548749999995</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2058.7202999999977</v>
      </c>
      <c r="E29" s="5">
        <f ca="1">VLOOKUP($B29,'Summary Calculations (hide)'!$D$15:$U$67,15,0)</f>
        <v>4038.4615384615386</v>
      </c>
      <c r="F29" s="5">
        <f ca="1">VLOOKUP($B29,'Summary Calculations (hide)'!$D$15:$U$67,16,0)</f>
        <v>0</v>
      </c>
      <c r="G29" s="5">
        <f t="shared" ca="1" si="1"/>
        <v>4038.4615384615386</v>
      </c>
      <c r="H29" s="5">
        <f t="shared" ca="1" si="2"/>
        <v>4038.4615384615386</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2443.354875</v>
      </c>
      <c r="AE29" s="67">
        <f ca="1">VLOOKUP($B29,'Summary Calculations (hide)'!$D$15:$U$67,18,0)</f>
        <v>2058.7202999999972</v>
      </c>
    </row>
    <row r="30" spans="1:31" x14ac:dyDescent="0.25">
      <c r="A30" s="87">
        <f t="shared" ca="1" si="3"/>
        <v>44137</v>
      </c>
      <c r="B30" s="67">
        <f t="shared" ca="1" si="0"/>
        <v>45</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2443.3548749999995</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2058.7202999999977</v>
      </c>
      <c r="E30" s="5">
        <f ca="1">VLOOKUP($B30,'Summary Calculations (hide)'!$D$15:$U$67,15,0)</f>
        <v>4038.4615384615386</v>
      </c>
      <c r="F30" s="5">
        <f ca="1">VLOOKUP($B30,'Summary Calculations (hide)'!$D$15:$U$67,16,0)</f>
        <v>0</v>
      </c>
      <c r="G30" s="5">
        <f t="shared" ca="1" si="1"/>
        <v>4038.4615384615386</v>
      </c>
      <c r="H30" s="5">
        <f t="shared" ca="1" si="2"/>
        <v>4038.4615384615386</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2443.354875</v>
      </c>
      <c r="AE30" s="67">
        <f ca="1">VLOOKUP($B30,'Summary Calculations (hide)'!$D$15:$U$67,18,0)</f>
        <v>2058.7202999999972</v>
      </c>
    </row>
    <row r="31" spans="1:31" x14ac:dyDescent="0.25">
      <c r="A31" s="87">
        <f t="shared" ca="1" si="3"/>
        <v>44144</v>
      </c>
      <c r="B31" s="67">
        <f t="shared" ca="1" si="0"/>
        <v>46</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2443.3548749999995</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2058.7202999999977</v>
      </c>
      <c r="E31" s="5">
        <f ca="1">VLOOKUP($B31,'Summary Calculations (hide)'!$D$15:$U$67,15,0)</f>
        <v>4038.4615384615386</v>
      </c>
      <c r="F31" s="5">
        <f ca="1">VLOOKUP($B31,'Summary Calculations (hide)'!$D$15:$U$67,16,0)</f>
        <v>0</v>
      </c>
      <c r="G31" s="5">
        <f t="shared" ca="1" si="1"/>
        <v>4038.4615384615386</v>
      </c>
      <c r="H31" s="5">
        <f t="shared" ca="1" si="2"/>
        <v>4038.4615384615386</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2443.354875</v>
      </c>
      <c r="AE31" s="67">
        <f ca="1">VLOOKUP($B31,'Summary Calculations (hide)'!$D$15:$U$67,18,0)</f>
        <v>2058.7202999999972</v>
      </c>
    </row>
    <row r="32" spans="1:31" x14ac:dyDescent="0.25">
      <c r="A32" s="87">
        <f t="shared" ca="1" si="3"/>
        <v>44151</v>
      </c>
      <c r="B32" s="67">
        <f t="shared" ca="1" si="0"/>
        <v>47</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2443.3548749999995</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2058.7202999999977</v>
      </c>
      <c r="E32" s="5">
        <f ca="1">VLOOKUP($B32,'Summary Calculations (hide)'!$D$15:$U$67,15,0)</f>
        <v>4038.4615384615386</v>
      </c>
      <c r="F32" s="5">
        <f ca="1">VLOOKUP($B32,'Summary Calculations (hide)'!$D$15:$U$67,16,0)</f>
        <v>0</v>
      </c>
      <c r="G32" s="5">
        <f t="shared" ca="1" si="1"/>
        <v>4038.4615384615386</v>
      </c>
      <c r="H32" s="5">
        <f t="shared" ca="1" si="2"/>
        <v>4038.4615384615386</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2443.354875</v>
      </c>
      <c r="AE32" s="67">
        <f ca="1">VLOOKUP($B32,'Summary Calculations (hide)'!$D$15:$U$67,18,0)</f>
        <v>2058.7202999999972</v>
      </c>
    </row>
    <row r="33" spans="1:31" x14ac:dyDescent="0.25">
      <c r="A33" s="87">
        <f t="shared" ca="1" si="3"/>
        <v>44158</v>
      </c>
      <c r="B33" s="67">
        <f t="shared" ca="1" si="0"/>
        <v>48</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2443.3548749999995</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2058.7202999999977</v>
      </c>
      <c r="E33" s="5">
        <f ca="1">VLOOKUP($B33,'Summary Calculations (hide)'!$D$15:$U$67,15,0)</f>
        <v>4038.4615384615386</v>
      </c>
      <c r="F33" s="5">
        <f ca="1">VLOOKUP($B33,'Summary Calculations (hide)'!$D$15:$U$67,16,0)</f>
        <v>0</v>
      </c>
      <c r="G33" s="5">
        <f t="shared" ca="1" si="1"/>
        <v>4038.4615384615386</v>
      </c>
      <c r="H33" s="5">
        <f t="shared" ca="1" si="2"/>
        <v>4038.4615384615386</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2443.354875</v>
      </c>
      <c r="AE33" s="67">
        <f ca="1">VLOOKUP($B33,'Summary Calculations (hide)'!$D$15:$U$67,18,0)</f>
        <v>2058.7202999999972</v>
      </c>
    </row>
    <row r="34" spans="1:31" x14ac:dyDescent="0.25">
      <c r="A34" s="87">
        <f t="shared" ca="1" si="3"/>
        <v>44165</v>
      </c>
      <c r="B34" s="67">
        <f t="shared" ca="1" si="0"/>
        <v>49</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2443.3548749999995</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2058.7202999999977</v>
      </c>
      <c r="E34" s="5">
        <f ca="1">VLOOKUP($B34,'Summary Calculations (hide)'!$D$15:$U$67,15,0)</f>
        <v>4038.4615384615386</v>
      </c>
      <c r="F34" s="5">
        <f ca="1">VLOOKUP($B34,'Summary Calculations (hide)'!$D$15:$U$67,16,0)</f>
        <v>0</v>
      </c>
      <c r="G34" s="5">
        <f t="shared" ca="1" si="1"/>
        <v>4038.4615384615386</v>
      </c>
      <c r="H34" s="5">
        <f t="shared" ca="1" si="2"/>
        <v>4038.4615384615386</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2443.354875</v>
      </c>
      <c r="AE34" s="67">
        <f ca="1">VLOOKUP($B34,'Summary Calculations (hide)'!$D$15:$U$67,18,0)</f>
        <v>2058.7202999999972</v>
      </c>
    </row>
    <row r="35" spans="1:31" x14ac:dyDescent="0.25">
      <c r="A35" s="87">
        <f t="shared" ca="1" si="3"/>
        <v>44172</v>
      </c>
      <c r="B35" s="67">
        <f t="shared" ca="1" si="0"/>
        <v>50</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2443.3548749999995</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2058.7202999999977</v>
      </c>
      <c r="E35" s="5">
        <f ca="1">VLOOKUP($B35,'Summary Calculations (hide)'!$D$15:$U$67,15,0)</f>
        <v>4038.4615384615386</v>
      </c>
      <c r="F35" s="5">
        <f ca="1">VLOOKUP($B35,'Summary Calculations (hide)'!$D$15:$U$67,16,0)</f>
        <v>0</v>
      </c>
      <c r="G35" s="5">
        <f t="shared" ca="1" si="1"/>
        <v>4038.4615384615386</v>
      </c>
      <c r="H35" s="5">
        <f t="shared" ca="1" si="2"/>
        <v>4038.4615384615386</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2443.354875</v>
      </c>
      <c r="AE35" s="67">
        <f ca="1">VLOOKUP($B35,'Summary Calculations (hide)'!$D$15:$U$67,18,0)</f>
        <v>2058.7202999999972</v>
      </c>
    </row>
    <row r="36" spans="1:31" x14ac:dyDescent="0.25">
      <c r="A36" s="87">
        <f t="shared" ca="1" si="3"/>
        <v>44179</v>
      </c>
      <c r="B36" s="67">
        <f t="shared" ca="1" si="0"/>
        <v>51</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2443.3548749999995</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2058.7202999999977</v>
      </c>
      <c r="E36" s="5">
        <f ca="1">VLOOKUP($B36,'Summary Calculations (hide)'!$D$15:$U$67,15,0)</f>
        <v>4038.4615384615386</v>
      </c>
      <c r="F36" s="5">
        <f ca="1">VLOOKUP($B36,'Summary Calculations (hide)'!$D$15:$U$67,16,0)</f>
        <v>0</v>
      </c>
      <c r="G36" s="5">
        <f t="shared" ca="1" si="1"/>
        <v>4038.4615384615386</v>
      </c>
      <c r="H36" s="5">
        <f t="shared" ca="1" si="2"/>
        <v>4038.4615384615386</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2443.354875</v>
      </c>
      <c r="AE36" s="67">
        <f ca="1">VLOOKUP($B36,'Summary Calculations (hide)'!$D$15:$U$67,18,0)</f>
        <v>2058.7202999999972</v>
      </c>
    </row>
    <row r="37" spans="1:31" x14ac:dyDescent="0.25">
      <c r="A37" s="87">
        <f t="shared" ca="1" si="3"/>
        <v>44186</v>
      </c>
      <c r="B37" s="67">
        <f t="shared" ca="1" si="0"/>
        <v>52</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2443.3548749999995</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2058.7202999999977</v>
      </c>
      <c r="E37" s="5">
        <f ca="1">VLOOKUP($B37,'Summary Calculations (hide)'!$D$15:$U$67,15,0)</f>
        <v>4038.4615384615386</v>
      </c>
      <c r="F37" s="5">
        <f ca="1">VLOOKUP($B37,'Summary Calculations (hide)'!$D$15:$U$67,16,0)</f>
        <v>0</v>
      </c>
      <c r="G37" s="5">
        <f t="shared" ca="1" si="1"/>
        <v>4038.4615384615386</v>
      </c>
      <c r="H37" s="5">
        <f t="shared" ca="1" si="2"/>
        <v>4038.4615384615386</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2443.354875</v>
      </c>
      <c r="AE37" s="67">
        <f ca="1">VLOOKUP($B37,'Summary Calculations (hide)'!$D$15:$U$67,18,0)</f>
        <v>2058.7202999999972</v>
      </c>
    </row>
    <row r="38" spans="1:31" x14ac:dyDescent="0.25">
      <c r="A38" s="87">
        <f t="shared" ca="1" si="3"/>
        <v>44193</v>
      </c>
      <c r="B38" s="67">
        <f t="shared" ca="1" si="0"/>
        <v>1</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2443.3548749999995</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2058.7202999999977</v>
      </c>
      <c r="E38" s="5">
        <f ca="1">VLOOKUP($B38,'Summary Calculations (hide)'!$D$15:$U$67,15,0)</f>
        <v>4038.4615384615386</v>
      </c>
      <c r="F38" s="5">
        <f ca="1">VLOOKUP($B38,'Summary Calculations (hide)'!$D$15:$U$67,16,0)</f>
        <v>0</v>
      </c>
      <c r="G38" s="5">
        <f t="shared" ca="1" si="1"/>
        <v>4038.4615384615386</v>
      </c>
      <c r="H38" s="5">
        <f t="shared" ca="1" si="2"/>
        <v>4038.4615384615386</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2443.354875</v>
      </c>
      <c r="AE38" s="67">
        <f ca="1">VLOOKUP($B38,'Summary Calculations (hide)'!$D$15:$U$67,18,0)</f>
        <v>2058.7202999999972</v>
      </c>
    </row>
    <row r="39" spans="1:31" x14ac:dyDescent="0.25">
      <c r="A39" s="87">
        <f t="shared" ca="1" si="3"/>
        <v>44200</v>
      </c>
      <c r="B39" s="67">
        <f t="shared" ca="1" si="0"/>
        <v>2</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2443.3548749999995</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2058.7202999999977</v>
      </c>
      <c r="E39" s="5">
        <f ca="1">VLOOKUP($B39,'Summary Calculations (hide)'!$D$15:$U$67,15,0)</f>
        <v>4038.4615384615386</v>
      </c>
      <c r="F39" s="5">
        <f ca="1">VLOOKUP($B39,'Summary Calculations (hide)'!$D$15:$U$67,16,0)</f>
        <v>0</v>
      </c>
      <c r="G39" s="5">
        <f t="shared" ca="1" si="1"/>
        <v>4038.4615384615386</v>
      </c>
      <c r="H39" s="5">
        <f t="shared" ca="1" si="2"/>
        <v>4038.4615384615386</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2443.354875</v>
      </c>
      <c r="AE39" s="67">
        <f ca="1">VLOOKUP($B39,'Summary Calculations (hide)'!$D$15:$U$67,18,0)</f>
        <v>2058.7202999999972</v>
      </c>
    </row>
    <row r="40" spans="1:31" x14ac:dyDescent="0.25">
      <c r="A40" s="87">
        <f t="shared" ca="1" si="3"/>
        <v>44207</v>
      </c>
      <c r="B40" s="67">
        <f t="shared" ca="1" si="0"/>
        <v>3</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2443.3548749999995</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2058.7202999999977</v>
      </c>
      <c r="E40" s="5">
        <f ca="1">VLOOKUP($B40,'Summary Calculations (hide)'!$D$15:$U$67,15,0)</f>
        <v>4038.4615384615386</v>
      </c>
      <c r="F40" s="5">
        <f ca="1">VLOOKUP($B40,'Summary Calculations (hide)'!$D$15:$U$67,16,0)</f>
        <v>0</v>
      </c>
      <c r="G40" s="5">
        <f t="shared" ca="1" si="1"/>
        <v>4038.4615384615386</v>
      </c>
      <c r="H40" s="5">
        <f t="shared" ca="1" si="2"/>
        <v>4038.4615384615386</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2443.354875</v>
      </c>
      <c r="AE40" s="67">
        <f ca="1">VLOOKUP($B40,'Summary Calculations (hide)'!$D$15:$U$67,18,0)</f>
        <v>2058.7202999999972</v>
      </c>
    </row>
    <row r="41" spans="1:31" x14ac:dyDescent="0.25">
      <c r="A41" s="87">
        <f t="shared" ca="1" si="3"/>
        <v>44214</v>
      </c>
      <c r="B41" s="67">
        <f t="shared" ca="1" si="0"/>
        <v>4</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2443.3548749999995</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2058.7202999999977</v>
      </c>
      <c r="E41" s="5">
        <f ca="1">VLOOKUP($B41,'Summary Calculations (hide)'!$D$15:$U$67,15,0)</f>
        <v>4038.4615384615386</v>
      </c>
      <c r="F41" s="5">
        <f ca="1">VLOOKUP($B41,'Summary Calculations (hide)'!$D$15:$U$67,16,0)</f>
        <v>0</v>
      </c>
      <c r="G41" s="5">
        <f t="shared" ca="1" si="1"/>
        <v>4038.4615384615386</v>
      </c>
      <c r="H41" s="5">
        <f t="shared" ca="1" si="2"/>
        <v>4038.4615384615386</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2443.354875</v>
      </c>
      <c r="AE41" s="67">
        <f ca="1">VLOOKUP($B41,'Summary Calculations (hide)'!$D$15:$U$67,18,0)</f>
        <v>2058.7202999999972</v>
      </c>
    </row>
    <row r="42" spans="1:31" x14ac:dyDescent="0.25">
      <c r="A42" s="87">
        <f ca="1">A41+7</f>
        <v>44221</v>
      </c>
      <c r="B42" s="67">
        <f t="shared" ca="1" si="0"/>
        <v>5</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2443.3548749999995</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2058.7202999999977</v>
      </c>
      <c r="E42" s="5">
        <f ca="1">VLOOKUP($B42,'Summary Calculations (hide)'!$D$15:$U$67,15,0)</f>
        <v>4038.4615384615386</v>
      </c>
      <c r="F42" s="5">
        <f ca="1">VLOOKUP($B42,'Summary Calculations (hide)'!$D$15:$U$67,16,0)</f>
        <v>0</v>
      </c>
      <c r="G42" s="5">
        <f t="shared" ca="1" si="1"/>
        <v>4038.4615384615386</v>
      </c>
      <c r="H42" s="5">
        <f t="shared" ca="1" si="2"/>
        <v>4038.4615384615386</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2443.354875</v>
      </c>
      <c r="AE42" s="67">
        <f ca="1">VLOOKUP($B42,'Summary Calculations (hide)'!$D$15:$U$67,18,0)</f>
        <v>2058.7202999999972</v>
      </c>
    </row>
    <row r="43" spans="1:31" x14ac:dyDescent="0.25">
      <c r="A43" s="87">
        <f t="shared" ca="1" si="3"/>
        <v>44228</v>
      </c>
      <c r="B43" s="67">
        <f t="shared" ca="1" si="0"/>
        <v>6</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2443.3548749999995</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2058.7202999999977</v>
      </c>
      <c r="E43" s="5">
        <f ca="1">VLOOKUP($B43,'Summary Calculations (hide)'!$D$15:$U$67,15,0)</f>
        <v>4038.4615384615386</v>
      </c>
      <c r="F43" s="5">
        <f ca="1">VLOOKUP($B43,'Summary Calculations (hide)'!$D$15:$U$67,16,0)</f>
        <v>0</v>
      </c>
      <c r="G43" s="5">
        <f t="shared" ca="1" si="1"/>
        <v>4038.4615384615386</v>
      </c>
      <c r="H43" s="5">
        <f t="shared" ca="1" si="2"/>
        <v>4038.4615384615386</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2443.354875</v>
      </c>
      <c r="AE43" s="67">
        <f ca="1">VLOOKUP($B43,'Summary Calculations (hide)'!$D$15:$U$67,18,0)</f>
        <v>2058.7202999999972</v>
      </c>
    </row>
    <row r="44" spans="1:31" x14ac:dyDescent="0.25">
      <c r="A44" s="87">
        <f t="shared" ca="1" si="3"/>
        <v>44235</v>
      </c>
      <c r="B44" s="67">
        <f t="shared" ca="1" si="0"/>
        <v>7</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2443.3548749999995</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2058.7202999999977</v>
      </c>
      <c r="E44" s="5">
        <f ca="1">VLOOKUP($B44,'Summary Calculations (hide)'!$D$15:$U$67,15,0)</f>
        <v>4038.4615384615386</v>
      </c>
      <c r="F44" s="5">
        <f ca="1">VLOOKUP($B44,'Summary Calculations (hide)'!$D$15:$U$67,16,0)</f>
        <v>0</v>
      </c>
      <c r="G44" s="5">
        <f t="shared" ca="1" si="1"/>
        <v>4038.4615384615386</v>
      </c>
      <c r="H44" s="5">
        <f t="shared" ca="1" si="2"/>
        <v>4038.4615384615386</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2443.354875</v>
      </c>
      <c r="AE44" s="67">
        <f ca="1">VLOOKUP($B44,'Summary Calculations (hide)'!$D$15:$U$67,18,0)</f>
        <v>2058.7202999999972</v>
      </c>
    </row>
    <row r="45" spans="1:31" x14ac:dyDescent="0.25">
      <c r="A45" s="87">
        <f t="shared" ca="1" si="3"/>
        <v>44242</v>
      </c>
      <c r="B45" s="67">
        <f t="shared" ca="1" si="0"/>
        <v>8</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2443.3548749999995</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2058.7202999999977</v>
      </c>
      <c r="E45" s="5">
        <f ca="1">VLOOKUP($B45,'Summary Calculations (hide)'!$D$15:$U$67,15,0)</f>
        <v>4038.4615384615386</v>
      </c>
      <c r="F45" s="5">
        <f ca="1">VLOOKUP($B45,'Summary Calculations (hide)'!$D$15:$U$67,16,0)</f>
        <v>0</v>
      </c>
      <c r="G45" s="5">
        <f t="shared" ca="1" si="1"/>
        <v>4038.4615384615386</v>
      </c>
      <c r="H45" s="5">
        <f t="shared" ca="1" si="2"/>
        <v>4038.4615384615386</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2443.354875</v>
      </c>
      <c r="AE45" s="67">
        <f ca="1">VLOOKUP($B45,'Summary Calculations (hide)'!$D$15:$U$67,18,0)</f>
        <v>2058.7202999999972</v>
      </c>
    </row>
    <row r="46" spans="1:31" x14ac:dyDescent="0.25">
      <c r="A46" s="87">
        <f t="shared" ca="1" si="3"/>
        <v>44249</v>
      </c>
      <c r="B46" s="67">
        <f t="shared" ca="1" si="0"/>
        <v>9</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2443.3548749999995</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2058.7202999999977</v>
      </c>
      <c r="E46" s="5">
        <f ca="1">VLOOKUP($B46,'Summary Calculations (hide)'!$D$15:$U$67,15,0)</f>
        <v>4038.4615384615386</v>
      </c>
      <c r="F46" s="5">
        <f ca="1">VLOOKUP($B46,'Summary Calculations (hide)'!$D$15:$U$67,16,0)</f>
        <v>0</v>
      </c>
      <c r="G46" s="5">
        <f t="shared" ca="1" si="1"/>
        <v>4038.4615384615386</v>
      </c>
      <c r="H46" s="5">
        <f t="shared" ca="1" si="2"/>
        <v>4038.4615384615386</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2443.354875</v>
      </c>
      <c r="AE46" s="67">
        <f ca="1">VLOOKUP($B46,'Summary Calculations (hide)'!$D$15:$U$67,18,0)</f>
        <v>2058.7202999999972</v>
      </c>
    </row>
    <row r="47" spans="1:31" x14ac:dyDescent="0.25">
      <c r="A47" s="87">
        <f t="shared" ca="1" si="3"/>
        <v>44256</v>
      </c>
      <c r="B47" s="67">
        <f t="shared" ca="1" si="0"/>
        <v>10</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2443.3548749999995</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2058.7202999999977</v>
      </c>
      <c r="E47" s="5">
        <f ca="1">VLOOKUP($B47,'Summary Calculations (hide)'!$D$15:$U$67,15,0)</f>
        <v>4038.4615384615386</v>
      </c>
      <c r="F47" s="5">
        <f ca="1">VLOOKUP($B47,'Summary Calculations (hide)'!$D$15:$U$67,16,0)</f>
        <v>0</v>
      </c>
      <c r="G47" s="5">
        <f t="shared" ca="1" si="1"/>
        <v>4038.4615384615386</v>
      </c>
      <c r="H47" s="5">
        <f t="shared" ca="1" si="2"/>
        <v>4038.4615384615386</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2443.354875</v>
      </c>
      <c r="AE47" s="67">
        <f ca="1">VLOOKUP($B47,'Summary Calculations (hide)'!$D$15:$U$67,18,0)</f>
        <v>2058.7202999999972</v>
      </c>
    </row>
    <row r="48" spans="1:31" x14ac:dyDescent="0.25">
      <c r="A48" s="87">
        <f t="shared" ca="1" si="3"/>
        <v>44263</v>
      </c>
      <c r="B48" s="67">
        <f t="shared" ca="1" si="0"/>
        <v>11</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2443.3548749999995</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2058.7202999999977</v>
      </c>
      <c r="E48" s="5">
        <f ca="1">VLOOKUP($B48,'Summary Calculations (hide)'!$D$15:$U$67,15,0)</f>
        <v>4038.4615384615386</v>
      </c>
      <c r="F48" s="5">
        <f ca="1">VLOOKUP($B48,'Summary Calculations (hide)'!$D$15:$U$67,16,0)</f>
        <v>0</v>
      </c>
      <c r="G48" s="5">
        <f t="shared" ca="1" si="1"/>
        <v>4038.4615384615386</v>
      </c>
      <c r="H48" s="5">
        <f t="shared" ca="1" si="2"/>
        <v>4038.4615384615386</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2443.354875</v>
      </c>
      <c r="AE48" s="67">
        <f ca="1">VLOOKUP($B48,'Summary Calculations (hide)'!$D$15:$U$67,18,0)</f>
        <v>2058.7202999999972</v>
      </c>
    </row>
    <row r="49" spans="1:31" x14ac:dyDescent="0.25">
      <c r="A49" s="87">
        <f t="shared" ca="1" si="3"/>
        <v>44270</v>
      </c>
      <c r="B49" s="67">
        <f t="shared" ca="1" si="0"/>
        <v>12</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2443.3548749999995</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2058.7202999999977</v>
      </c>
      <c r="E49" s="5">
        <f ca="1">VLOOKUP($B49,'Summary Calculations (hide)'!$D$15:$U$67,15,0)</f>
        <v>4038.4615384615386</v>
      </c>
      <c r="F49" s="5">
        <f ca="1">VLOOKUP($B49,'Summary Calculations (hide)'!$D$15:$U$67,16,0)</f>
        <v>0</v>
      </c>
      <c r="G49" s="5">
        <f t="shared" ca="1" si="1"/>
        <v>4038.4615384615386</v>
      </c>
      <c r="H49" s="5">
        <f t="shared" ca="1" si="2"/>
        <v>4038.4615384615386</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2443.354875</v>
      </c>
      <c r="AE49" s="67">
        <f ca="1">VLOOKUP($B49,'Summary Calculations (hide)'!$D$15:$U$67,18,0)</f>
        <v>2058.7202999999972</v>
      </c>
    </row>
    <row r="50" spans="1:31" x14ac:dyDescent="0.25">
      <c r="A50" s="87">
        <f t="shared" ca="1" si="3"/>
        <v>44277</v>
      </c>
      <c r="B50" s="67">
        <f t="shared" ca="1" si="0"/>
        <v>13</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2443.3548749999995</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2058.7202999999977</v>
      </c>
      <c r="E50" s="5">
        <f ca="1">VLOOKUP($B50,'Summary Calculations (hide)'!$D$15:$U$67,15,0)</f>
        <v>4038.4615384615386</v>
      </c>
      <c r="F50" s="5">
        <f ca="1">VLOOKUP($B50,'Summary Calculations (hide)'!$D$15:$U$67,16,0)</f>
        <v>0</v>
      </c>
      <c r="G50" s="5">
        <f t="shared" ca="1" si="1"/>
        <v>4038.4615384615386</v>
      </c>
      <c r="H50" s="5">
        <f t="shared" ca="1" si="2"/>
        <v>4038.4615384615386</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2443.354875</v>
      </c>
      <c r="AE50" s="67">
        <f ca="1">VLOOKUP($B50,'Summary Calculations (hide)'!$D$15:$U$67,18,0)</f>
        <v>2058.7202999999972</v>
      </c>
    </row>
    <row r="51" spans="1:31" x14ac:dyDescent="0.25">
      <c r="A51" s="87">
        <f t="shared" ca="1" si="3"/>
        <v>44284</v>
      </c>
      <c r="B51" s="67">
        <f t="shared" ca="1" si="0"/>
        <v>14</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2443.3548749999995</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2058.7202999999977</v>
      </c>
      <c r="E51" s="5">
        <f ca="1">VLOOKUP($B51,'Summary Calculations (hide)'!$D$15:$U$67,15,0)</f>
        <v>4038.4615384615386</v>
      </c>
      <c r="F51" s="5">
        <f ca="1">VLOOKUP($B51,'Summary Calculations (hide)'!$D$15:$U$67,16,0)</f>
        <v>0</v>
      </c>
      <c r="G51" s="5">
        <f t="shared" ca="1" si="1"/>
        <v>4038.4615384615386</v>
      </c>
      <c r="H51" s="5">
        <f t="shared" ca="1" si="2"/>
        <v>4038.4615384615386</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2443.354875</v>
      </c>
      <c r="AE51" s="67">
        <f ca="1">VLOOKUP($B51,'Summary Calculations (hide)'!$D$15:$U$67,18,0)</f>
        <v>2058.7202999999972</v>
      </c>
    </row>
    <row r="52" spans="1:31" x14ac:dyDescent="0.25">
      <c r="A52" s="87">
        <f t="shared" ca="1" si="3"/>
        <v>44291</v>
      </c>
      <c r="B52" s="67">
        <f t="shared" ca="1" si="0"/>
        <v>15</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2443.3548749999995</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2058.7202999999977</v>
      </c>
      <c r="E52" s="5">
        <f ca="1">VLOOKUP($B52,'Summary Calculations (hide)'!$D$15:$U$67,15,0)</f>
        <v>4038.4615384615386</v>
      </c>
      <c r="F52" s="5">
        <f ca="1">VLOOKUP($B52,'Summary Calculations (hide)'!$D$15:$U$67,16,0)</f>
        <v>0</v>
      </c>
      <c r="G52" s="5">
        <f t="shared" ca="1" si="1"/>
        <v>4038.4615384615386</v>
      </c>
      <c r="H52" s="5">
        <f t="shared" ca="1" si="2"/>
        <v>4038.4615384615386</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2443.354875</v>
      </c>
      <c r="AE52" s="67">
        <f ca="1">VLOOKUP($B52,'Summary Calculations (hide)'!$D$15:$U$67,18,0)</f>
        <v>2058.7202999999972</v>
      </c>
    </row>
    <row r="53" spans="1:31" x14ac:dyDescent="0.25">
      <c r="A53" s="87">
        <f t="shared" ca="1" si="3"/>
        <v>44298</v>
      </c>
      <c r="B53" s="67">
        <f t="shared" ca="1" si="0"/>
        <v>16</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2443.3548749999995</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2058.7202999999977</v>
      </c>
      <c r="E53" s="5">
        <f ca="1">VLOOKUP($B53,'Summary Calculations (hide)'!$D$15:$U$67,15,0)</f>
        <v>4038.4615384615386</v>
      </c>
      <c r="F53" s="5">
        <f ca="1">VLOOKUP($B53,'Summary Calculations (hide)'!$D$15:$U$67,16,0)</f>
        <v>0</v>
      </c>
      <c r="G53" s="5">
        <f t="shared" ca="1" si="1"/>
        <v>4038.4615384615386</v>
      </c>
      <c r="H53" s="5">
        <f t="shared" ca="1" si="2"/>
        <v>4038.4615384615386</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2443.354875</v>
      </c>
      <c r="AE53" s="67">
        <f ca="1">VLOOKUP($B53,'Summary Calculations (hide)'!$D$15:$U$67,18,0)</f>
        <v>2058.7202999999972</v>
      </c>
    </row>
    <row r="54" spans="1:31" x14ac:dyDescent="0.25">
      <c r="A54" s="87">
        <f t="shared" ca="1" si="3"/>
        <v>44305</v>
      </c>
      <c r="B54" s="67">
        <f t="shared" ca="1" si="0"/>
        <v>17</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2443.3548749999995</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2058.7202999999977</v>
      </c>
      <c r="E54" s="5">
        <f ca="1">VLOOKUP($B54,'Summary Calculations (hide)'!$D$15:$U$67,15,0)</f>
        <v>4038.4615384615386</v>
      </c>
      <c r="F54" s="5">
        <f ca="1">VLOOKUP($B54,'Summary Calculations (hide)'!$D$15:$U$67,16,0)</f>
        <v>0</v>
      </c>
      <c r="G54" s="5">
        <f t="shared" ca="1" si="1"/>
        <v>4038.4615384615386</v>
      </c>
      <c r="H54" s="5">
        <f t="shared" ca="1" si="2"/>
        <v>4038.4615384615386</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2443.354875</v>
      </c>
      <c r="AE54" s="67">
        <f ca="1">VLOOKUP($B54,'Summary Calculations (hide)'!$D$15:$U$67,18,0)</f>
        <v>2058.7202999999972</v>
      </c>
    </row>
    <row r="55" spans="1:31" x14ac:dyDescent="0.25">
      <c r="A55" s="87">
        <f t="shared" ca="1" si="3"/>
        <v>44312</v>
      </c>
      <c r="B55" s="67">
        <f t="shared" ca="1" si="0"/>
        <v>18</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2443.3548749999995</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2058.7202999999977</v>
      </c>
      <c r="E55" s="5">
        <f ca="1">VLOOKUP($B55,'Summary Calculations (hide)'!$D$15:$U$67,15,0)</f>
        <v>4038.4615384615386</v>
      </c>
      <c r="F55" s="5">
        <f ca="1">VLOOKUP($B55,'Summary Calculations (hide)'!$D$15:$U$67,16,0)</f>
        <v>0</v>
      </c>
      <c r="G55" s="5">
        <f t="shared" ca="1" si="1"/>
        <v>4038.4615384615386</v>
      </c>
      <c r="H55" s="5">
        <f t="shared" ca="1" si="2"/>
        <v>4038.4615384615386</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2443.354875</v>
      </c>
      <c r="AE55" s="67">
        <f ca="1">VLOOKUP($B55,'Summary Calculations (hide)'!$D$15:$U$67,18,0)</f>
        <v>2058.7202999999972</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2725.7536799999975</v>
      </c>
    </row>
    <row r="5" spans="1:3" x14ac:dyDescent="0.25">
      <c r="A5" s="166" t="s">
        <v>531</v>
      </c>
      <c r="B5" s="166" t="s">
        <v>532</v>
      </c>
      <c r="C5" s="5">
        <f ca="1">'Summary Calculations (hide)'!M70</f>
        <v>2560.1646120283035</v>
      </c>
    </row>
    <row r="6" spans="1:3" x14ac:dyDescent="0.25">
      <c r="A6" s="166" t="s">
        <v>533</v>
      </c>
      <c r="B6" s="166" t="s">
        <v>534</v>
      </c>
      <c r="C6" s="5">
        <f ca="1">'Summary Calculations (hide)'!N70</f>
        <v>4269.8005110849044</v>
      </c>
    </row>
    <row r="7" spans="1:3" ht="41.4" x14ac:dyDescent="0.25">
      <c r="A7" s="166" t="s">
        <v>99</v>
      </c>
      <c r="B7" s="166" t="s">
        <v>535</v>
      </c>
      <c r="C7">
        <f ca="1">'Parameters calculator (hide)'!B45</f>
        <v>0.08</v>
      </c>
    </row>
    <row r="8" spans="1:3" ht="27.6" x14ac:dyDescent="0.25">
      <c r="A8" s="166" t="s">
        <v>536</v>
      </c>
      <c r="B8" s="166" t="s">
        <v>537</v>
      </c>
      <c r="C8">
        <f ca="1">'Parameters calculator (hide)'!B46</f>
        <v>0.2</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0.8</v>
      </c>
    </row>
    <row r="12" spans="1:3" x14ac:dyDescent="0.25">
      <c r="A12" s="166" t="s">
        <v>494</v>
      </c>
      <c r="B12" s="166" t="s">
        <v>544</v>
      </c>
      <c r="C12" s="5">
        <f ca="1">SUM('Summary Calculations (hide)'!R70:S70)</f>
        <v>3141.4513788098666</v>
      </c>
    </row>
    <row r="13" spans="1:3" x14ac:dyDescent="0.25">
      <c r="A13" s="166" t="s">
        <v>545</v>
      </c>
      <c r="B13" s="166" t="s">
        <v>546</v>
      </c>
      <c r="C13" s="5">
        <f ca="1">'Parameters calculator (hide)'!F63</f>
        <v>1362.4</v>
      </c>
    </row>
    <row r="14" spans="1:3" x14ac:dyDescent="0.25">
      <c r="A14" s="166" t="s">
        <v>547</v>
      </c>
      <c r="B14" s="166" t="s">
        <v>548</v>
      </c>
      <c r="C14" s="5">
        <f ca="1">'Parameters calculator (hide)'!B79</f>
        <v>76</v>
      </c>
    </row>
    <row r="15" spans="1:3" x14ac:dyDescent="0.25">
      <c r="A15" s="166" t="s">
        <v>75</v>
      </c>
      <c r="B15" s="166" t="s">
        <v>549</v>
      </c>
      <c r="C15">
        <f ca="1">'Parameters calculator (hide)'!B43+'Parameters calculator (hide)'!B44</f>
        <v>6.0999999999999999E-2</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2020-07-24T15:25:43Z</dcterms:modified>
</cp:coreProperties>
</file>