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BDE8D3F1-3E16-44EF-A60C-67C886FD5441}" xr6:coauthVersionLast="41" xr6:coauthVersionMax="41" xr10:uidLastSave="{00000000-0000-0000-0000-000000000000}"/>
  <bookViews>
    <workbookView xWindow="-108" yWindow="-108" windowWidth="23256" windowHeight="12576" tabRatio="79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 i="18" l="1"/>
  <c r="N4" i="18"/>
  <c r="L4" i="18"/>
  <c r="J4" i="18"/>
  <c r="H4" i="18"/>
  <c r="G4" i="18"/>
  <c r="C3" i="20" l="1"/>
  <c r="B13" i="18" s="1"/>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N203" i="12"/>
  <c r="N190" i="12"/>
  <c r="N191" i="12"/>
  <c r="N201" i="12"/>
  <c r="N268" i="12"/>
  <c r="N208" i="12"/>
  <c r="T208" i="12" s="1"/>
  <c r="N266" i="12"/>
  <c r="N200" i="12"/>
  <c r="N267" i="12"/>
  <c r="N221" i="12"/>
  <c r="N193" i="12"/>
  <c r="T193" i="12" s="1"/>
  <c r="N205" i="12"/>
  <c r="N213" i="12"/>
  <c r="N207" i="12"/>
  <c r="T207" i="12" s="1"/>
  <c r="N218" i="12"/>
  <c r="N212" i="12"/>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N249" i="12"/>
  <c r="N250" i="12"/>
  <c r="N251" i="12"/>
  <c r="N271" i="12"/>
  <c r="T271" i="12" s="1"/>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1" i="12" l="1"/>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10" i="12" l="1"/>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C50" i="36" s="1"/>
  <c r="DU17" i="6"/>
  <c r="DT17" i="6"/>
  <c r="M29" i="17"/>
  <c r="T29" i="17" s="1"/>
  <c r="DU18" i="6"/>
  <c r="DT18" i="6"/>
  <c r="DU16" i="6"/>
  <c r="M27" i="17"/>
  <c r="T27" i="17"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AD21" i="36" s="1"/>
  <c r="DT21" i="6"/>
  <c r="DU26" i="6"/>
  <c r="M37" i="17"/>
  <c r="T37" i="17" s="1"/>
  <c r="DT26" i="6"/>
  <c r="DU29" i="6"/>
  <c r="M40" i="17"/>
  <c r="T40" i="17" s="1"/>
  <c r="DT29" i="6"/>
  <c r="DU23" i="6"/>
  <c r="M34" i="17"/>
  <c r="T34" i="17" s="1"/>
  <c r="DT23" i="6"/>
  <c r="M41" i="17"/>
  <c r="T41" i="17" s="1"/>
  <c r="C20" i="36" s="1"/>
  <c r="DU30" i="6"/>
  <c r="DT30" i="6"/>
  <c r="DU24" i="6"/>
  <c r="M35" i="17"/>
  <c r="T35" i="17" s="1"/>
  <c r="C24" i="36" s="1"/>
  <c r="DT24" i="6"/>
  <c r="M39" i="17"/>
  <c r="T39" i="17" s="1"/>
  <c r="AD28" i="36" s="1"/>
  <c r="DU28" i="6"/>
  <c r="DT28" i="6"/>
  <c r="DT10" i="6"/>
  <c r="N21" i="17" s="1"/>
  <c r="C29" i="36"/>
  <c r="C52" i="36"/>
  <c r="J66" i="26"/>
  <c r="H71" i="26"/>
  <c r="C50" i="18"/>
  <c r="DU11" i="6"/>
  <c r="M17" i="17"/>
  <c r="T17" i="17" s="1"/>
  <c r="M18" i="17"/>
  <c r="T18" i="17" s="1"/>
  <c r="C36" i="36" s="1"/>
  <c r="DU7" i="6"/>
  <c r="M20" i="17"/>
  <c r="T20" i="17" s="1"/>
  <c r="DU9" i="6"/>
  <c r="DU6" i="6"/>
  <c r="N17" i="17"/>
  <c r="DX7" i="6"/>
  <c r="DT8" i="6"/>
  <c r="DX8" i="6" s="1"/>
  <c r="DU8" i="6"/>
  <c r="M15" i="17"/>
  <c r="T15" i="17" s="1"/>
  <c r="DU4" i="6"/>
  <c r="DT4" i="6"/>
  <c r="DX5" i="6"/>
  <c r="N16" i="17"/>
  <c r="U16" i="17" s="1"/>
  <c r="DX9" i="6"/>
  <c r="C49" i="36" l="1"/>
  <c r="C51" i="36"/>
  <c r="C18" i="36"/>
  <c r="C17" i="36"/>
  <c r="C39" i="36"/>
  <c r="AD22" i="36"/>
  <c r="DX14" i="6"/>
  <c r="AD8" i="36"/>
  <c r="DX12" i="6"/>
  <c r="DX13" i="6"/>
  <c r="AD18" i="36"/>
  <c r="AD20" i="36"/>
  <c r="AD17" i="36"/>
  <c r="DX11" i="6"/>
  <c r="DX15" i="6"/>
  <c r="U21" i="17"/>
  <c r="DX10" i="6"/>
  <c r="N31" i="17"/>
  <c r="U31" i="17" s="1"/>
  <c r="DX20" i="6"/>
  <c r="AD19" i="36"/>
  <c r="AD16" i="36"/>
  <c r="AD24" i="36"/>
  <c r="C21" i="36"/>
  <c r="AD23" i="36"/>
  <c r="C23" i="36"/>
  <c r="C16" i="3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35" i="36"/>
  <c r="AD27" i="36"/>
  <c r="C38" i="36"/>
  <c r="AD6" i="36"/>
  <c r="C37" i="36"/>
  <c r="AD36" i="36"/>
  <c r="AD7" i="36"/>
  <c r="U18" i="17"/>
  <c r="U17" i="17"/>
  <c r="AD26" i="36"/>
  <c r="N19" i="17"/>
  <c r="U19" i="17" s="1"/>
  <c r="U20" i="17"/>
  <c r="EE10" i="6"/>
  <c r="EA3" i="6"/>
  <c r="D36" i="40" s="1"/>
  <c r="F36" i="40" s="1"/>
  <c r="DX4" i="6"/>
  <c r="N15" i="17"/>
  <c r="U15" i="17" s="1"/>
  <c r="T24" i="17"/>
  <c r="AD55" i="36" s="1"/>
  <c r="T25" i="17"/>
  <c r="C4" i="36" s="1"/>
  <c r="T26" i="17"/>
  <c r="C5" i="36" s="1"/>
  <c r="T22" i="17"/>
  <c r="AD29" i="36" s="1"/>
  <c r="T23" i="17"/>
  <c r="C31" i="36" s="1"/>
  <c r="AD37" i="36"/>
  <c r="AD38" i="36"/>
  <c r="AD39" i="36"/>
  <c r="AD52" i="36"/>
  <c r="AD50" i="36"/>
  <c r="AD49" i="36"/>
  <c r="U22" i="17"/>
  <c r="U23" i="17"/>
  <c r="U24" i="17"/>
  <c r="M70" i="17"/>
  <c r="D29" i="18" s="1"/>
  <c r="G29" i="18" s="1"/>
  <c r="U26" i="17"/>
  <c r="U25" i="17"/>
  <c r="AE32" i="36"/>
  <c r="D52" i="36" l="1"/>
  <c r="C54" i="36"/>
  <c r="D54" i="36" s="1"/>
  <c r="D51" i="36"/>
  <c r="D49" i="36"/>
  <c r="C55" i="36"/>
  <c r="D55" i="36" s="1"/>
  <c r="C53" i="36"/>
  <c r="D53" i="36" s="1"/>
  <c r="D50" i="36"/>
  <c r="D20" i="36"/>
  <c r="AD5" i="36"/>
  <c r="C48" i="36"/>
  <c r="AD4" i="36"/>
  <c r="C47" i="36"/>
  <c r="D47" i="36" s="1"/>
  <c r="AE47" i="36"/>
  <c r="AD48" i="36"/>
  <c r="AD47" i="36"/>
  <c r="AE5" i="36"/>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<sst xmlns="http://schemas.openxmlformats.org/spreadsheetml/2006/main" count="2202" uniqueCount="1296">
  <si>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</si>
  <si>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</si>
  <si>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</si>
  <si>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</si>
  <si>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</si>
  <si>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</si>
  <si>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</si>
  <si>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</si>
  <si>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</si>
  <si>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</si>
  <si>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</si>
  <si>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</si>
  <si>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</si>
  <si>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</si>
  <si>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</si>
  <si>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</si>
  <si>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</si>
  <si>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</si>
  <si>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</si>
  <si>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</si>
  <si>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</si>
  <si>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</si>
  <si>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</si>
  <si>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</si>
  <si>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</si>
  <si>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</si>
  <si>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</si>
  <si>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</si>
  <si>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</si>
  <si>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</si>
  <si>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</si>
  <si>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</si>
  <si>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</si>
  <si>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</si>
  <si>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</si>
  <si>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</si>
  <si>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</si>
  <si>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</si>
  <si>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</si>
  <si>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</si>
  <si>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</si>
  <si>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</si>
  <si>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</si>
  <si>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</si>
  <si>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</si>
  <si>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</si>
  <si>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</si>
  <si>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</si>
  <si>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</si>
  <si>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</si>
  <si>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</si>
  <si>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</si>
  <si>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</si>
  <si>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</si>
  <si>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</si>
  <si>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</si>
  <si>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</si>
  <si>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</si>
  <si>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</si>
  <si>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</si>
  <si>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</si>
  <si>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</si>
  <si>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</si>
  <si>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</si>
  <si>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</si>
  <si>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</si>
  <si>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</si>
  <si>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</si>
  <si>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</si>
  <si>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</si>
  <si>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</si>
  <si>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</si>
  <si>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</si>
  <si>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</si>
  <si>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</si>
  <si>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</si>
  <si>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</si>
  <si>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</si>
  <si>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</si>
  <si>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</si>
  <si>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</si>
  <si>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</si>
  <si>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</si>
  <si>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</si>
  <si>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</si>
  <si>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</si>
  <si>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</si>
  <si>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</si>
  <si>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</si>
  <si>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</si>
  <si>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</si>
  <si>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</si>
  <si>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</si>
  <si>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</si>
  <si>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</si>
  <si>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</si>
  <si>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</si>
  <si>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</si>
  <si>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</si>
  <si>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</si>
  <si>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</si>
  <si>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</si>
  <si>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</si>
  <si>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</si>
  <si>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</si>
  <si>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</si>
  <si>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</si>
  <si>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</si>
  <si>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</si>
  <si>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</si>
  <si>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</si>
  <si>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</si>
  <si>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</si>
  <si>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</si>
  <si>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</si>
  <si>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</si>
  <si>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</si>
  <si>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</si>
  <si>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</si>
  <si>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</si>
  <si>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</si>
  <si>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</si>
  <si>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</si>
  <si>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</si>
  <si>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</si>
  <si>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</si>
  <si>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</si>
  <si>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</si>
  <si>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</si>
  <si>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</si>
  <si>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</si>
  <si>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</si>
  <si>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</si>
  <si>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</si>
  <si>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</si>
  <si>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</si>
  <si>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</si>
  <si>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</si>
  <si>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</si>
  <si>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</si>
  <si>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</si>
  <si>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</si>
  <si>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</si>
  <si>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</si>
  <si>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</si>
  <si>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</si>
  <si>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</si>
  <si>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</si>
  <si>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</si>
  <si>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</si>
  <si>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</si>
  <si>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</si>
  <si>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</si>
  <si>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</si>
  <si>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</si>
  <si>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</si>
  <si>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</si>
  <si>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</si>
  <si>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</si>
  <si>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</si>
  <si>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</si>
  <si>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</si>
  <si>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</si>
  <si>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</si>
  <si>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</si>
  <si>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</si>
  <si>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</si>
  <si>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</si>
  <si>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</si>
  <si>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</si>
  <si>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</si>
  <si>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</si>
  <si>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</si>
  <si>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</si>
  <si>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</si>
  <si>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</si>
  <si>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</si>
  <si>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</si>
  <si>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</si>
  <si>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</si>
  <si>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</si>
  <si>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</si>
  <si>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</si>
  <si>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</si>
  <si>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</si>
  <si>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</si>
  <si>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</si>
  <si>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</si>
  <si>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</si>
  <si>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</si>
  <si>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</si>
  <si>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</si>
  <si>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</si>
  <si>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</si>
  <si>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</si>
  <si>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</si>
  <si>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</si>
  <si>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</si>
  <si>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</si>
  <si>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</si>
  <si>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</si>
  <si>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</si>
  <si>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</si>
  <si>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</si>
  <si>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</si>
  <si>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</si>
  <si>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</si>
  <si>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</si>
  <si>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</si>
  <si>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</si>
  <si>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</si>
  <si>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</si>
  <si>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</si>
  <si>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</si>
  <si>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</si>
  <si>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</si>
  <si>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</si>
  <si>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</si>
  <si>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</si>
  <si>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</si>
  <si>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</si>
  <si>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</si>
  <si>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</si>
  <si>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</si>
  <si>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</si>
  <si>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</si>
  <si>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</si>
  <si>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</si>
  <si>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</si>
  <si>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</si>
  <si>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</si>
  <si>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</si>
  <si>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</si>
  <si>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</si>
  <si>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</si>
  <si>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</si>
  <si>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</si>
  <si>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</si>
  <si>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</si>
  <si>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</si>
  <si>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</si>
  <si>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</si>
  <si>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</si>
  <si>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</si>
  <si>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</si>
  <si>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</si>
  <si>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</si>
  <si>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</si>
  <si>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</si>
  <si>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</si>
  <si>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</si>
  <si>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</si>
  <si>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</si>
  <si>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</si>
  <si>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</si>
  <si>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</si>
  <si>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</si>
  <si>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</si>
  <si>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</si>
  <si>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</si>
  <si>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</si>
  <si>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</si>
  <si>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</si>
  <si>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</si>
  <si>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</si>
  <si>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</si>
  <si>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</si>
  <si>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</si>
  <si>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</si>
  <si>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</si>
  <si>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</si>
  <si>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</si>
  <si>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</si>
  <si>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</si>
  <si>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</si>
  <si>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</si>
  <si>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</si>
  <si>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</si>
  <si>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</si>
  <si>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</si>
  <si>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</si>
  <si>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</si>
  <si>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</si>
  <si>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</si>
  <si>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</si>
  <si>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</si>
  <si>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</si>
  <si>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</si>
  <si>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</si>
  <si>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</si>
  <si>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</si>
  <si>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</si>
  <si>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</si>
  <si>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</si>
  <si>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</si>
  <si>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</si>
  <si>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</si>
  <si>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</si>
  <si>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</si>
  <si>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</si>
  <si>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</si>
  <si>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</si>
  <si>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</si>
  <si>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</si>
  <si>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</si>
  <si>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</si>
  <si>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</si>
  <si>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</si>
  <si>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</si>
  <si>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</si>
  <si>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</si>
  <si>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</si>
  <si>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</si>
  <si>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</si>
  <si>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</si>
  <si>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</si>
  <si>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</si>
  <si>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</si>
  <si>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</si>
  <si>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</si>
  <si>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</si>
  <si>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</si>
  <si>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</si>
  <si>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</si>
  <si>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</si>
  <si>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</si>
  <si>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</si>
  <si>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</si>
  <si>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</si>
  <si>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</si>
  <si>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</si>
  <si>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</si>
  <si>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</si>
  <si>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</si>
  <si>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</si>
  <si>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</si>
  <si>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</si>
  <si>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</si>
  <si>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</si>
  <si>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</si>
  <si>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</si>
  <si>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</si>
  <si>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</si>
  <si>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</si>
  <si>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</si>
  <si>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</si>
  <si>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</si>
  <si>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</si>
  <si>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</si>
  <si>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</si>
  <si>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</si>
  <si>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</si>
  <si>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</si>
  <si>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</si>
  <si>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</si>
  <si>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</si>
  <si>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</si>
  <si>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</si>
  <si>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</si>
  <si>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</si>
  <si>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</si>
  <si>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</si>
  <si>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</si>
  <si>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</si>
  <si>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</si>
  <si>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</si>
  <si>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</si>
  <si>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</si>
  <si>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</si>
  <si>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</si>
  <si>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</si>
  <si>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</si>
  <si>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</si>
  <si>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</si>
  <si>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</si>
  <si>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</si>
  <si>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</si>
  <si>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</si>
  <si>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</si>
  <si>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</si>
  <si>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</si>
  <si>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</si>
  <si>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</si>
  <si>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</si>
  <si>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</si>
  <si>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</si>
  <si>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</si>
  <si>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</si>
  <si>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</si>
  <si>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</si>
  <si>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</si>
  <si>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</si>
  <si>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</si>
  <si>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</si>
  <si>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</si>
  <si>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</si>
  <si>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</si>
  <si>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</si>
  <si>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</si>
  <si>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</si>
  <si>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</si>
  <si>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</si>
  <si>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</si>
  <si>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</si>
  <si>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</si>
  <si>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</si>
  <si>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</si>
  <si>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</si>
  <si>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</si>
  <si>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</si>
  <si>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</si>
  <si>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</si>
  <si>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</si>
  <si>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</si>
  <si>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</si>
  <si>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</si>
  <si>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</si>
  <si>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</si>
  <si>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</si>
  <si>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</si>
  <si>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</si>
  <si>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</si>
  <si>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</si>
  <si>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</si>
  <si>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</si>
  <si>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</si>
  <si>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</si>
  <si>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</si>
  <si>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</si>
  <si>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</si>
  <si>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</si>
  <si>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</si>
  <si>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</si>
  <si>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</si>
  <si>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</si>
  <si>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</si>
  <si>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</si>
  <si>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</si>
  <si>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</si>
  <si>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</si>
  <si>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</si>
  <si>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</si>
  <si>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</si>
  <si>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</si>
  <si>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</si>
  <si>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</si>
  <si>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</si>
  <si>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</si>
  <si>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</si>
  <si>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</si>
  <si>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</si>
  <si>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</si>
  <si>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</si>
  <si>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</si>
  <si>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</si>
  <si>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</si>
  <si>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</si>
  <si>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</si>
  <si>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</si>
  <si>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</si>
  <si>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</si>
  <si>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</si>
  <si>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</si>
  <si>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</si>
  <si>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</si>
  <si>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</si>
  <si>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</si>
  <si>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</si>
  <si>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</si>
  <si>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</si>
  <si>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</si>
  <si>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</si>
  <si>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</si>
  <si>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</si>
  <si>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</si>
  <si>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</si>
  <si>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</si>
  <si>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</si>
  <si>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</si>
  <si>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</si>
  <si>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</si>
  <si>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</si>
  <si>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</si>
  <si>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</si>
  <si>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</si>
  <si>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</si>
  <si>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</si>
  <si>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</si>
  <si>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</si>
  <si>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</si>
  <si>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</si>
  <si>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</si>
  <si>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</si>
  <si>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</si>
  <si>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</si>
  <si>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</si>
  <si>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</si>
  <si>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</si>
  <si>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</si>
  <si>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</si>
  <si>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</si>
  <si>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</si>
  <si>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</si>
  <si>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</si>
  <si>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</si>
  <si>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</si>
  <si>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</si>
  <si>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</si>
  <si>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</si>
  <si>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</si>
  <si>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</si>
  <si>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</si>
  <si>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</si>
  <si>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</si>
  <si>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</si>
  <si>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</si>
  <si>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</si>
  <si>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</si>
  <si>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</si>
  <si>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</si>
  <si>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</si>
  <si>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</si>
  <si>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</si>
  <si>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</si>
  <si>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</si>
  <si>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</si>
  <si>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</si>
  <si>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</si>
  <si>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</si>
  <si>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</si>
  <si>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</si>
  <si>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</si>
  <si>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</si>
  <si>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</si>
  <si>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</si>
  <si>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</si>
  <si>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</si>
  <si>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</si>
  <si>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</si>
  <si>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</si>
  <si>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</si>
  <si>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</si>
  <si>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</si>
  <si>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</si>
  <si>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</si>
  <si>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</si>
  <si>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</si>
  <si>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</si>
  <si>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</si>
  <si>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</si>
  <si>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</si>
  <si>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</si>
  <si>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</si>
  <si>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</si>
  <si>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</si>
  <si>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</si>
  <si>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</si>
  <si>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</si>
  <si>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</si>
  <si>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</si>
  <si>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</si>
  <si>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</si>
  <si>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</si>
  <si>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</si>
  <si>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</si>
  <si>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</si>
  <si>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</si>
  <si>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</si>
  <si>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</si>
  <si>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</si>
  <si>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</si>
  <si>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</si>
  <si>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</si>
  <si>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</si>
  <si>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</si>
  <si>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</si>
  <si>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</si>
  <si>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</si>
  <si>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</si>
  <si>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</si>
  <si>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</si>
  <si>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</si>
  <si>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</si>
  <si>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</si>
  <si>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</si>
  <si>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</si>
  <si>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</si>
  <si>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</si>
  <si>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</si>
  <si>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</si>
  <si>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</si>
  <si>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</si>
  <si>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</si>
  <si>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</si>
  <si>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</si>
  <si>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</si>
  <si>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</si>
  <si>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</si>
  <si>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</si>
  <si>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</si>
  <si>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</si>
  <si>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</si>
  <si>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</si>
  <si>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</si>
  <si>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</si>
  <si>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</si>
  <si>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</si>
  <si>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</si>
  <si>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</si>
  <si>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</si>
  <si>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</si>
  <si>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</si>
  <si>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</si>
  <si>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</si>
  <si>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</si>
  <si>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</si>
  <si>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</si>
  <si>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</si>
  <si>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</si>
  <si>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</si>
  <si>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</si>
  <si>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</si>
  <si>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</si>
  <si>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</si>
  <si>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</si>
  <si>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</si>
  <si>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</si>
  <si>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</si>
  <si>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</si>
  <si>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</si>
  <si>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</si>
  <si>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</si>
  <si>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</si>
  <si>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</si>
  <si>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</si>
  <si>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</si>
  <si>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</si>
  <si>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</si>
  <si>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</si>
  <si>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</si>
  <si>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</si>
  <si>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</si>
  <si>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</si>
  <si>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</si>
  <si>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</si>
  <si>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</si>
  <si>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</si>
  <si>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</si>
  <si>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</si>
  <si>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</si>
  <si>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</si>
  <si>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</si>
  <si>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</si>
  <si>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</si>
  <si>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</si>
  <si>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</si>
  <si>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</si>
  <si>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</si>
  <si>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</si>
  <si>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</si>
  <si>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</si>
  <si>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</si>
  <si>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</si>
  <si>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</si>
  <si>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</si>
  <si>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</si>
  <si>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</si>
  <si>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</si>
  <si>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</si>
  <si>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</si>
  <si>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</si>
  <si>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</si>
  <si>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</si>
  <si>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</si>
  <si>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</si>
  <si>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</si>
  <si>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</si>
  <si>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</si>
  <si>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</si>
  <si>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</si>
  <si>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</si>
  <si>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</si>
  <si>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</si>
  <si>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</si>
  <si>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</si>
  <si>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</si>
  <si>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</si>
  <si>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</si>
  <si>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</si>
  <si>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</si>
  <si>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</si>
  <si>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</si>
  <si>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</si>
  <si>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</si>
  <si>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</si>
  <si>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</si>
  <si>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</si>
  <si>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</si>
  <si>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</si>
  <si>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</si>
  <si>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</si>
  <si>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</si>
  <si>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</si>
  <si>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</si>
  <si>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</si>
  <si>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</si>
  <si>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</si>
  <si>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</si>
  <si>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</si>
  <si>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</si>
  <si>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</si>
  <si>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</si>
  <si>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</si>
  <si>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</si>
  <si>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</si>
  <si>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</si>
  <si>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</si>
  <si>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</si>
  <si>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</si>
  <si>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</si>
  <si>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</si>
  <si>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</si>
  <si>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</si>
  <si>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</si>
  <si>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</si>
  <si>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</si>
  <si>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</si>
  <si>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</si>
  <si>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</si>
  <si>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</si>
  <si>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</si>
  <si>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</si>
  <si>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</si>
  <si>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</si>
  <si>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</si>
  <si>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</si>
  <si>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</si>
  <si>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</si>
  <si>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</si>
  <si>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</si>
  <si>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</si>
  <si>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</si>
  <si>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</si>
  <si>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</si>
  <si>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</si>
  <si>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</si>
  <si>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</si>
  <si>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</si>
  <si>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</si>
  <si>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</si>
  <si>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</si>
  <si>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</si>
  <si>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</si>
  <si>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</si>
  <si>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</si>
  <si>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</si>
  <si>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</si>
  <si>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</si>
  <si>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</si>
  <si>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</si>
  <si>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</si>
  <si>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</si>
  <si>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</si>
  <si>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</si>
  <si>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</si>
  <si>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</si>
  <si>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</si>
  <si>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</si>
  <si>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</si>
  <si>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</si>
  <si>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</si>
  <si>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</si>
  <si>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</si>
  <si>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</si>
  <si>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</si>
  <si>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</si>
  <si>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</si>
  <si>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</si>
  <si>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</si>
  <si>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</si>
  <si>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</si>
  <si>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</si>
  <si>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</si>
  <si>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</si>
  <si>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</si>
  <si>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</si>
  <si>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</si>
  <si>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</si>
  <si>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</si>
  <si>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</si>
  <si>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</si>
  <si>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</si>
  <si>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</si>
  <si>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</si>
  <si>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</si>
  <si>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</si>
  <si>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</si>
  <si>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</si>
  <si>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</si>
  <si>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</si>
  <si>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</si>
  <si>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</si>
  <si>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</si>
  <si>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</si>
  <si>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</si>
  <si>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</si>
  <si>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</si>
  <si>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</si>
  <si>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</si>
  <si>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</si>
  <si>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</si>
  <si>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</si>
  <si>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</si>
  <si>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</si>
  <si>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</si>
  <si>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</si>
  <si>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</si>
  <si>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</si>
  <si>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</si>
  <si>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</si>
  <si>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</si>
  <si>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</si>
  <si>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</si>
  <si>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</si>
  <si>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</si>
  <si>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</si>
  <si>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</si>
  <si>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</si>
  <si>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</si>
  <si>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</si>
  <si>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</si>
  <si>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</si>
  <si>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</si>
  <si>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</si>
  <si>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</si>
  <si>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</si>
  <si>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</si>
  <si>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</si>
  <si>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</si>
  <si>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</si>
  <si>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</si>
  <si>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</si>
  <si>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</si>
  <si>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</si>
  <si>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</si>
  <si>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</si>
  <si>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</si>
  <si>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</si>
  <si>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</si>
  <si>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</si>
  <si>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</si>
  <si>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</si>
  <si>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</si>
  <si>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</si>
  <si>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</si>
  <si>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</si>
  <si>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</si>
  <si>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</si>
  <si>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</si>
  <si>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</si>
  <si>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</si>
  <si>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</si>
  <si>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</si>
  <si>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</si>
  <si>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</si>
  <si>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</si>
  <si>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</si>
  <si>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</si>
  <si>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</si>
  <si>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</si>
  <si>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</si>
  <si>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</si>
  <si>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</si>
  <si>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</si>
  <si>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</si>
  <si>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</si>
  <si>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</si>
  <si>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</si>
  <si>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</si>
  <si>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</si>
  <si>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</si>
  <si>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</si>
  <si>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</si>
  <si>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</si>
  <si>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</si>
  <si>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</si>
  <si>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</si>
  <si>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</si>
  <si>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</si>
  <si>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</si>
  <si>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</si>
  <si>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</si>
  <si>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</si>
  <si>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</si>
  <si>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</si>
  <si>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</si>
  <si>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</si>
  <si>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</si>
  <si>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</si>
  <si>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</si>
  <si>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</si>
  <si>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</si>
  <si>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</si>
  <si>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</si>
  <si>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</si>
  <si>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</si>
  <si>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</si>
  <si>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</si>
  <si>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</si>
  <si>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</si>
  <si>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</si>
  <si>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</si>
  <si>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</si>
  <si>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</si>
  <si>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</si>
  <si>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</si>
  <si>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</si>
  <si>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</si>
  <si>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</si>
  <si>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</si>
  <si>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</si>
  <si>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</si>
  <si>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</si>
  <si>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</si>
  <si>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</si>
  <si>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</si>
  <si>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</si>
  <si>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</si>
  <si>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</si>
  <si>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</si>
  <si>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</si>
  <si>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</si>
  <si>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</si>
  <si>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</si>
  <si>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</si>
  <si>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</si>
  <si>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</si>
  <si>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</si>
  <si>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</si>
  <si>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</si>
  <si>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</si>
  <si>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</si>
  <si>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</si>
  <si>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</si>
  <si>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</si>
  <si>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</si>
  <si>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</si>
  <si>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</si>
  <si>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</si>
  <si>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</si>
  <si>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</si>
  <si>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</si>
  <si>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</si>
  <si>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</si>
  <si>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</si>
  <si>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</si>
  <si>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</si>
  <si>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</si>
  <si>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</si>
  <si>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</si>
  <si>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</si>
  <si>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</si>
  <si>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</si>
  <si>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</si>
  <si>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</si>
  <si>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</si>
  <si>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</si>
  <si>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</si>
  <si>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</si>
  <si>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</si>
  <si>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</si>
  <si>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</si>
  <si>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</si>
  <si>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</si>
  <si>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</si>
  <si>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</si>
  <si>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</si>
  <si>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</si>
  <si>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</si>
  <si>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</si>
  <si>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</si>
  <si>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</si>
  <si>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</si>
  <si>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</si>
  <si>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</si>
  <si>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</si>
  <si>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</si>
  <si>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</si>
  <si>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</si>
  <si>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</si>
  <si>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</si>
  <si>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</si>
  <si>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</si>
  <si>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</si>
  <si>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</si>
  <si>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</si>
  <si>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</si>
  <si>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</si>
  <si>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</si>
  <si>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</si>
  <si>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</si>
  <si>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</si>
  <si>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</si>
  <si>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</si>
  <si>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</si>
  <si>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</si>
  <si>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</si>
  <si>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</si>
  <si>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</si>
  <si>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</si>
  <si>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</si>
  <si>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</si>
  <si>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</si>
  <si>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</si>
  <si>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</si>
  <si>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</si>
  <si>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</si>
  <si>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</si>
  <si>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</si>
  <si>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</si>
  <si>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</si>
  <si>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</si>
  <si>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</si>
  <si>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</si>
  <si>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</si>
  <si>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</si>
  <si>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</si>
  <si>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</si>
  <si>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</si>
  <si>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</si>
  <si>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</si>
  <si>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</si>
  <si>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</si>
  <si>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</si>
  <si>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</si>
  <si>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</si>
  <si>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</si>
  <si>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</si>
  <si>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</si>
  <si>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</si>
  <si>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</si>
  <si>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</si>
  <si>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</si>
  <si>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</si>
  <si>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</si>
  <si>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</si>
  <si>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</si>
  <si>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</si>
  <si>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</si>
  <si>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</si>
  <si>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</si>
  <si>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</si>
  <si>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</si>
  <si>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</si>
  <si>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</si>
  <si>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</si>
  <si>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</si>
  <si>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</si>
  <si>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</si>
  <si>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</si>
  <si>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</si>
  <si>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</si>
  <si>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</si>
  <si>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</si>
  <si>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</si>
  <si>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</si>
  <si>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</si>
  <si>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</si>
  <si>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</si>
  <si>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</si>
  <si>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</si>
  <si>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</si>
  <si>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</si>
  <si>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</si>
  <si>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</si>
  <si>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</si>
  <si>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</si>
  <si>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</si>
  <si>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</si>
  <si>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</si>
  <si>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</si>
  <si>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</si>
  <si>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</si>
  <si>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</si>
  <si>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</si>
  <si>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</si>
  <si>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</si>
  <si>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</si>
  <si>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</si>
  <si>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</si>
  <si>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</si>
  <si>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</si>
  <si>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</si>
  <si>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</si>
  <si>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</si>
  <si>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</si>
  <si>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</si>
  <si>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</si>
  <si>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</si>
  <si>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</si>
  <si>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</si>
  <si>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</si>
  <si>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</si>
  <si>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</si>
  <si>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</si>
  <si>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</si>
  <si>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</si>
  <si>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</si>
  <si>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</si>
  <si>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</si>
  <si>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</si>
  <si>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</si>
  <si>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</si>
  <si>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</si>
  <si>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</si>
  <si>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</si>
  <si>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</si>
  <si>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</si>
  <si>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</si>
  <si>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</si>
  <si>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</si>
  <si>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</si>
  <si>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</si>
  <si>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</si>
  <si>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</si>
  <si>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</si>
  <si>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</si>
  <si>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</si>
  <si>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</si>
  <si>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</si>
  <si>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</si>
  <si>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</si>
  <si>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</si>
  <si>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</si>
  <si>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</si>
  <si>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</si>
  <si>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</si>
  <si>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</si>
  <si>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</si>
  <si>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</si>
  <si>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</si>
  <si>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</si>
  <si>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</si>
  <si>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</si>
  <si>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</si>
  <si>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</si>
  <si>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</si>
  <si>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</si>
  <si>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</si>
  <si>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</si>
  <si>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</si>
  <si>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</si>
  <si>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</si>
  <si>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</si>
  <si>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</si>
  <si>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</si>
  <si>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</si>
  <si>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</si>
  <si>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</si>
  <si>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</si>
  <si>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</si>
  <si>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</si>
  <si>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</si>
  <si>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</si>
  <si>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</si>
  <si>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</si>
  <si>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</si>
  <si>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</si>
  <si>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</si>
  <si>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</si>
  <si>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</si>
  <si>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</si>
  <si>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</si>
  <si>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</si>
  <si>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</si>
  <si>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</si>
  <si>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</si>
  <si>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</si>
  <si>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</si>
  <si>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</si>
  <si>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</si>
  <si>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</si>
  <si>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</si>
  <si>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</si>
  <si>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</si>
  <si>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</si>
  <si>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</si>
  <si>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</si>
  <si>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</si>
  <si>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</si>
  <si>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</si>
  <si>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</si>
  <si>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</si>
  <si>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</si>
  <si>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</si>
  <si>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</si>
  <si>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</si>
  <si>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</si>
  <si>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</si>
  <si>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</si>
  <si>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</si>
  <si>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</si>
  <si>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</si>
  <si>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</si>
  <si>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</si>
  <si>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</si>
  <si>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</si>
  <si>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</si>
  <si>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</si>
  <si>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</si>
  <si>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</si>
  <si>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</si>
  <si>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</si>
  <si>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</si>
  <si>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</si>
  <si>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</si>
  <si>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</si>
  <si>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</si>
  <si>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</si>
  <si>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</si>
  <si>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</si>
  <si>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</si>
  <si>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</si>
  <si>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</si>
  <si>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</si>
  <si>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</si>
  <si>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</si>
  <si>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</si>
  <si>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</si>
  <si>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</si>
  <si>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</si>
  <si>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</si>
  <si>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</si>
  <si>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</si>
  <si>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</si>
  <si>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</si>
  <si>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</si>
  <si>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</si>
  <si>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</si>
  <si>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</si>
  <si>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</si>
  <si>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</si>
  <si>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</si>
  <si>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</si>
  <si>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</si>
  <si>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</si>
  <si>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</si>
  <si>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</si>
  <si>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</si>
  <si>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</si>
  <si>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</si>
  <si>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</si>
  <si>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</si>
  <si>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</si>
  <si>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</si>
  <si>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</si>
  <si>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</si>
  <si>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</si>
  <si>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</si>
  <si>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</si>
  <si>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</si>
  <si>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</si>
  <si>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</si>
  <si>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</si>
  <si>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</si>
  <si>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</si>
  <si>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</si>
  <si>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</si>
  <si>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</si>
  <si>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</si>
  <si>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</si>
  <si>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</si>
  <si>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</si>
  <si>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</si>
  <si>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</si>
  <si>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</si>
  <si>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</si>
  <si>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</si>
  <si>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</si>
  <si>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</si>
  <si>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</si>
  <si>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</si>
  <si>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</si>
  <si>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Name:</t>
  </si>
  <si>
    <t>Demand Uplift:</t>
  </si>
  <si>
    <t>ROTT:</t>
  </si>
  <si>
    <t>Scenario Count:</t>
  </si>
  <si>
    <t>Test</t>
  </si>
  <si>
    <t>Template list</t>
  </si>
  <si>
    <t>NASL%</t>
  </si>
  <si>
    <t>Scenario loaded</t>
  </si>
  <si>
    <t>NASR:D%</t>
  </si>
  <si>
    <t>NASL:D%</t>
  </si>
  <si>
    <t>3.4g</t>
  </si>
  <si>
    <t>Paul Bullard + Sai Khunpha</t>
  </si>
  <si>
    <t>Additional functionality:
Users can now save capacity and scenario templates, and switch between them for what-if planning. 
Scenario and capacity templates can be loaded via the Summary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</si>
</sst>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9">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
      <patternFill patternType="solid">
        <fgColor theme="0" tint="-0.14999847407452621"/>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60" fillId="0" borderId="0" xfId="0" applyFont="1"/>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0" fontId="4" fillId="0" borderId="0" xfId="0" applyFont="1"/>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8" fontId="0" fillId="0" borderId="72" xfId="1" applyNumberFormat="1" applyFont="1" applyBorder="1" applyAlignment="1" applyProtection="1">
      <alignment horizontal="center" vertical="center"/>
      <protection locked="0"/>
    </xf>
    <xf numFmtId="9" fontId="0" fillId="0" borderId="72" xfId="1" applyFont="1" applyBorder="1" applyAlignment="1" applyProtection="1">
      <alignment horizontal="center" vertical="center"/>
      <protection locked="0"/>
    </xf>
    <xf numFmtId="0" fontId="0" fillId="88" borderId="0" xfId="0" applyFill="1"/>
    <xf numFmtId="9" fontId="0" fillId="88" borderId="0" xfId="1" applyFont="1" applyFill="1"/>
    <xf numFmtId="9" fontId="0" fillId="88" borderId="0" xfId="0" applyNumberFormat="1" applyFill="1"/>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7">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fill>
        <patternFill>
          <bgColor theme="0"/>
        </patternFill>
      </fill>
    </dxf>
    <dxf>
      <font>
        <color theme="0"/>
      </font>
      <border>
        <left/>
        <right/>
        <top/>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195.59344502277168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46.939655172413801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(hide)'!$AD$4:$AD$55</c:f>
              <c:numCache>
                <c:formatCode>General</c:formatCode>
                <c:ptCount val="52"/>
                <c:pt idx="0">
                  <c:v>248.53836014427677</c:v>
                </c:pt>
                <c:pt idx="1">
                  <c:v>265.64788493681755</c:v>
                </c:pt>
                <c:pt idx="2">
                  <c:v>282.75740972935836</c:v>
                </c:pt>
                <c:pt idx="3">
                  <c:v>299.86693452189917</c:v>
                </c:pt>
                <c:pt idx="4">
                  <c:v>316.97645931443992</c:v>
                </c:pt>
                <c:pt idx="5">
                  <c:v>334.08598410698073</c:v>
                </c:pt>
                <c:pt idx="6">
                  <c:v>351.19550889952149</c:v>
                </c:pt>
                <c:pt idx="7">
                  <c:v>368.3050336920623</c:v>
                </c:pt>
                <c:pt idx="8">
                  <c:v>385.41455848460311</c:v>
                </c:pt>
                <c:pt idx="9">
                  <c:v>402.52408327714386</c:v>
                </c:pt>
                <c:pt idx="10">
                  <c:v>419.63360806968473</c:v>
                </c:pt>
                <c:pt idx="11">
                  <c:v>436.74313286222548</c:v>
                </c:pt>
                <c:pt idx="12">
                  <c:v>453.85265765476629</c:v>
                </c:pt>
                <c:pt idx="13">
                  <c:v>470.96218244730704</c:v>
                </c:pt>
                <c:pt idx="14">
                  <c:v>488.07170723984785</c:v>
                </c:pt>
                <c:pt idx="15">
                  <c:v>505.18123203238861</c:v>
                </c:pt>
                <c:pt idx="16">
                  <c:v>522.29075682492942</c:v>
                </c:pt>
                <c:pt idx="17">
                  <c:v>711.39603084774865</c:v>
                </c:pt>
                <c:pt idx="18">
                  <c:v>927.51634401668503</c:v>
                </c:pt>
                <c:pt idx="19">
                  <c:v>738.41106999386579</c:v>
                </c:pt>
                <c:pt idx="20">
                  <c:v>1107.6166049907986</c:v>
                </c:pt>
                <c:pt idx="21">
                  <c:v>972.54140926021341</c:v>
                </c:pt>
                <c:pt idx="22">
                  <c:v>864.48125267574528</c:v>
                </c:pt>
                <c:pt idx="23">
                  <c:v>1080.6015658446815</c:v>
                </c:pt>
                <c:pt idx="24">
                  <c:v>963.53639621150785</c:v>
                </c:pt>
                <c:pt idx="25">
                  <c:v>990.55143535762488</c:v>
                </c:pt>
                <c:pt idx="26">
                  <c:v>459.25566548398967</c:v>
                </c:pt>
                <c:pt idx="27">
                  <c:v>270.15039146117039</c:v>
                </c:pt>
                <c:pt idx="28">
                  <c:v>693.38600475033741</c:v>
                </c:pt>
                <c:pt idx="29">
                  <c:v>459.25566548398967</c:v>
                </c:pt>
                <c:pt idx="30">
                  <c:v>396.22057414304987</c:v>
                </c:pt>
                <c:pt idx="31">
                  <c:v>585.32584816586927</c:v>
                </c:pt>
                <c:pt idx="32">
                  <c:v>558.31080901975213</c:v>
                </c:pt>
                <c:pt idx="33">
                  <c:v>288.1604175585818</c:v>
                </c:pt>
                <c:pt idx="34">
                  <c:v>405.22558719175561</c:v>
                </c:pt>
                <c:pt idx="35">
                  <c:v>432.24062633787264</c:v>
                </c:pt>
                <c:pt idx="36">
                  <c:v>711.39603084774865</c:v>
                </c:pt>
                <c:pt idx="37">
                  <c:v>297.16543060728748</c:v>
                </c:pt>
                <c:pt idx="38">
                  <c:v>531.29576987363509</c:v>
                </c:pt>
                <c:pt idx="39">
                  <c:v>378.21054804563857</c:v>
                </c:pt>
                <c:pt idx="40">
                  <c:v>702.39101779904297</c:v>
                </c:pt>
                <c:pt idx="41">
                  <c:v>496.62646963611826</c:v>
                </c:pt>
                <c:pt idx="42">
                  <c:v>180.10026097411361</c:v>
                </c:pt>
                <c:pt idx="43">
                  <c:v>180.10026097411361</c:v>
                </c:pt>
                <c:pt idx="44">
                  <c:v>180.10026097411361</c:v>
                </c:pt>
                <c:pt idx="45">
                  <c:v>180.10026097411361</c:v>
                </c:pt>
                <c:pt idx="46">
                  <c:v>180.10026097411361</c:v>
                </c:pt>
                <c:pt idx="47">
                  <c:v>180.10026097411361</c:v>
                </c:pt>
                <c:pt idx="48">
                  <c:v>180.10026097411361</c:v>
                </c:pt>
                <c:pt idx="49">
                  <c:v>197.20978576665439</c:v>
                </c:pt>
                <c:pt idx="50">
                  <c:v>214.3193105591952</c:v>
                </c:pt>
                <c:pt idx="51">
                  <c:v>231.42883535173598</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(hide)'!$AE$4:$AE$55</c:f>
              <c:numCache>
                <c:formatCode>General</c:formatCode>
                <c:ptCount val="52"/>
                <c:pt idx="0">
                  <c:v>2.7015039146116919</c:v>
                </c:pt>
                <c:pt idx="1">
                  <c:v>2.7015039146116919</c:v>
                </c:pt>
                <c:pt idx="2">
                  <c:v>2.7015039146116919</c:v>
                </c:pt>
                <c:pt idx="3">
                  <c:v>2.7015039146116351</c:v>
                </c:pt>
                <c:pt idx="4">
                  <c:v>2.7015039146116919</c:v>
                </c:pt>
                <c:pt idx="5">
                  <c:v>2.7015039146117488</c:v>
                </c:pt>
                <c:pt idx="6">
                  <c:v>2.7015039146117488</c:v>
                </c:pt>
                <c:pt idx="7">
                  <c:v>2.7015039146117488</c:v>
                </c:pt>
                <c:pt idx="8">
                  <c:v>2.7015039146117488</c:v>
                </c:pt>
                <c:pt idx="9">
                  <c:v>2.7015039146117488</c:v>
                </c:pt>
                <c:pt idx="10">
                  <c:v>2.7015039146116919</c:v>
                </c:pt>
                <c:pt idx="11">
                  <c:v>2.7015039146116919</c:v>
                </c:pt>
                <c:pt idx="12">
                  <c:v>2.7015039146116919</c:v>
                </c:pt>
                <c:pt idx="13">
                  <c:v>2.7015039146116919</c:v>
                </c:pt>
                <c:pt idx="14">
                  <c:v>2.7015039146116919</c:v>
                </c:pt>
                <c:pt idx="15">
                  <c:v>2.7015039146118056</c:v>
                </c:pt>
                <c:pt idx="16">
                  <c:v>2.7015039146117488</c:v>
                </c:pt>
                <c:pt idx="17">
                  <c:v>26.114537841246602</c:v>
                </c:pt>
                <c:pt idx="18">
                  <c:v>47.726569158140137</c:v>
                </c:pt>
                <c:pt idx="19">
                  <c:v>28.816041755858237</c:v>
                </c:pt>
                <c:pt idx="20">
                  <c:v>65.736595255551492</c:v>
                </c:pt>
                <c:pt idx="21">
                  <c:v>52.229075682492976</c:v>
                </c:pt>
                <c:pt idx="22">
                  <c:v>41.423060024046094</c:v>
                </c:pt>
                <c:pt idx="23">
                  <c:v>63.035091340939744</c:v>
                </c:pt>
                <c:pt idx="24">
                  <c:v>51.328574377622317</c:v>
                </c:pt>
                <c:pt idx="25">
                  <c:v>54.030078292233952</c:v>
                </c:pt>
                <c:pt idx="26">
                  <c:v>45.925566548398933</c:v>
                </c:pt>
                <c:pt idx="27">
                  <c:v>27.01503914611709</c:v>
                </c:pt>
                <c:pt idx="28">
                  <c:v>69.338600475033786</c:v>
                </c:pt>
                <c:pt idx="29">
                  <c:v>45.925566548398933</c:v>
                </c:pt>
                <c:pt idx="30">
                  <c:v>39.622057414305061</c:v>
                </c:pt>
                <c:pt idx="31">
                  <c:v>58.532584816586905</c:v>
                </c:pt>
                <c:pt idx="32">
                  <c:v>55.83108090197527</c:v>
                </c:pt>
                <c:pt idx="33">
                  <c:v>28.816041755858123</c:v>
                </c:pt>
                <c:pt idx="34">
                  <c:v>40.522558719175606</c:v>
                </c:pt>
                <c:pt idx="35">
                  <c:v>43.224062633787298</c:v>
                </c:pt>
                <c:pt idx="36">
                  <c:v>71.139603084775104</c:v>
                </c:pt>
                <c:pt idx="37">
                  <c:v>29.716543060728782</c:v>
                </c:pt>
                <c:pt idx="38">
                  <c:v>53.129576987363521</c:v>
                </c:pt>
                <c:pt idx="39">
                  <c:v>37.821054804563914</c:v>
                </c:pt>
                <c:pt idx="40">
                  <c:v>70.239101779904558</c:v>
                </c:pt>
                <c:pt idx="41">
                  <c:v>101.30639679793887</c:v>
                </c:pt>
                <c:pt idx="42">
                  <c:v>2.7015039146116919</c:v>
                </c:pt>
                <c:pt idx="43">
                  <c:v>2.7015039146116919</c:v>
                </c:pt>
                <c:pt idx="44">
                  <c:v>2.7015039146116919</c:v>
                </c:pt>
                <c:pt idx="45">
                  <c:v>2.7015039146116919</c:v>
                </c:pt>
                <c:pt idx="46">
                  <c:v>2.7015039146116919</c:v>
                </c:pt>
                <c:pt idx="47">
                  <c:v>2.7015039146116919</c:v>
                </c:pt>
                <c:pt idx="48">
                  <c:v>2.7015039146116919</c:v>
                </c:pt>
                <c:pt idx="49">
                  <c:v>2.7015039146116919</c:v>
                </c:pt>
                <c:pt idx="50">
                  <c:v>2.7015039146116919</c:v>
                </c:pt>
                <c:pt idx="51">
                  <c:v>2.7015039146116919</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(hide)'!$C$4:$C$55</c:f>
              <c:numCache>
                <c:formatCode>#,##0</c:formatCode>
                <c:ptCount val="52"/>
                <c:pt idx="0">
                  <c:v>209.19</c:v>
                </c:pt>
                <c:pt idx="1">
                  <c:v>209.19</c:v>
                </c:pt>
                <c:pt idx="2">
                  <c:v>209.19</c:v>
                </c:pt>
                <c:pt idx="3">
                  <c:v>209.19</c:v>
                </c:pt>
                <c:pt idx="4">
                  <c:v>209.19</c:v>
                </c:pt>
                <c:pt idx="5">
                  <c:v>209.19</c:v>
                </c:pt>
                <c:pt idx="6">
                  <c:v>209.19</c:v>
                </c:pt>
                <c:pt idx="7">
                  <c:v>229.06305</c:v>
                </c:pt>
                <c:pt idx="8">
                  <c:v>248.93609999999995</c:v>
                </c:pt>
                <c:pt idx="9">
                  <c:v>268.80914999999999</c:v>
                </c:pt>
                <c:pt idx="10">
                  <c:v>288.68219999999997</c:v>
                </c:pt>
                <c:pt idx="11">
                  <c:v>308.55525</c:v>
                </c:pt>
                <c:pt idx="12">
                  <c:v>328.42829999999998</c:v>
                </c:pt>
                <c:pt idx="13">
                  <c:v>348.30134999999996</c:v>
                </c:pt>
                <c:pt idx="14">
                  <c:v>368.17439999999999</c:v>
                </c:pt>
                <c:pt idx="15">
                  <c:v>388.04744999999997</c:v>
                </c:pt>
                <c:pt idx="16">
                  <c:v>407.9205</c:v>
                </c:pt>
                <c:pt idx="17">
                  <c:v>427.79354999999993</c:v>
                </c:pt>
                <c:pt idx="18">
                  <c:v>447.66660000000002</c:v>
                </c:pt>
                <c:pt idx="19">
                  <c:v>467.53964999999999</c:v>
                </c:pt>
                <c:pt idx="20">
                  <c:v>487.41269999999992</c:v>
                </c:pt>
                <c:pt idx="21">
                  <c:v>507.28575000000001</c:v>
                </c:pt>
                <c:pt idx="22">
                  <c:v>527.15879999999993</c:v>
                </c:pt>
                <c:pt idx="23">
                  <c:v>547.03184999999996</c:v>
                </c:pt>
                <c:pt idx="24">
                  <c:v>566.9049</c:v>
                </c:pt>
                <c:pt idx="25">
                  <c:v>586.77794999999992</c:v>
                </c:pt>
                <c:pt idx="26">
                  <c:v>606.65099999999995</c:v>
                </c:pt>
                <c:pt idx="27">
                  <c:v>826.30049999999994</c:v>
                </c:pt>
                <c:pt idx="28">
                  <c:v>1077.3285000000001</c:v>
                </c:pt>
                <c:pt idx="29">
                  <c:v>857.67899999999997</c:v>
                </c:pt>
                <c:pt idx="30">
                  <c:v>1286.5184999999999</c:v>
                </c:pt>
                <c:pt idx="31">
                  <c:v>1129.626</c:v>
                </c:pt>
                <c:pt idx="32">
                  <c:v>1129.626</c:v>
                </c:pt>
                <c:pt idx="33">
                  <c:v>1004.112</c:v>
                </c:pt>
                <c:pt idx="34">
                  <c:v>1255.1399999999999</c:v>
                </c:pt>
                <c:pt idx="35">
                  <c:v>1119.1665</c:v>
                </c:pt>
                <c:pt idx="36">
                  <c:v>1150.5450000000001</c:v>
                </c:pt>
                <c:pt idx="37">
                  <c:v>533.43449999999996</c:v>
                </c:pt>
                <c:pt idx="38">
                  <c:v>313.78499999999997</c:v>
                </c:pt>
                <c:pt idx="39">
                  <c:v>805.38149999999996</c:v>
                </c:pt>
                <c:pt idx="40">
                  <c:v>533.43449999999996</c:v>
                </c:pt>
                <c:pt idx="41">
                  <c:v>460.21800000000002</c:v>
                </c:pt>
                <c:pt idx="42">
                  <c:v>679.86749999999995</c:v>
                </c:pt>
                <c:pt idx="43">
                  <c:v>648.48900000000003</c:v>
                </c:pt>
                <c:pt idx="44">
                  <c:v>334.70400000000001</c:v>
                </c:pt>
                <c:pt idx="45">
                  <c:v>470.67750000000001</c:v>
                </c:pt>
                <c:pt idx="46">
                  <c:v>502.05599999999998</c:v>
                </c:pt>
                <c:pt idx="47">
                  <c:v>826.30049999999994</c:v>
                </c:pt>
                <c:pt idx="48">
                  <c:v>345.1635</c:v>
                </c:pt>
                <c:pt idx="49">
                  <c:v>617.1105</c:v>
                </c:pt>
                <c:pt idx="50">
                  <c:v>439.29899999999998</c:v>
                </c:pt>
                <c:pt idx="51">
                  <c:v>815.84100000000001</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44039</c:v>
                </c:pt>
                <c:pt idx="1">
                  <c:v>44046</c:v>
                </c:pt>
                <c:pt idx="2">
                  <c:v>44053</c:v>
                </c:pt>
                <c:pt idx="3">
                  <c:v>44060</c:v>
                </c:pt>
                <c:pt idx="4">
                  <c:v>44067</c:v>
                </c:pt>
                <c:pt idx="5">
                  <c:v>44074</c:v>
                </c:pt>
                <c:pt idx="6">
                  <c:v>44081</c:v>
                </c:pt>
                <c:pt idx="7">
                  <c:v>44088</c:v>
                </c:pt>
                <c:pt idx="8">
                  <c:v>44095</c:v>
                </c:pt>
                <c:pt idx="9">
                  <c:v>44102</c:v>
                </c:pt>
                <c:pt idx="10">
                  <c:v>44109</c:v>
                </c:pt>
                <c:pt idx="11">
                  <c:v>44116</c:v>
                </c:pt>
                <c:pt idx="12">
                  <c:v>44123</c:v>
                </c:pt>
                <c:pt idx="13">
                  <c:v>44130</c:v>
                </c:pt>
                <c:pt idx="14">
                  <c:v>44137</c:v>
                </c:pt>
                <c:pt idx="15">
                  <c:v>44144</c:v>
                </c:pt>
                <c:pt idx="16">
                  <c:v>44151</c:v>
                </c:pt>
                <c:pt idx="17">
                  <c:v>44158</c:v>
                </c:pt>
                <c:pt idx="18">
                  <c:v>44165</c:v>
                </c:pt>
                <c:pt idx="19">
                  <c:v>44172</c:v>
                </c:pt>
                <c:pt idx="20">
                  <c:v>44179</c:v>
                </c:pt>
                <c:pt idx="21">
                  <c:v>44186</c:v>
                </c:pt>
                <c:pt idx="22">
                  <c:v>44193</c:v>
                </c:pt>
                <c:pt idx="23">
                  <c:v>44200</c:v>
                </c:pt>
                <c:pt idx="24">
                  <c:v>44207</c:v>
                </c:pt>
                <c:pt idx="25">
                  <c:v>44214</c:v>
                </c:pt>
                <c:pt idx="26">
                  <c:v>44221</c:v>
                </c:pt>
                <c:pt idx="27">
                  <c:v>44228</c:v>
                </c:pt>
                <c:pt idx="28">
                  <c:v>44235</c:v>
                </c:pt>
                <c:pt idx="29">
                  <c:v>44242</c:v>
                </c:pt>
                <c:pt idx="30">
                  <c:v>44249</c:v>
                </c:pt>
                <c:pt idx="31">
                  <c:v>44256</c:v>
                </c:pt>
                <c:pt idx="32">
                  <c:v>44263</c:v>
                </c:pt>
                <c:pt idx="33">
                  <c:v>44270</c:v>
                </c:pt>
                <c:pt idx="34">
                  <c:v>44277</c:v>
                </c:pt>
                <c:pt idx="35">
                  <c:v>44284</c:v>
                </c:pt>
                <c:pt idx="36">
                  <c:v>44291</c:v>
                </c:pt>
                <c:pt idx="37">
                  <c:v>44298</c:v>
                </c:pt>
                <c:pt idx="38">
                  <c:v>44305</c:v>
                </c:pt>
                <c:pt idx="39">
                  <c:v>44312</c:v>
                </c:pt>
                <c:pt idx="40">
                  <c:v>44319</c:v>
                </c:pt>
                <c:pt idx="41">
                  <c:v>44326</c:v>
                </c:pt>
                <c:pt idx="42">
                  <c:v>44333</c:v>
                </c:pt>
                <c:pt idx="43">
                  <c:v>44340</c:v>
                </c:pt>
                <c:pt idx="44">
                  <c:v>44347</c:v>
                </c:pt>
                <c:pt idx="45">
                  <c:v>44354</c:v>
                </c:pt>
                <c:pt idx="46">
                  <c:v>44361</c:v>
                </c:pt>
                <c:pt idx="47">
                  <c:v>44368</c:v>
                </c:pt>
                <c:pt idx="48">
                  <c:v>44375</c:v>
                </c:pt>
                <c:pt idx="49">
                  <c:v>44382</c:v>
                </c:pt>
                <c:pt idx="50">
                  <c:v>44389</c:v>
                </c:pt>
                <c:pt idx="51">
                  <c:v>44396</c:v>
                </c:pt>
              </c:numCache>
            </c:numRef>
          </c:cat>
          <c:val>
            <c:numRef>
              <c:f>'Planning (hide)'!$D$4:$D$55</c:f>
              <c:numCache>
                <c:formatCode>#,##0</c:formatCode>
                <c:ptCount val="52"/>
                <c:pt idx="0">
                  <c:v>3.137849999999986</c:v>
                </c:pt>
                <c:pt idx="1">
                  <c:v>3.137849999999986</c:v>
                </c:pt>
                <c:pt idx="2">
                  <c:v>3.137849999999986</c:v>
                </c:pt>
                <c:pt idx="3">
                  <c:v>3.137849999999986</c:v>
                </c:pt>
                <c:pt idx="4">
                  <c:v>3.137849999999986</c:v>
                </c:pt>
                <c:pt idx="5">
                  <c:v>3.137849999999986</c:v>
                </c:pt>
                <c:pt idx="6">
                  <c:v>3.137849999999986</c:v>
                </c:pt>
                <c:pt idx="7">
                  <c:v>3.1378499999999576</c:v>
                </c:pt>
                <c:pt idx="8">
                  <c:v>3.1378500000000429</c:v>
                </c:pt>
                <c:pt idx="9">
                  <c:v>3.1378500000000145</c:v>
                </c:pt>
                <c:pt idx="10">
                  <c:v>3.1378500000000145</c:v>
                </c:pt>
                <c:pt idx="11">
                  <c:v>3.1378499999999576</c:v>
                </c:pt>
                <c:pt idx="12">
                  <c:v>3.1378500000000145</c:v>
                </c:pt>
                <c:pt idx="13">
                  <c:v>3.1378500000000145</c:v>
                </c:pt>
                <c:pt idx="14">
                  <c:v>3.1378500000000145</c:v>
                </c:pt>
                <c:pt idx="15">
                  <c:v>3.1378500000000145</c:v>
                </c:pt>
                <c:pt idx="16">
                  <c:v>3.1378499999999576</c:v>
                </c:pt>
                <c:pt idx="17">
                  <c:v>3.1378500000000713</c:v>
                </c:pt>
                <c:pt idx="18">
                  <c:v>3.1378499999999008</c:v>
                </c:pt>
                <c:pt idx="19">
                  <c:v>3.1378500000000145</c:v>
                </c:pt>
                <c:pt idx="20">
                  <c:v>3.1378500000000145</c:v>
                </c:pt>
                <c:pt idx="21">
                  <c:v>3.1378500000000145</c:v>
                </c:pt>
                <c:pt idx="22">
                  <c:v>3.1378500000000713</c:v>
                </c:pt>
                <c:pt idx="23">
                  <c:v>3.1378499999999576</c:v>
                </c:pt>
                <c:pt idx="24">
                  <c:v>3.1378499999999576</c:v>
                </c:pt>
                <c:pt idx="25">
                  <c:v>3.1378500000000713</c:v>
                </c:pt>
                <c:pt idx="26">
                  <c:v>3.1378500000000713</c:v>
                </c:pt>
                <c:pt idx="27">
                  <c:v>30.332549999999969</c:v>
                </c:pt>
                <c:pt idx="28">
                  <c:v>55.435349999999744</c:v>
                </c:pt>
                <c:pt idx="29">
                  <c:v>33.470400000000041</c:v>
                </c:pt>
                <c:pt idx="30">
                  <c:v>76.354350000000068</c:v>
                </c:pt>
                <c:pt idx="31">
                  <c:v>60.665099999999939</c:v>
                </c:pt>
                <c:pt idx="32">
                  <c:v>60.665099999999939</c:v>
                </c:pt>
                <c:pt idx="33">
                  <c:v>48.113699999999994</c:v>
                </c:pt>
                <c:pt idx="34">
                  <c:v>73.216499999999996</c:v>
                </c:pt>
                <c:pt idx="35">
                  <c:v>59.619149999999763</c:v>
                </c:pt>
                <c:pt idx="36">
                  <c:v>62.756999999999834</c:v>
                </c:pt>
                <c:pt idx="37">
                  <c:v>53.343449999999962</c:v>
                </c:pt>
                <c:pt idx="38">
                  <c:v>31.378500000000031</c:v>
                </c:pt>
                <c:pt idx="39">
                  <c:v>80.538150000000087</c:v>
                </c:pt>
                <c:pt idx="40">
                  <c:v>53.343449999999962</c:v>
                </c:pt>
                <c:pt idx="41">
                  <c:v>46.021800000000042</c:v>
                </c:pt>
                <c:pt idx="42">
                  <c:v>67.986750000000143</c:v>
                </c:pt>
                <c:pt idx="43">
                  <c:v>64.848899999999958</c:v>
                </c:pt>
                <c:pt idx="44">
                  <c:v>33.470399999999984</c:v>
                </c:pt>
                <c:pt idx="45">
                  <c:v>47.067749999999933</c:v>
                </c:pt>
                <c:pt idx="46">
                  <c:v>50.205600000000061</c:v>
                </c:pt>
                <c:pt idx="47">
                  <c:v>82.63005000000021</c:v>
                </c:pt>
                <c:pt idx="48">
                  <c:v>34.516350000000045</c:v>
                </c:pt>
                <c:pt idx="49">
                  <c:v>61.71105</c:v>
                </c:pt>
                <c:pt idx="50">
                  <c:v>43.929900000000089</c:v>
                </c:pt>
                <c:pt idx="51">
                  <c:v>81.584100000000149</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242.09913793103451</c:v>
                </c:pt>
                <c:pt idx="1">
                  <c:v>242.09913793103451</c:v>
                </c:pt>
                <c:pt idx="2">
                  <c:v>242.09913793103451</c:v>
                </c:pt>
                <c:pt idx="3">
                  <c:v>242.09913793103451</c:v>
                </c:pt>
                <c:pt idx="4">
                  <c:v>242.09913793103451</c:v>
                </c:pt>
                <c:pt idx="5">
                  <c:v>242.09913793103451</c:v>
                </c:pt>
                <c:pt idx="6">
                  <c:v>242.09913793103451</c:v>
                </c:pt>
                <c:pt idx="7">
                  <c:v>242.09913793103451</c:v>
                </c:pt>
                <c:pt idx="8">
                  <c:v>242.09913793103451</c:v>
                </c:pt>
                <c:pt idx="9">
                  <c:v>242.09913793103451</c:v>
                </c:pt>
                <c:pt idx="10">
                  <c:v>242.09913793103451</c:v>
                </c:pt>
                <c:pt idx="11">
                  <c:v>242.09913793103451</c:v>
                </c:pt>
                <c:pt idx="12">
                  <c:v>242.09913793103451</c:v>
                </c:pt>
                <c:pt idx="13">
                  <c:v>244.09913793103451</c:v>
                </c:pt>
                <c:pt idx="14">
                  <c:v>244.09913793103451</c:v>
                </c:pt>
                <c:pt idx="15">
                  <c:v>244.09913793103451</c:v>
                </c:pt>
                <c:pt idx="16">
                  <c:v>244.09913793103451</c:v>
                </c:pt>
                <c:pt idx="17">
                  <c:v>244.09913793103451</c:v>
                </c:pt>
                <c:pt idx="18">
                  <c:v>244.09913793103451</c:v>
                </c:pt>
                <c:pt idx="19">
                  <c:v>244.09913793103451</c:v>
                </c:pt>
                <c:pt idx="20">
                  <c:v>244.09913793103451</c:v>
                </c:pt>
                <c:pt idx="21">
                  <c:v>244.09913793103451</c:v>
                </c:pt>
                <c:pt idx="22">
                  <c:v>244.09913793103451</c:v>
                </c:pt>
                <c:pt idx="23">
                  <c:v>244.09913793103451</c:v>
                </c:pt>
                <c:pt idx="24">
                  <c:v>244.09913793103451</c:v>
                </c:pt>
                <c:pt idx="25">
                  <c:v>244.09913793103451</c:v>
                </c:pt>
                <c:pt idx="26">
                  <c:v>244.09913793103451</c:v>
                </c:pt>
                <c:pt idx="27">
                  <c:v>244.09913793103451</c:v>
                </c:pt>
                <c:pt idx="28">
                  <c:v>244.09913793103451</c:v>
                </c:pt>
                <c:pt idx="29">
                  <c:v>244.09913793103451</c:v>
                </c:pt>
                <c:pt idx="30">
                  <c:v>244.09913793103451</c:v>
                </c:pt>
                <c:pt idx="31">
                  <c:v>241.09913793103451</c:v>
                </c:pt>
                <c:pt idx="32">
                  <c:v>241.09913793103451</c:v>
                </c:pt>
                <c:pt idx="33">
                  <c:v>241.09913793103451</c:v>
                </c:pt>
                <c:pt idx="34">
                  <c:v>241.09913793103451</c:v>
                </c:pt>
                <c:pt idx="35">
                  <c:v>241.09913793103451</c:v>
                </c:pt>
                <c:pt idx="36">
                  <c:v>241.09913793103451</c:v>
                </c:pt>
                <c:pt idx="37">
                  <c:v>241.09913793103451</c:v>
                </c:pt>
                <c:pt idx="38">
                  <c:v>241.09913793103451</c:v>
                </c:pt>
                <c:pt idx="39">
                  <c:v>241.09913793103451</c:v>
                </c:pt>
                <c:pt idx="40">
                  <c:v>241.09913793103451</c:v>
                </c:pt>
                <c:pt idx="41">
                  <c:v>241.09913793103451</c:v>
                </c:pt>
                <c:pt idx="42">
                  <c:v>241.09913793103451</c:v>
                </c:pt>
                <c:pt idx="43">
                  <c:v>241.09913793103451</c:v>
                </c:pt>
                <c:pt idx="44">
                  <c:v>241.09913793103451</c:v>
                </c:pt>
                <c:pt idx="45">
                  <c:v>241.09913793103451</c:v>
                </c:pt>
                <c:pt idx="46">
                  <c:v>242.09913793103451</c:v>
                </c:pt>
                <c:pt idx="47">
                  <c:v>242.09913793103451</c:v>
                </c:pt>
                <c:pt idx="48">
                  <c:v>242.09913793103451</c:v>
                </c:pt>
                <c:pt idx="49">
                  <c:v>242.09913793103451</c:v>
                </c:pt>
                <c:pt idx="50">
                  <c:v>242.09913793103451</c:v>
                </c:pt>
                <c:pt idx="51">
                  <c:v>242.09913793103451</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ax val="1600"/>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2435</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2435</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18</xdr:row>
      <xdr:rowOff>299</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3586</xdr:colOff>
          <xdr:row>14</xdr:row>
          <xdr:rowOff>418353</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36158</xdr:colOff>
          <xdr:row>14</xdr:row>
          <xdr:rowOff>13896</xdr:rowOff>
        </xdr:from>
        <xdr:to>
          <xdr:col>2</xdr:col>
          <xdr:colOff>950558</xdr:colOff>
          <xdr:row>14</xdr:row>
          <xdr:rowOff>418353</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24653</xdr:colOff>
          <xdr:row>15</xdr:row>
          <xdr:rowOff>216348</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7"/>
  <sheetViews>
    <sheetView showGridLines="0" showRowColHeaders="0" tabSelected="1"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1293</v>
      </c>
      <c r="B3" s="290">
        <v>44057</v>
      </c>
      <c r="C3" s="292" t="s">
        <v>1294</v>
      </c>
      <c r="D3" s="292" t="s">
        <v>1295</v>
      </c>
      <c r="E3" s="289"/>
    </row>
    <row r="4" spans="1:5" s="67" customFormat="1" ht="55.2" x14ac:dyDescent="0.25">
      <c r="A4" s="289" t="s">
        <v>1246</v>
      </c>
      <c r="B4" s="290">
        <v>44027</v>
      </c>
      <c r="C4" s="289" t="s">
        <v>5</v>
      </c>
      <c r="D4" s="292" t="s">
        <v>1247</v>
      </c>
      <c r="E4" s="289"/>
    </row>
    <row r="5" spans="1:5" s="67" customFormat="1" ht="151.80000000000001" x14ac:dyDescent="0.25">
      <c r="A5" s="289" t="s">
        <v>1236</v>
      </c>
      <c r="B5" s="290">
        <v>44025</v>
      </c>
      <c r="C5" s="289" t="s">
        <v>5</v>
      </c>
      <c r="D5" s="292" t="s">
        <v>1245</v>
      </c>
      <c r="E5" s="292"/>
    </row>
    <row r="6" spans="1:5" s="67" customFormat="1" ht="69" x14ac:dyDescent="0.25">
      <c r="A6" s="289" t="s">
        <v>1232</v>
      </c>
      <c r="B6" s="290">
        <v>43997</v>
      </c>
      <c r="C6" s="289" t="s">
        <v>5</v>
      </c>
      <c r="D6" s="292" t="s">
        <v>1237</v>
      </c>
      <c r="E6" s="289"/>
    </row>
    <row r="7" spans="1:5" s="67" customFormat="1" ht="151.80000000000001" x14ac:dyDescent="0.25">
      <c r="A7" s="289">
        <v>3.4</v>
      </c>
      <c r="B7" s="290">
        <v>43993</v>
      </c>
      <c r="C7" s="289" t="s">
        <v>5</v>
      </c>
      <c r="D7" s="292" t="s">
        <v>1230</v>
      </c>
      <c r="E7" s="292"/>
    </row>
    <row r="8" spans="1:5" s="67" customFormat="1" ht="138" x14ac:dyDescent="0.25">
      <c r="A8" s="289">
        <v>3.3</v>
      </c>
      <c r="B8" s="290">
        <v>43980</v>
      </c>
      <c r="C8" s="289" t="s">
        <v>5</v>
      </c>
      <c r="D8" s="292" t="s">
        <v>1228</v>
      </c>
      <c r="E8" s="289"/>
    </row>
    <row r="9" spans="1:5" s="67" customFormat="1" ht="41.4" x14ac:dyDescent="0.25">
      <c r="A9" s="335">
        <v>3.2</v>
      </c>
      <c r="B9" s="290">
        <v>43965</v>
      </c>
      <c r="C9" s="289" t="s">
        <v>5</v>
      </c>
      <c r="D9" s="292" t="s">
        <v>1211</v>
      </c>
      <c r="E9" s="292"/>
    </row>
    <row r="10" spans="1:5" s="67" customFormat="1" ht="41.4" x14ac:dyDescent="0.25">
      <c r="A10" s="335">
        <v>3.1</v>
      </c>
      <c r="B10" s="290">
        <v>43964</v>
      </c>
      <c r="C10" s="289" t="s">
        <v>5</v>
      </c>
      <c r="D10" s="292" t="s">
        <v>1206</v>
      </c>
      <c r="E10" s="292"/>
    </row>
    <row r="11" spans="1:5" s="67" customFormat="1" ht="96.6" x14ac:dyDescent="0.25">
      <c r="A11" s="335">
        <v>3</v>
      </c>
      <c r="B11" s="290">
        <v>43963</v>
      </c>
      <c r="C11" s="289" t="s">
        <v>5</v>
      </c>
      <c r="D11" s="292" t="s">
        <v>1202</v>
      </c>
      <c r="E11" s="292" t="s">
        <v>1203</v>
      </c>
    </row>
    <row r="12" spans="1:5" s="67" customFormat="1" ht="69" x14ac:dyDescent="0.25">
      <c r="A12" s="289">
        <v>2.13</v>
      </c>
      <c r="B12" s="290">
        <v>43903</v>
      </c>
      <c r="C12" s="289" t="s">
        <v>5</v>
      </c>
      <c r="D12" s="292" t="s">
        <v>1174</v>
      </c>
      <c r="E12" s="285"/>
    </row>
    <row r="13" spans="1:5" s="67" customFormat="1" ht="27.6" x14ac:dyDescent="0.25">
      <c r="A13" s="289">
        <v>2.12</v>
      </c>
      <c r="B13" s="290">
        <v>43887</v>
      </c>
      <c r="C13" s="289" t="s">
        <v>276</v>
      </c>
      <c r="D13" s="292" t="s">
        <v>1175</v>
      </c>
      <c r="E13" s="285"/>
    </row>
    <row r="14" spans="1:5" s="67" customFormat="1" ht="55.2" x14ac:dyDescent="0.25">
      <c r="A14" s="289">
        <v>2.11</v>
      </c>
      <c r="B14" s="290">
        <v>43846</v>
      </c>
      <c r="C14" s="292" t="s">
        <v>1166</v>
      </c>
      <c r="D14" s="292" t="s">
        <v>1173</v>
      </c>
      <c r="E14" s="292" t="s">
        <v>1171</v>
      </c>
    </row>
    <row r="15" spans="1:5" s="67" customFormat="1" ht="41.4" x14ac:dyDescent="0.25">
      <c r="A15" s="328">
        <v>2.1</v>
      </c>
      <c r="B15" s="290">
        <v>43756</v>
      </c>
      <c r="C15" s="289" t="s">
        <v>276</v>
      </c>
      <c r="D15" s="292" t="s">
        <v>1170</v>
      </c>
      <c r="E15" s="285"/>
    </row>
    <row r="16" spans="1:5" s="67" customFormat="1" ht="55.2" x14ac:dyDescent="0.25">
      <c r="A16" s="289">
        <v>2.02</v>
      </c>
      <c r="B16" s="290">
        <v>43718</v>
      </c>
      <c r="C16" s="289" t="s">
        <v>5</v>
      </c>
      <c r="D16" s="292" t="s">
        <v>1169</v>
      </c>
      <c r="E16" s="285"/>
    </row>
    <row r="17" spans="1:5" s="67" customFormat="1" ht="55.2" x14ac:dyDescent="0.25">
      <c r="A17" s="289">
        <v>2.0099999999999998</v>
      </c>
      <c r="B17" s="290">
        <v>43693</v>
      </c>
      <c r="C17" s="289" t="s">
        <v>1108</v>
      </c>
      <c r="D17" s="292" t="s">
        <v>1168</v>
      </c>
      <c r="E17" s="285"/>
    </row>
    <row r="18" spans="1:5" s="67" customFormat="1" ht="96.6" x14ac:dyDescent="0.25">
      <c r="A18" s="324">
        <v>2</v>
      </c>
      <c r="B18" s="314">
        <v>43665</v>
      </c>
      <c r="C18" s="292" t="s">
        <v>1166</v>
      </c>
      <c r="D18" s="292" t="s">
        <v>1167</v>
      </c>
      <c r="E18" s="285"/>
    </row>
    <row r="19" spans="1:5" s="67" customFormat="1" ht="248.4" x14ac:dyDescent="0.25">
      <c r="A19" s="285">
        <v>1.05</v>
      </c>
      <c r="B19" s="314">
        <v>43570</v>
      </c>
      <c r="C19" s="292" t="s">
        <v>1165</v>
      </c>
      <c r="D19" s="292" t="s">
        <v>1160</v>
      </c>
      <c r="E19" s="316" t="s">
        <v>1159</v>
      </c>
    </row>
    <row r="20" spans="1:5" s="67" customFormat="1" ht="82.8" x14ac:dyDescent="0.25">
      <c r="A20" s="289">
        <v>1.04</v>
      </c>
      <c r="B20" s="290">
        <v>43516</v>
      </c>
      <c r="C20" s="289" t="s">
        <v>1108</v>
      </c>
      <c r="D20" s="292" t="s">
        <v>1111</v>
      </c>
      <c r="E20" s="292"/>
    </row>
    <row r="21" spans="1:5" s="67" customFormat="1" ht="124.2" x14ac:dyDescent="0.25">
      <c r="A21" s="289" t="s">
        <v>1107</v>
      </c>
      <c r="B21" s="290">
        <v>43486</v>
      </c>
      <c r="C21" s="289" t="s">
        <v>1108</v>
      </c>
      <c r="D21" s="292" t="s">
        <v>1109</v>
      </c>
      <c r="E21" s="292" t="s">
        <v>1110</v>
      </c>
    </row>
    <row r="22" spans="1:5" s="291" customFormat="1" ht="165.6" x14ac:dyDescent="0.25">
      <c r="A22" s="289" t="s">
        <v>1107</v>
      </c>
      <c r="B22" s="290">
        <v>43395</v>
      </c>
      <c r="C22" s="289" t="s">
        <v>5</v>
      </c>
      <c r="D22" s="292" t="s">
        <v>1106</v>
      </c>
      <c r="E22" s="292" t="s">
        <v>1105</v>
      </c>
    </row>
    <row r="23" spans="1:5" s="291" customFormat="1" ht="165.6" x14ac:dyDescent="0.25">
      <c r="A23" s="289">
        <v>1.03</v>
      </c>
      <c r="B23" s="290">
        <v>43319</v>
      </c>
      <c r="C23" s="289" t="s">
        <v>5</v>
      </c>
      <c r="D23" s="292" t="s">
        <v>1104</v>
      </c>
      <c r="E23" s="289"/>
    </row>
    <row r="24" spans="1:5" ht="409.6" x14ac:dyDescent="0.25">
      <c r="A24" s="286">
        <v>1.02</v>
      </c>
      <c r="B24" s="287">
        <v>43292</v>
      </c>
      <c r="C24" s="286" t="s">
        <v>5</v>
      </c>
      <c r="D24" s="288" t="s">
        <v>1103</v>
      </c>
      <c r="E24" s="288" t="s">
        <v>944</v>
      </c>
    </row>
    <row r="25" spans="1:5" ht="41.4" x14ac:dyDescent="0.25">
      <c r="A25" s="286" t="s">
        <v>932</v>
      </c>
      <c r="B25" s="287">
        <v>43291</v>
      </c>
      <c r="C25" s="286" t="s">
        <v>5</v>
      </c>
      <c r="D25" s="288" t="s">
        <v>933</v>
      </c>
      <c r="E25" s="286"/>
    </row>
    <row r="26" spans="1:5" ht="151.80000000000001" x14ac:dyDescent="0.25">
      <c r="A26" s="286" t="s">
        <v>880</v>
      </c>
      <c r="B26" s="287">
        <v>43255</v>
      </c>
      <c r="C26" s="286" t="s">
        <v>5</v>
      </c>
      <c r="D26" s="288" t="s">
        <v>881</v>
      </c>
      <c r="E26" s="286"/>
    </row>
    <row r="27" spans="1:5" ht="41.4" x14ac:dyDescent="0.25">
      <c r="A27" s="286" t="s">
        <v>873</v>
      </c>
      <c r="B27" s="287">
        <v>43247</v>
      </c>
      <c r="C27" s="286" t="s">
        <v>5</v>
      </c>
      <c r="D27" s="288" t="s">
        <v>874</v>
      </c>
      <c r="E27" s="286"/>
    </row>
    <row r="28" spans="1:5" ht="124.2" x14ac:dyDescent="0.25">
      <c r="A28" s="286">
        <v>0.4</v>
      </c>
      <c r="B28" s="287">
        <v>43229</v>
      </c>
      <c r="C28" s="286" t="s">
        <v>5</v>
      </c>
      <c r="D28" s="288" t="s">
        <v>491</v>
      </c>
      <c r="E28" s="288" t="s">
        <v>492</v>
      </c>
    </row>
    <row r="29" spans="1:5" ht="110.4" x14ac:dyDescent="0.25">
      <c r="A29" s="286" t="s">
        <v>324</v>
      </c>
      <c r="B29" s="287">
        <v>43206</v>
      </c>
      <c r="C29" s="286" t="s">
        <v>5</v>
      </c>
      <c r="D29" s="288" t="s">
        <v>325</v>
      </c>
      <c r="E29" s="288" t="s">
        <v>339</v>
      </c>
    </row>
    <row r="30" spans="1:5" ht="55.2" x14ac:dyDescent="0.25">
      <c r="A30" s="286" t="s">
        <v>300</v>
      </c>
      <c r="B30" s="287">
        <v>43185</v>
      </c>
      <c r="C30" s="286" t="s">
        <v>5</v>
      </c>
      <c r="D30" s="286"/>
      <c r="E30" s="288" t="s">
        <v>301</v>
      </c>
    </row>
    <row r="31" spans="1:5" ht="69" x14ac:dyDescent="0.25">
      <c r="A31" s="286" t="s">
        <v>298</v>
      </c>
      <c r="B31" s="287">
        <v>43178</v>
      </c>
      <c r="C31" s="286" t="s">
        <v>276</v>
      </c>
      <c r="D31" s="288" t="s">
        <v>299</v>
      </c>
      <c r="E31" s="286"/>
    </row>
    <row r="32" spans="1:5" ht="124.2" x14ac:dyDescent="0.25">
      <c r="A32" s="286" t="s">
        <v>288</v>
      </c>
      <c r="B32" s="287">
        <v>43172</v>
      </c>
      <c r="C32" s="286" t="s">
        <v>5</v>
      </c>
      <c r="D32" s="288" t="s">
        <v>289</v>
      </c>
      <c r="E32" s="288" t="s">
        <v>291</v>
      </c>
    </row>
    <row r="33" spans="1:5" ht="55.2" x14ac:dyDescent="0.25">
      <c r="A33" s="286" t="s">
        <v>275</v>
      </c>
      <c r="B33" s="287">
        <v>43167</v>
      </c>
      <c r="C33" s="286" t="s">
        <v>276</v>
      </c>
      <c r="D33" s="286" t="s">
        <v>277</v>
      </c>
      <c r="E33" s="288" t="s">
        <v>282</v>
      </c>
    </row>
    <row r="34" spans="1:5" x14ac:dyDescent="0.25">
      <c r="A34" s="286"/>
      <c r="B34" s="287">
        <v>43147</v>
      </c>
      <c r="C34" s="286" t="s">
        <v>5</v>
      </c>
      <c r="D34" s="286" t="s">
        <v>127</v>
      </c>
      <c r="E34" s="286"/>
    </row>
    <row r="35" spans="1:5" ht="96.6" x14ac:dyDescent="0.25">
      <c r="A35" s="286" t="s">
        <v>9</v>
      </c>
      <c r="B35" s="287">
        <v>43130</v>
      </c>
      <c r="C35" s="286" t="s">
        <v>5</v>
      </c>
      <c r="D35" s="288" t="s">
        <v>10</v>
      </c>
      <c r="E35" s="288" t="s">
        <v>12</v>
      </c>
    </row>
    <row r="36" spans="1:5" x14ac:dyDescent="0.25">
      <c r="A36" s="286" t="s">
        <v>7</v>
      </c>
      <c r="B36" s="287">
        <v>43068</v>
      </c>
      <c r="C36" s="286" t="s">
        <v>5</v>
      </c>
      <c r="D36" s="286" t="s">
        <v>8</v>
      </c>
      <c r="E36" s="286"/>
    </row>
    <row r="37" spans="1:5" x14ac:dyDescent="0.25">
      <c r="A37" s="286" t="s">
        <v>4</v>
      </c>
      <c r="B37" s="287">
        <v>42852</v>
      </c>
      <c r="C37" s="286" t="s">
        <v>5</v>
      </c>
      <c r="D37" s="286" t="s">
        <v>6</v>
      </c>
      <c r="E37" s="286"/>
    </row>
  </sheetData>
  <sortState xmlns:xlrd2="http://schemas.microsoft.com/office/spreadsheetml/2017/richdata2" ref="A20:E33">
    <sortCondition descending="1" ref="B20:B33"/>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6" priority="7">
      <formula>IF(B5&lt;&gt;"",TRUE,FALSE)</formula>
    </cfRule>
  </conditionalFormatting>
  <conditionalFormatting sqref="B8">
    <cfRule type="expression" dxfId="55" priority="6">
      <formula>IF(B8&lt;&gt;"",TRUE,FALSE)</formula>
    </cfRule>
  </conditionalFormatting>
  <conditionalFormatting sqref="B17">
    <cfRule type="expression" dxfId="54" priority="4">
      <formula>IF(B17&lt;&gt;"",TRUE,FALSE)</formula>
    </cfRule>
  </conditionalFormatting>
  <conditionalFormatting sqref="B9">
    <cfRule type="expression" dxfId="53" priority="3">
      <formula>IF(B9&lt;&gt;"",TRUE,FALSE)</formula>
    </cfRule>
  </conditionalFormatting>
  <conditionalFormatting sqref="B10">
    <cfRule type="expression" dxfId="52" priority="2">
      <formula>IF(B10&lt;&gt;"",TRUE,FALSE)</formula>
    </cfRule>
  </conditionalFormatting>
  <conditionalFormatting sqref="B13">
    <cfRule type="expression" dxfId="51"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opLeftCell="A4" zoomScaleNormal="100" workbookViewId="0">
      <selection activeCell="I13" sqref="I1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2" t="s">
        <v>872</v>
      </c>
      <c r="D5" s="393"/>
      <c r="E5" s="393"/>
      <c r="F5" s="393"/>
      <c r="G5" s="394"/>
    </row>
    <row r="7" spans="1:9" x14ac:dyDescent="0.25">
      <c r="A7" s="2" t="s">
        <v>28</v>
      </c>
      <c r="C7" s="392" t="s">
        <v>898</v>
      </c>
      <c r="D7" s="393"/>
      <c r="E7" s="393"/>
      <c r="F7" s="393"/>
      <c r="G7" s="394"/>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5" t="s">
        <v>925</v>
      </c>
      <c r="B11" s="395"/>
      <c r="C11" s="395"/>
      <c r="D11" s="395"/>
      <c r="E11" s="395"/>
      <c r="F11" s="395"/>
      <c r="G11" s="395"/>
      <c r="H11" s="396"/>
      <c r="I11" s="209">
        <v>2</v>
      </c>
    </row>
    <row r="12" spans="1:9" x14ac:dyDescent="0.25">
      <c r="I12" s="4"/>
    </row>
    <row r="13" spans="1:9" x14ac:dyDescent="0.25">
      <c r="A13" s="395" t="s">
        <v>424</v>
      </c>
      <c r="B13" s="395"/>
      <c r="C13" s="395"/>
      <c r="D13" s="395"/>
      <c r="E13" s="395"/>
      <c r="F13" s="395"/>
      <c r="G13" s="395"/>
      <c r="H13" s="396"/>
      <c r="I13" s="209" t="s">
        <v>22</v>
      </c>
    </row>
    <row r="14" spans="1:9" x14ac:dyDescent="0.25">
      <c r="I14" s="4"/>
    </row>
    <row r="15" spans="1:9" x14ac:dyDescent="0.25">
      <c r="A15" s="395" t="s">
        <v>425</v>
      </c>
      <c r="B15" s="395"/>
      <c r="C15" s="395"/>
      <c r="D15" s="395"/>
      <c r="E15" s="395"/>
      <c r="F15" s="395"/>
      <c r="G15" s="395"/>
      <c r="H15" s="396"/>
      <c r="I15" s="209" t="s">
        <v>22</v>
      </c>
    </row>
    <row r="16" spans="1:9" x14ac:dyDescent="0.25">
      <c r="I16" s="4"/>
    </row>
    <row r="17" spans="1:9" x14ac:dyDescent="0.25">
      <c r="A17" s="395" t="s">
        <v>29</v>
      </c>
      <c r="B17" s="395"/>
      <c r="C17" s="395"/>
      <c r="D17" s="395"/>
      <c r="E17" s="395"/>
      <c r="F17" s="395"/>
      <c r="G17" s="395"/>
      <c r="H17" s="396"/>
      <c r="I17" s="209" t="s">
        <v>21</v>
      </c>
    </row>
    <row r="18" spans="1:9" x14ac:dyDescent="0.25">
      <c r="I18" s="4"/>
    </row>
    <row r="19" spans="1:9" x14ac:dyDescent="0.25">
      <c r="A19" s="395" t="s">
        <v>30</v>
      </c>
      <c r="B19" s="395"/>
      <c r="C19" s="395"/>
      <c r="D19" s="395"/>
      <c r="E19" s="395"/>
      <c r="F19" s="395"/>
      <c r="G19" s="395"/>
      <c r="H19" s="396"/>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2" t="s">
        <v>926</v>
      </c>
      <c r="H26" s="403"/>
      <c r="I26" s="404"/>
    </row>
    <row r="27" spans="1:9" ht="19.5" customHeight="1" x14ac:dyDescent="0.25">
      <c r="A27" s="397" t="s">
        <v>31</v>
      </c>
      <c r="B27" s="398"/>
      <c r="C27" s="399" t="s">
        <v>1240</v>
      </c>
      <c r="D27" s="400"/>
      <c r="E27" s="400"/>
      <c r="F27" s="401"/>
      <c r="G27" s="389">
        <v>30</v>
      </c>
      <c r="H27" s="390"/>
      <c r="I27" s="391"/>
    </row>
    <row r="28" spans="1:9" ht="19.5" customHeight="1" x14ac:dyDescent="0.25">
      <c r="A28" s="397" t="s">
        <v>33</v>
      </c>
      <c r="B28" s="398"/>
      <c r="C28" s="399" t="s">
        <v>1241</v>
      </c>
      <c r="D28" s="400"/>
      <c r="E28" s="400"/>
      <c r="F28" s="401"/>
      <c r="G28" s="389">
        <v>30</v>
      </c>
      <c r="H28" s="390"/>
      <c r="I28" s="391"/>
    </row>
    <row r="29" spans="1:9" ht="19.5" hidden="1" customHeight="1" x14ac:dyDescent="0.25">
      <c r="A29" s="397" t="s">
        <v>35</v>
      </c>
      <c r="B29" s="398"/>
      <c r="C29" s="399" t="s">
        <v>1242</v>
      </c>
      <c r="D29" s="400"/>
      <c r="E29" s="400"/>
      <c r="F29" s="401"/>
      <c r="G29" s="389">
        <v>20</v>
      </c>
      <c r="H29" s="390"/>
      <c r="I29" s="391"/>
    </row>
    <row r="30" spans="1:9" ht="19.5" hidden="1" customHeight="1" x14ac:dyDescent="0.25">
      <c r="A30" s="397" t="s">
        <v>37</v>
      </c>
      <c r="B30" s="398"/>
      <c r="C30" s="399" t="s">
        <v>38</v>
      </c>
      <c r="D30" s="400"/>
      <c r="E30" s="400"/>
      <c r="F30" s="401"/>
      <c r="G30" s="389">
        <v>2</v>
      </c>
      <c r="H30" s="390"/>
      <c r="I30" s="391"/>
    </row>
    <row r="31" spans="1:9" ht="19.5" hidden="1" customHeight="1" x14ac:dyDescent="0.25">
      <c r="A31" s="397" t="s">
        <v>39</v>
      </c>
      <c r="B31" s="398"/>
      <c r="C31" s="399" t="s">
        <v>40</v>
      </c>
      <c r="D31" s="400"/>
      <c r="E31" s="400"/>
      <c r="F31" s="401"/>
      <c r="G31" s="389">
        <v>4</v>
      </c>
      <c r="H31" s="390"/>
      <c r="I31" s="391"/>
    </row>
    <row r="32" spans="1:9" ht="19.5" hidden="1" customHeight="1" x14ac:dyDescent="0.25">
      <c r="A32" s="397" t="s">
        <v>41</v>
      </c>
      <c r="B32" s="398"/>
      <c r="C32" s="399" t="s">
        <v>42</v>
      </c>
      <c r="D32" s="400"/>
      <c r="E32" s="400"/>
      <c r="F32" s="401"/>
      <c r="G32" s="389">
        <v>8</v>
      </c>
      <c r="H32" s="390"/>
      <c r="I32" s="391"/>
    </row>
    <row r="33" spans="1:9" ht="19.5" hidden="1" customHeight="1" x14ac:dyDescent="0.25">
      <c r="A33" s="397" t="s">
        <v>43</v>
      </c>
      <c r="B33" s="398"/>
      <c r="C33" s="399" t="s">
        <v>44</v>
      </c>
      <c r="D33" s="400"/>
      <c r="E33" s="400"/>
      <c r="F33" s="401"/>
      <c r="G33" s="389">
        <v>16</v>
      </c>
      <c r="H33" s="390"/>
      <c r="I33" s="391"/>
    </row>
    <row r="34" spans="1:9" ht="19.5" hidden="1" customHeight="1" x14ac:dyDescent="0.25">
      <c r="A34" s="397" t="s">
        <v>45</v>
      </c>
      <c r="B34" s="398"/>
      <c r="C34" s="399" t="s">
        <v>46</v>
      </c>
      <c r="D34" s="400"/>
      <c r="E34" s="400"/>
      <c r="F34" s="401"/>
      <c r="G34" s="389">
        <v>32</v>
      </c>
      <c r="H34" s="390"/>
      <c r="I34" s="391"/>
    </row>
    <row r="35" spans="1:9" ht="19.5" hidden="1" customHeight="1" x14ac:dyDescent="0.25">
      <c r="A35" s="397" t="s">
        <v>47</v>
      </c>
      <c r="B35" s="398"/>
      <c r="C35" s="399" t="s">
        <v>48</v>
      </c>
      <c r="D35" s="400"/>
      <c r="E35" s="400"/>
      <c r="F35" s="401"/>
      <c r="G35" s="389">
        <v>64</v>
      </c>
      <c r="H35" s="390"/>
      <c r="I35" s="391"/>
    </row>
    <row r="36" spans="1:9" ht="19.5" hidden="1" customHeight="1" x14ac:dyDescent="0.25">
      <c r="A36" s="397" t="s">
        <v>49</v>
      </c>
      <c r="B36" s="398"/>
      <c r="C36" s="399" t="s">
        <v>50</v>
      </c>
      <c r="D36" s="400"/>
      <c r="E36" s="400"/>
      <c r="F36" s="401"/>
      <c r="G36" s="389">
        <v>128</v>
      </c>
      <c r="H36" s="390"/>
      <c r="I36" s="391"/>
    </row>
  </sheetData>
  <sheetProtection algorithmName="SHA-512" hashValue="84DKJG3+RBZ9EvsMdTnxV474fFGA1xAJwlWkVa3kUeJFnfQITsgJzpAwlvZ3VGGUTkcFHzYFxGsIbHgyHtNBaw==" saltValue="kWRi8Q5waUyl/wLUydkZN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E13" sqref="E13"/>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1276</v>
      </c>
    </row>
    <row r="9" spans="1:57" x14ac:dyDescent="0.25">
      <c r="B9" s="340" t="str">
        <f>IF(LEFT(C8,1)="M","Note: SPC Chart is disabled when using your own forecast.","")</f>
        <v>Note: SPC Chart is disabled when using your own forecast.</v>
      </c>
    </row>
    <row r="10" spans="1:57" ht="13.95" customHeight="1" x14ac:dyDescent="0.25">
      <c r="B10" s="408" t="s">
        <v>128</v>
      </c>
      <c r="C10" s="408" t="s">
        <v>56</v>
      </c>
      <c r="D10" s="405" t="s">
        <v>1205</v>
      </c>
      <c r="E10" s="376" t="str">
        <f ca="1">OFFSET('Control sheet (hide)'!$AA$3,QUOTIENT(COLUMN(Demand!E9)-4,5),0,1,1)</f>
        <v>Test name 1</v>
      </c>
      <c r="F10" s="376"/>
      <c r="G10" s="376"/>
      <c r="H10" s="376"/>
      <c r="I10" s="376"/>
      <c r="J10" s="376" t="str">
        <f ca="1">OFFSET('Control sheet (hide)'!$AA$3,QUOTIENT(COLUMN(Demand!J9)-4,5),0,1,1)</f>
        <v>Test name 2</v>
      </c>
      <c r="K10" s="376"/>
      <c r="L10" s="376"/>
      <c r="M10" s="376"/>
      <c r="N10" s="376"/>
      <c r="O10" s="376" t="str">
        <f ca="1">OFFSET('Control sheet (hide)'!$AA$3,QUOTIENT(COLUMN(Demand!O9)-4,5),0,1,1)</f>
        <v>Another modality</v>
      </c>
      <c r="P10" s="376"/>
      <c r="Q10" s="376"/>
      <c r="R10" s="376"/>
      <c r="S10" s="376"/>
      <c r="T10" s="376" t="str">
        <f ca="1">OFFSET('Control sheet (hide)'!$AA$3,QUOTIENT(COLUMN(Demand!T9)-4,5),0,1,1)</f>
        <v>Modality 4</v>
      </c>
      <c r="U10" s="376"/>
      <c r="V10" s="376"/>
      <c r="W10" s="376"/>
      <c r="X10" s="376"/>
      <c r="Y10" s="376" t="str">
        <f ca="1">OFFSET('Control sheet (hide)'!$AA$3,QUOTIENT(COLUMN(Demand!Y9)-4,5),0,1,1)</f>
        <v>Modality 5</v>
      </c>
      <c r="Z10" s="376"/>
      <c r="AA10" s="376"/>
      <c r="AB10" s="376"/>
      <c r="AC10" s="376"/>
      <c r="AD10" s="376" t="str">
        <f ca="1">OFFSET('Control sheet (hide)'!$AA$3,QUOTIENT(COLUMN(Demand!AD9)-4,5),0,1,1)</f>
        <v>Modality 6</v>
      </c>
      <c r="AE10" s="376"/>
      <c r="AF10" s="376"/>
      <c r="AG10" s="376"/>
      <c r="AH10" s="376"/>
      <c r="AI10" s="376" t="str">
        <f ca="1">OFFSET('Control sheet (hide)'!$AA$3,QUOTIENT(COLUMN(Demand!AI9)-4,5),0,1,1)</f>
        <v>Modality 7</v>
      </c>
      <c r="AJ10" s="376"/>
      <c r="AK10" s="376"/>
      <c r="AL10" s="376"/>
      <c r="AM10" s="376"/>
      <c r="AN10" s="376" t="str">
        <f ca="1">OFFSET('Control sheet (hide)'!$AA$3,QUOTIENT(COLUMN(Demand!AN9)-4,5),0,1,1)</f>
        <v>Modality 8</v>
      </c>
      <c r="AO10" s="376"/>
      <c r="AP10" s="376"/>
      <c r="AQ10" s="376"/>
      <c r="AR10" s="376"/>
      <c r="AS10" s="376" t="str">
        <f ca="1">OFFSET('Control sheet (hide)'!$AA$3,QUOTIENT(COLUMN(Demand!AS9)-4,5),0,1,1)</f>
        <v>Modality 9</v>
      </c>
      <c r="AT10" s="376"/>
      <c r="AU10" s="376"/>
      <c r="AV10" s="376"/>
      <c r="AW10" s="376"/>
      <c r="AX10" s="376" t="str">
        <f ca="1">OFFSET('Control sheet (hide)'!$AA$3,QUOTIENT(COLUMN(Demand!AX9)-4,5),0,1,1)</f>
        <v>Modality 10</v>
      </c>
      <c r="AY10" s="376"/>
      <c r="AZ10" s="376"/>
      <c r="BA10" s="376"/>
      <c r="BB10" s="376"/>
      <c r="BC10" s="405" t="str">
        <f>"Total"&amp;IF(Setup!$I$17&lt;&gt;"Patients","
(Patients)","")</f>
        <v>Total
(Patients)</v>
      </c>
      <c r="BD10" s="405" t="str">
        <f>"Total
("&amp;Setup!$I$17&amp;")"</f>
        <v>Total
(Minutes)</v>
      </c>
      <c r="BE10" s="405" t="s">
        <v>111</v>
      </c>
    </row>
    <row r="11" spans="1:57" ht="14.25" customHeight="1" x14ac:dyDescent="0.25">
      <c r="B11" s="408"/>
      <c r="C11" s="408"/>
      <c r="D11" s="405"/>
      <c r="E11" s="377" t="str">
        <f>IF(Setup!$I$17&lt;&gt;"Patients",Setup!$I$17&amp;":","")</f>
        <v>Minutes:</v>
      </c>
      <c r="F11" s="341">
        <v>30</v>
      </c>
      <c r="G11" s="377"/>
      <c r="H11" s="377"/>
      <c r="I11" s="377"/>
      <c r="J11" s="377" t="str">
        <f>IF(Setup!$I$17&lt;&gt;"Patients",Setup!$I$17&amp;":","")</f>
        <v>Minutes:</v>
      </c>
      <c r="K11" s="341">
        <v>40</v>
      </c>
      <c r="L11" s="377"/>
      <c r="M11" s="377"/>
      <c r="N11" s="377"/>
      <c r="O11" s="377" t="str">
        <f>IF(Setup!$I$17&lt;&gt;"Patients",Setup!$I$17&amp;":","")</f>
        <v>Minutes:</v>
      </c>
      <c r="P11" s="341">
        <v>1</v>
      </c>
      <c r="Q11" s="377"/>
      <c r="R11" s="377"/>
      <c r="S11" s="377"/>
      <c r="T11" s="377" t="str">
        <f>IF(Setup!$I$17&lt;&gt;"Patients",Setup!$I$17&amp;":","")</f>
        <v>Minutes:</v>
      </c>
      <c r="U11" s="341">
        <v>1</v>
      </c>
      <c r="V11" s="377"/>
      <c r="W11" s="377"/>
      <c r="X11" s="377"/>
      <c r="Y11" s="377" t="str">
        <f>IF(Setup!$I$17&lt;&gt;"Patients",Setup!$I$17&amp;":","")</f>
        <v>Minutes:</v>
      </c>
      <c r="Z11" s="341">
        <v>1</v>
      </c>
      <c r="AA11" s="377"/>
      <c r="AB11" s="377"/>
      <c r="AC11" s="377"/>
      <c r="AD11" s="377" t="str">
        <f>IF(Setup!$I$17&lt;&gt;"Patients",Setup!$I$17&amp;":","")</f>
        <v>Minutes:</v>
      </c>
      <c r="AE11" s="341">
        <v>1</v>
      </c>
      <c r="AF11" s="377"/>
      <c r="AG11" s="377"/>
      <c r="AH11" s="377"/>
      <c r="AI11" s="377" t="str">
        <f>IF(Setup!$I$17&lt;&gt;"Patients",Setup!$I$17&amp;":","")</f>
        <v>Minutes:</v>
      </c>
      <c r="AJ11" s="341">
        <v>1</v>
      </c>
      <c r="AK11" s="377"/>
      <c r="AL11" s="377"/>
      <c r="AM11" s="377"/>
      <c r="AN11" s="377" t="str">
        <f>IF(Setup!$I$17&lt;&gt;"Patients",Setup!$I$17&amp;":","")</f>
        <v>Minutes:</v>
      </c>
      <c r="AO11" s="341">
        <v>1</v>
      </c>
      <c r="AP11" s="377"/>
      <c r="AQ11" s="377"/>
      <c r="AR11" s="377"/>
      <c r="AS11" s="377" t="str">
        <f>IF(Setup!$I$17&lt;&gt;"Patients",Setup!$I$17&amp;":","")</f>
        <v>Minutes:</v>
      </c>
      <c r="AT11" s="341">
        <v>1</v>
      </c>
      <c r="AU11" s="377"/>
      <c r="AV11" s="377"/>
      <c r="AW11" s="377"/>
      <c r="AX11" s="377" t="str">
        <f>IF(Setup!$I$17&lt;&gt;"Patients",Setup!$I$17&amp;":","")</f>
        <v>Minutes:</v>
      </c>
      <c r="AY11" s="341">
        <v>1</v>
      </c>
      <c r="AZ11" s="377"/>
      <c r="BA11" s="377"/>
      <c r="BB11" s="377"/>
      <c r="BC11" s="405"/>
      <c r="BD11" s="405"/>
      <c r="BE11" s="405"/>
    </row>
    <row r="12" spans="1:57" ht="14.4" thickBot="1" x14ac:dyDescent="0.3">
      <c r="B12" s="408"/>
      <c r="C12" s="409"/>
      <c r="D12" s="407"/>
      <c r="E12" s="377" t="str">
        <f ca="1">OFFSET(Setup!$B$21,MOD(COLUMN(A1),5),0,1,1)</f>
        <v>2WW</v>
      </c>
      <c r="F12" s="377" t="str">
        <f ca="1">OFFSET(Setup!$B$21,MOD(COLUMN(B1),5),0,1,1)</f>
        <v>Urgent</v>
      </c>
      <c r="G12" s="377" t="str">
        <f ca="1">OFFSET(Setup!$B$21,MOD(COLUMN(C1),5),0,1,1)</f>
        <v>Routine</v>
      </c>
      <c r="H12" s="377" t="s">
        <v>61</v>
      </c>
      <c r="I12" s="377" t="s">
        <v>57</v>
      </c>
      <c r="J12" s="377" t="str">
        <f ca="1">OFFSET(Setup!$B$21,MOD(COLUMN(F1),5),0,1,1)</f>
        <v>2WW</v>
      </c>
      <c r="K12" s="377" t="str">
        <f ca="1">OFFSET(Setup!$B$21,MOD(COLUMN(G1),5),0,1,1)</f>
        <v>Urgent</v>
      </c>
      <c r="L12" s="377" t="str">
        <f ca="1">OFFSET(Setup!$B$21,MOD(COLUMN(H1),5),0,1,1)</f>
        <v>Routine</v>
      </c>
      <c r="M12" s="377" t="s">
        <v>61</v>
      </c>
      <c r="N12" s="377" t="s">
        <v>57</v>
      </c>
      <c r="O12" s="377" t="str">
        <f ca="1">OFFSET(Setup!$B$21,MOD(COLUMN(K1),5),0,1,1)</f>
        <v>2WW</v>
      </c>
      <c r="P12" s="377" t="str">
        <f ca="1">OFFSET(Setup!$B$21,MOD(COLUMN(L1),5),0,1,1)</f>
        <v>Urgent</v>
      </c>
      <c r="Q12" s="377" t="str">
        <f ca="1">OFFSET(Setup!$B$21,MOD(COLUMN(M1),5),0,1,1)</f>
        <v>Routine</v>
      </c>
      <c r="R12" s="377" t="s">
        <v>61</v>
      </c>
      <c r="S12" s="377" t="s">
        <v>57</v>
      </c>
      <c r="T12" s="377" t="str">
        <f ca="1">OFFSET(Setup!$B$21,MOD(COLUMN(P1),5),0,1,1)</f>
        <v>2WW</v>
      </c>
      <c r="U12" s="377" t="str">
        <f ca="1">OFFSET(Setup!$B$21,MOD(COLUMN(Q1),5),0,1,1)</f>
        <v>Urgent</v>
      </c>
      <c r="V12" s="377" t="str">
        <f ca="1">OFFSET(Setup!$B$21,MOD(COLUMN(R1),5),0,1,1)</f>
        <v>Routine</v>
      </c>
      <c r="W12" s="377" t="s">
        <v>61</v>
      </c>
      <c r="X12" s="377" t="s">
        <v>57</v>
      </c>
      <c r="Y12" s="377" t="str">
        <f ca="1">OFFSET(Setup!$B$21,MOD(COLUMN(U1),5),0,1,1)</f>
        <v>2WW</v>
      </c>
      <c r="Z12" s="377" t="str">
        <f ca="1">OFFSET(Setup!$B$21,MOD(COLUMN(V1),5),0,1,1)</f>
        <v>Urgent</v>
      </c>
      <c r="AA12" s="377" t="str">
        <f ca="1">OFFSET(Setup!$B$21,MOD(COLUMN(W1),5),0,1,1)</f>
        <v>Routine</v>
      </c>
      <c r="AB12" s="377" t="s">
        <v>61</v>
      </c>
      <c r="AC12" s="377" t="s">
        <v>57</v>
      </c>
      <c r="AD12" s="377" t="str">
        <f ca="1">OFFSET(Setup!$B$21,MOD(COLUMN(Z1),5),0,1,1)</f>
        <v>2WW</v>
      </c>
      <c r="AE12" s="377" t="str">
        <f ca="1">OFFSET(Setup!$B$21,MOD(COLUMN(AA1),5),0,1,1)</f>
        <v>Urgent</v>
      </c>
      <c r="AF12" s="377" t="str">
        <f ca="1">OFFSET(Setup!$B$21,MOD(COLUMN(AB1),5),0,1,1)</f>
        <v>Routine</v>
      </c>
      <c r="AG12" s="377" t="s">
        <v>61</v>
      </c>
      <c r="AH12" s="377" t="s">
        <v>57</v>
      </c>
      <c r="AI12" s="377" t="str">
        <f ca="1">OFFSET(Setup!$B$21,MOD(COLUMN(AE1),5),0,1,1)</f>
        <v>2WW</v>
      </c>
      <c r="AJ12" s="377" t="str">
        <f ca="1">OFFSET(Setup!$B$21,MOD(COLUMN(AF1),5),0,1,1)</f>
        <v>Urgent</v>
      </c>
      <c r="AK12" s="377" t="str">
        <f ca="1">OFFSET(Setup!$B$21,MOD(COLUMN(AG1),5),0,1,1)</f>
        <v>Routine</v>
      </c>
      <c r="AL12" s="377" t="s">
        <v>61</v>
      </c>
      <c r="AM12" s="377" t="s">
        <v>57</v>
      </c>
      <c r="AN12" s="377" t="str">
        <f ca="1">OFFSET(Setup!$B$21,MOD(COLUMN(AJ1),5),0,1,1)</f>
        <v>2WW</v>
      </c>
      <c r="AO12" s="377" t="str">
        <f ca="1">OFFSET(Setup!$B$21,MOD(COLUMN(AK1),5),0,1,1)</f>
        <v>Urgent</v>
      </c>
      <c r="AP12" s="377" t="str">
        <f ca="1">OFFSET(Setup!$B$21,MOD(COLUMN(AL1),5),0,1,1)</f>
        <v>Routine</v>
      </c>
      <c r="AQ12" s="377" t="s">
        <v>61</v>
      </c>
      <c r="AR12" s="377" t="s">
        <v>57</v>
      </c>
      <c r="AS12" s="377" t="str">
        <f ca="1">OFFSET(Setup!$B$21,MOD(COLUMN(AO1),5),0,1,1)</f>
        <v>2WW</v>
      </c>
      <c r="AT12" s="377" t="str">
        <f ca="1">OFFSET(Setup!$B$21,MOD(COLUMN(AP1),5),0,1,1)</f>
        <v>Urgent</v>
      </c>
      <c r="AU12" s="377" t="str">
        <f ca="1">OFFSET(Setup!$B$21,MOD(COLUMN(AQ1),5),0,1,1)</f>
        <v>Routine</v>
      </c>
      <c r="AV12" s="377" t="s">
        <v>61</v>
      </c>
      <c r="AW12" s="377" t="s">
        <v>57</v>
      </c>
      <c r="AX12" s="377" t="str">
        <f ca="1">OFFSET(Setup!$B$21,MOD(COLUMN(AT1),5),0,1,1)</f>
        <v>2WW</v>
      </c>
      <c r="AY12" s="377" t="str">
        <f ca="1">OFFSET(Setup!$B$21,MOD(COLUMN(AU1),5),0,1,1)</f>
        <v>Urgent</v>
      </c>
      <c r="AZ12" s="377" t="str">
        <f ca="1">OFFSET(Setup!$B$21,MOD(COLUMN(AV1),5),0,1,1)</f>
        <v>Routine</v>
      </c>
      <c r="BA12" s="377" t="s">
        <v>61</v>
      </c>
      <c r="BB12" s="377" t="s">
        <v>57</v>
      </c>
      <c r="BC12" s="406"/>
      <c r="BD12" s="406"/>
      <c r="BE12" s="406"/>
    </row>
    <row r="13" spans="1:57" x14ac:dyDescent="0.25">
      <c r="A13">
        <v>1</v>
      </c>
      <c r="B13" s="259">
        <f>IF(C6&lt;&gt;"",YEAR(D13),1)</f>
        <v>2016</v>
      </c>
      <c r="C13" s="260">
        <f>IF(C$6&lt;&gt;"",WEEKNUM($C$6, 21),1)</f>
        <v>13</v>
      </c>
      <c r="D13" s="384">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5">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85">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85">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85">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85">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85">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85">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85">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85">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85">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85">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85">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85">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85">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85">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85">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85">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85">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85">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85">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85">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85">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85">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85">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85">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85">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85">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85">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85">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85">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85">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85">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85">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85">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85">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85">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85">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85">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85">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85">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85">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85">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85">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85">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85">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85">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85">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85">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85">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85">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86">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87">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87">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87">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87">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87">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87">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87">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87">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87">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87">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87">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87">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87">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7">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87">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87">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87">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87">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87">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87">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87">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87">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87">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87">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87">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87">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87">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87">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87">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87">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87">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87">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87">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87">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87">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87">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87">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87">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87">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87">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87">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87">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87">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87">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87">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87">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87">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87">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87">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87">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87">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87">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87">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87">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87">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87">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87">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87">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87">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87">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87">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87">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87">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87">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87">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87">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87">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87">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87">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87">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87">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87">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87">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87">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87">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87">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87">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7">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87">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87">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87">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87">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87">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87">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87">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87">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87">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87">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87">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87">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87">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87">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87">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87">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87">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87">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87">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87">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87">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87"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87"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87"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87"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87"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87"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87"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87"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87"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87"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87"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87"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87"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87"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87"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87"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87"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87"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87"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87"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87"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87"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87"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87"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87"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87"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87"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87"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87"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87"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87"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87"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87"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87"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87"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87"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87"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87"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87"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87"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87"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87"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7"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87"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87"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87"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87"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87"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87"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87"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87"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87"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87"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87"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87"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87"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87"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87"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87"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87"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87"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87"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87"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87"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87"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87"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87"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87"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87"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87"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87"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87"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87"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87"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87"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87"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87"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87"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87"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87"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87"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87"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87"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87"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87"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87"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87"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87"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87"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87"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87"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87"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87"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87"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87"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87"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87"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87"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87"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87"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87"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87"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87"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87"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87"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87"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7"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87"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87"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50Npnc714E4DhMj72KEoOzKf3T2RfKXZ2Y0Bvf1BWy3uWwL/55ExIXwM8WsCD7jXmwTcjOLikbFCxc3kI5OYg==" saltValue="ylWU5Lb3EBPW6zEUIhiJZ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0" priority="4">
      <formula>IF(ROW(C65)-12&lt;=$A$6,TRUE,FALSE)</formula>
    </cfRule>
  </conditionalFormatting>
  <conditionalFormatting sqref="BC65:BE272">
    <cfRule type="expression" dxfId="49" priority="3">
      <formula>IF(ROW(A65)-12&lt;=$A$6,TRUE,FALSE)</formula>
    </cfRule>
  </conditionalFormatting>
  <conditionalFormatting sqref="C65:BB272">
    <cfRule type="expression" dxfId="48"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2" t="str">
        <f>"Number of patients ("&amp;Setup!$I$17&amp;")"</f>
        <v>Number of patients (Minutes)</v>
      </c>
      <c r="E33" s="410" t="s">
        <v>1219</v>
      </c>
      <c r="F33" s="412"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3"/>
      <c r="E34" s="411"/>
      <c r="F34" s="413"/>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OrjsCBVXFQZHAcLzpAjTFTmw/YlS1pmHGloXWTmYACdd8/A1eoStJTCNoO4MwKDRZuCB66Se99NvkQjrcWeveA==" saltValue="LSxeINgUbUF0aeKfKMUBMw==" spinCount="100000" sheet="1" objects="1" scenarios="1"/>
  <mergeCells count="3">
    <mergeCell ref="E33:E34"/>
    <mergeCell ref="D33:D34"/>
    <mergeCell ref="F33:F34"/>
  </mergeCells>
  <conditionalFormatting sqref="F35:F36">
    <cfRule type="expression" dxfId="47" priority="2">
      <formula>IF($F35&lt;0,1,0)</formula>
    </cfRule>
  </conditionalFormatting>
  <conditionalFormatting sqref="A11:R33 A35:R39 A34:C34 G34:R34">
    <cfRule type="expression" dxfId="46"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3"/>
      <c r="C7" s="383"/>
    </row>
    <row r="8" spans="1:3" ht="14.25" customHeight="1" x14ac:dyDescent="0.25">
      <c r="A8" s="327" t="s">
        <v>187</v>
      </c>
      <c r="B8" s="383"/>
      <c r="C8" s="383" t="str">
        <f ca="1">IF('SPC background (hide)'!H7&lt;&gt;"",'SPC background (hide)'!H7&amp;" weeks","")</f>
        <v/>
      </c>
    </row>
    <row r="9" spans="1:3" ht="14.25" customHeight="1" x14ac:dyDescent="0.25">
      <c r="A9" s="327"/>
      <c r="B9" s="383"/>
      <c r="C9" s="383"/>
    </row>
    <row r="10" spans="1:3" ht="14.25" customHeight="1" x14ac:dyDescent="0.25">
      <c r="A10" s="327" t="s">
        <v>188</v>
      </c>
      <c r="B10" s="383"/>
      <c r="C10" s="383"/>
    </row>
    <row r="11" spans="1:3" ht="14.25" customHeight="1" x14ac:dyDescent="0.25">
      <c r="A11" s="327" t="s">
        <v>189</v>
      </c>
      <c r="B11" s="383"/>
      <c r="C11" s="383" t="str">
        <f ca="1">IF('SPC background (hide)'!H9&lt;&gt;"",'SPC background (hide)'!H9&amp;" weeks","")</f>
        <v/>
      </c>
    </row>
    <row r="12" spans="1:3" ht="14.25" customHeight="1" x14ac:dyDescent="0.25">
      <c r="A12" s="327"/>
      <c r="B12" s="383"/>
      <c r="C12" s="383"/>
    </row>
    <row r="13" spans="1:3" ht="14.25" customHeight="1" x14ac:dyDescent="0.25">
      <c r="A13" s="327" t="s">
        <v>190</v>
      </c>
      <c r="B13" s="383"/>
      <c r="C13" s="383"/>
    </row>
    <row r="14" spans="1:3" ht="14.25" customHeight="1" x14ac:dyDescent="0.25">
      <c r="A14" s="327" t="s">
        <v>191</v>
      </c>
      <c r="B14" s="383"/>
      <c r="C14" s="38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UWd76UrWKKe5BJ1/cQh902e04j8pVvmalKtwjYKmcOdAeVjyKrT7ZcurklPcDXoqDQGbCQ11b0ZzDpND2xF6GA==" saltValue="Hkm/vUTsrvLt8qgp7xVS0g==" spinCount="100000" sheet="1" objects="1" scenarios="1"/>
  <conditionalFormatting sqref="C19">
    <cfRule type="expression" dxfId="45"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2" t="s">
        <v>24</v>
      </c>
      <c r="D6" s="394"/>
    </row>
    <row r="8" spans="1:20" x14ac:dyDescent="0.25">
      <c r="B8" t="s">
        <v>218</v>
      </c>
      <c r="C8" s="210"/>
    </row>
    <row r="10" spans="1:20" ht="13.95" customHeight="1" x14ac:dyDescent="0.25">
      <c r="B10" s="415" t="s">
        <v>128</v>
      </c>
      <c r="C10" s="415" t="s">
        <v>56</v>
      </c>
      <c r="D10" s="415"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25">
      <c r="B11" s="415"/>
      <c r="C11" s="415"/>
      <c r="D11" s="415"/>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25">
      <c r="B12" s="415"/>
      <c r="C12" s="415"/>
      <c r="D12" s="415"/>
      <c r="E12" s="6"/>
      <c r="F12" s="6"/>
      <c r="G12" s="6"/>
      <c r="H12" s="6"/>
      <c r="I12" s="6"/>
      <c r="J12" s="6"/>
      <c r="K12" s="6"/>
      <c r="L12" s="6"/>
      <c r="M12" s="6"/>
      <c r="N12" s="6"/>
      <c r="O12" s="6"/>
      <c r="P12" s="414"/>
      <c r="Q12" s="414"/>
      <c r="R12" s="414"/>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EpxXR2mC1R902n2jQ2BtX3McKIG19R5mn1WF+dPqH7qx9WwY+2x1LRck4CxrZExkUs2V9Q2xK7qCSGLkVQXAQ==" saltValue="Bcva0nxECblL94WvyQz+oQ==" spinCount="100000" sheet="1" objects="1" scenarios="1"/>
  <mergeCells count="7">
    <mergeCell ref="C6:D6"/>
    <mergeCell ref="R10:R12"/>
    <mergeCell ref="B10:B12"/>
    <mergeCell ref="C10:C12"/>
    <mergeCell ref="D10:D12"/>
    <mergeCell ref="P10:P12"/>
    <mergeCell ref="Q10:Q12"/>
  </mergeCells>
  <conditionalFormatting sqref="B13:R64">
    <cfRule type="expression" dxfId="43"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C11" sqref="C1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5">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6" t="s">
        <v>440</v>
      </c>
      <c r="C13" s="416"/>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28957.5</v>
      </c>
      <c r="I15" s="225">
        <f>H15/52</f>
        <v>556.875</v>
      </c>
      <c r="J15" s="67"/>
      <c r="K15" s="67"/>
      <c r="L15" s="67"/>
      <c r="M15" s="370"/>
      <c r="N15" s="72"/>
      <c r="O15" s="72"/>
      <c r="P15" s="72"/>
      <c r="Q15" s="72"/>
      <c r="R15" s="119" t="s">
        <v>255</v>
      </c>
      <c r="S15" s="119"/>
      <c r="T15" s="224">
        <f>SUM(T17:T116)</f>
        <v>2440.8620689655177</v>
      </c>
      <c r="U15" s="224">
        <f>SUM(U17:U116)</f>
        <v>46.939655172413801</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110.94827586206898</v>
      </c>
      <c r="G17" s="130"/>
      <c r="H17" s="222">
        <f>IF(ROW(A1)&lt;=$A$16,F17*E17,"")</f>
        <v>3328.4482758620693</v>
      </c>
      <c r="I17" s="300">
        <f>IFERROR(H17/52,"")</f>
        <v>64.008620689655174</v>
      </c>
      <c r="J17" s="67"/>
      <c r="K17" s="67"/>
      <c r="L17" s="363" t="s">
        <v>1243</v>
      </c>
      <c r="M17" s="294">
        <f>IF(N17&lt;&gt;"",ROW(A1),0)</f>
        <v>1</v>
      </c>
      <c r="N17" s="176" t="s">
        <v>1281</v>
      </c>
      <c r="O17" s="176"/>
      <c r="P17" s="176"/>
      <c r="Q17" s="177">
        <v>10</v>
      </c>
      <c r="R17" s="177">
        <v>110.94827586206898</v>
      </c>
      <c r="S17" s="131"/>
      <c r="T17" s="223">
        <f>IF(ROW(A1)&lt;=$M$16,R17*Q17,"")</f>
        <v>1109.4827586206898</v>
      </c>
      <c r="U17" s="301">
        <f>IFERROR(T17/52,"")</f>
        <v>21.336206896551726</v>
      </c>
      <c r="V17" s="364" t="s">
        <v>1243</v>
      </c>
      <c r="W17" s="72"/>
    </row>
    <row r="18" spans="1:23" x14ac:dyDescent="0.25">
      <c r="A18" s="293">
        <f t="shared" ref="A18:A81" si="0">IF(B18&lt;&gt;"",ROW(A2),0)</f>
        <v>2</v>
      </c>
      <c r="B18" s="163" t="s">
        <v>1257</v>
      </c>
      <c r="C18" s="163" t="s">
        <v>1256</v>
      </c>
      <c r="D18" s="163"/>
      <c r="E18" s="175">
        <v>30</v>
      </c>
      <c r="F18" s="175">
        <v>110.94827586206898</v>
      </c>
      <c r="G18" s="130"/>
      <c r="H18" s="222">
        <f t="shared" ref="H18:H81" si="1">IF(ROW(A2)&lt;=$A$16,F18*E18,"")</f>
        <v>3328.4482758620693</v>
      </c>
      <c r="I18" s="300">
        <f t="shared" ref="I18:I81" si="2">IFERROR(H18/52,"")</f>
        <v>64.008620689655174</v>
      </c>
      <c r="J18" s="67"/>
      <c r="K18" s="67"/>
      <c r="L18" s="363" t="s">
        <v>1243</v>
      </c>
      <c r="M18" s="294">
        <f t="shared" ref="M18:M81" si="3">IF(N18&lt;&gt;"",ROW(A2),0)</f>
        <v>2</v>
      </c>
      <c r="N18" s="176" t="s">
        <v>1262</v>
      </c>
      <c r="O18" s="163"/>
      <c r="P18" s="163"/>
      <c r="Q18" s="175">
        <v>12</v>
      </c>
      <c r="R18" s="175">
        <v>110.94827586206898</v>
      </c>
      <c r="S18" s="130"/>
      <c r="T18" s="223">
        <f t="shared" ref="T18:T81" si="4">IF(ROW(A2)&lt;=$M$16,R18*Q18,"")</f>
        <v>1331.3793103448279</v>
      </c>
      <c r="U18" s="300">
        <f t="shared" ref="U18:U81" si="5">IFERROR(T18/52,"")</f>
        <v>25.603448275862075</v>
      </c>
      <c r="V18" s="364" t="s">
        <v>1243</v>
      </c>
      <c r="W18" s="72"/>
    </row>
    <row r="19" spans="1:23" x14ac:dyDescent="0.25">
      <c r="A19" s="293">
        <f t="shared" si="0"/>
        <v>3</v>
      </c>
      <c r="B19" s="163" t="s">
        <v>1258</v>
      </c>
      <c r="C19" s="163" t="s">
        <v>1259</v>
      </c>
      <c r="D19" s="163"/>
      <c r="E19" s="175">
        <v>21</v>
      </c>
      <c r="F19" s="175">
        <v>110.94827586206898</v>
      </c>
      <c r="G19" s="130"/>
      <c r="H19" s="222">
        <f t="shared" si="1"/>
        <v>2329.9137931034488</v>
      </c>
      <c r="I19" s="300">
        <f t="shared" si="2"/>
        <v>44.806034482758633</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369.82758620689657</v>
      </c>
      <c r="G20" s="130"/>
      <c r="H20" s="222">
        <f t="shared" si="1"/>
        <v>4437.9310344827591</v>
      </c>
      <c r="I20" s="300">
        <f t="shared" si="2"/>
        <v>85.344827586206904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1280</v>
      </c>
      <c r="C21" s="163" t="s">
        <v>1279</v>
      </c>
      <c r="D21" s="163"/>
      <c r="E21" s="175">
        <v>42</v>
      </c>
      <c r="F21" s="175">
        <v>369.82758620689657</v>
      </c>
      <c r="G21" s="130"/>
      <c r="H21" s="222">
        <f t="shared" si="1"/>
        <v>15532.758620689656</v>
      </c>
      <c r="I21" s="222">
        <f t="shared" si="2"/>
        <v>298.70689655172413</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LX73RGgLDWD/DA9PmJpUdddDL2i25kh7dWH9WHdbePx9rPOImEOSGTMyrwjv89RDfKH3vLHslttwhy7Yuyl7NA==" saltValue="HYhlCBJrMs6EMpL1Av+1yA==" spinCount="100000" sheet="1" objects="1" scenarios="1"/>
  <mergeCells count="1">
    <mergeCell ref="B13:C13"/>
  </mergeCells>
  <phoneticPr fontId="77" type="noConversion"/>
  <conditionalFormatting sqref="B17:I116">
    <cfRule type="expression" dxfId="40" priority="12">
      <formula>IF(ROW(B17)-16&lt;=$A$16,TRUE, FALSE)</formula>
    </cfRule>
  </conditionalFormatting>
  <conditionalFormatting sqref="N17:U116">
    <cfRule type="expression" dxfId="39" priority="11">
      <formula>IF(ROW(N17)-16&lt;=$M$16,TRUE, FALSE)</formula>
    </cfRule>
  </conditionalFormatting>
  <conditionalFormatting sqref="L17:L116">
    <cfRule type="expression" dxfId="38" priority="10">
      <formula>IF(ROW(L17)-16&lt;=$A$16,TRUE, FALSE)</formula>
    </cfRule>
  </conditionalFormatting>
  <conditionalFormatting sqref="V17:V116">
    <cfRule type="expression" dxfId="37" priority="4">
      <formula>IF(ROW(V17)-16&lt;=$M$16,TRUE, FALSE)</formula>
    </cfRule>
  </conditionalFormatting>
  <conditionalFormatting sqref="L17:L116 B17:F116">
    <cfRule type="expression" dxfId="36" priority="3">
      <formula>IF(OR(LOWER($L17)="x",$A17=0),FALSE,TRUE)</formula>
    </cfRule>
  </conditionalFormatting>
  <conditionalFormatting sqref="N17:R116 V17:V116">
    <cfRule type="expression" dxfId="35"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1" t="s">
        <v>475</v>
      </c>
      <c r="E8" s="421"/>
      <c r="F8" s="421"/>
      <c r="G8" s="421"/>
      <c r="H8" s="421"/>
      <c r="I8" s="421"/>
      <c r="J8" s="421"/>
      <c r="K8" s="421"/>
      <c r="L8" s="108"/>
      <c r="M8" s="106"/>
      <c r="N8" s="106"/>
      <c r="O8" s="108"/>
      <c r="P8" s="106"/>
      <c r="Q8" s="106"/>
      <c r="S8" s="78"/>
    </row>
    <row r="10" spans="1:19" x14ac:dyDescent="0.25">
      <c r="D10" s="419" t="s">
        <v>444</v>
      </c>
      <c r="E10" s="420"/>
      <c r="F10" s="112"/>
      <c r="G10" s="417" t="s">
        <v>445</v>
      </c>
      <c r="H10" s="418"/>
      <c r="I10" s="112"/>
      <c r="J10" s="419" t="s">
        <v>446</v>
      </c>
      <c r="K10" s="420"/>
      <c r="L10" s="112"/>
      <c r="M10" s="417" t="s">
        <v>447</v>
      </c>
      <c r="N10" s="418"/>
      <c r="O10" s="112"/>
      <c r="P10" s="419" t="s">
        <v>448</v>
      </c>
      <c r="Q10" s="420"/>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1267</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1268</v>
      </c>
      <c r="D13" s="174">
        <v>43815</v>
      </c>
      <c r="E13" s="174">
        <v>43849</v>
      </c>
      <c r="F13" s="111"/>
      <c r="G13" s="174"/>
      <c r="H13" s="174"/>
      <c r="J13" s="174"/>
      <c r="K13" s="174"/>
      <c r="M13" s="174"/>
      <c r="N13" s="174"/>
      <c r="P13" s="174"/>
      <c r="Q13" s="174"/>
    </row>
    <row r="14" spans="1:19" x14ac:dyDescent="0.25">
      <c r="A14" s="74">
        <f t="shared" si="0"/>
        <v>3</v>
      </c>
      <c r="B14" s="172" t="s">
        <v>1269</v>
      </c>
      <c r="D14" s="174">
        <v>43682</v>
      </c>
      <c r="E14" s="174">
        <v>43723</v>
      </c>
      <c r="F14" s="111"/>
      <c r="G14" s="174"/>
      <c r="H14" s="174"/>
      <c r="J14" s="174"/>
      <c r="K14" s="174"/>
      <c r="M14" s="174"/>
      <c r="N14" s="174"/>
      <c r="P14" s="174"/>
      <c r="Q14" s="174"/>
    </row>
    <row r="15" spans="1:19" x14ac:dyDescent="0.25">
      <c r="A15" s="74">
        <f t="shared" si="0"/>
        <v>4</v>
      </c>
      <c r="B15" s="172" t="s">
        <v>1270</v>
      </c>
      <c r="D15" s="174"/>
      <c r="E15" s="174"/>
      <c r="G15" s="174"/>
      <c r="H15" s="174"/>
      <c r="J15" s="174"/>
      <c r="K15" s="174"/>
      <c r="M15" s="174"/>
      <c r="N15" s="174"/>
      <c r="P15" s="174"/>
      <c r="Q15" s="174"/>
    </row>
    <row r="16" spans="1:19" x14ac:dyDescent="0.25">
      <c r="A16" s="74">
        <f t="shared" si="0"/>
        <v>5</v>
      </c>
      <c r="B16" s="172" t="s">
        <v>1271</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4" priority="4">
      <formula>IF($B12="",FALSE, TRUE)</formula>
    </cfRule>
  </conditionalFormatting>
  <conditionalFormatting sqref="E12:E111 H12:H111 K12:K111 N12:N111 Q12:Q111">
    <cfRule type="expression" dxfId="33"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2" t="s">
        <v>473</v>
      </c>
      <c r="C1" s="422"/>
      <c r="D1" s="422"/>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1272</v>
      </c>
      <c r="D12" s="132"/>
      <c r="E12" s="132"/>
      <c r="F12" s="215">
        <f>IF(ROW(A1)&lt;=Capacity!$A$16,Capacity!E17,"")</f>
        <v>30</v>
      </c>
      <c r="G12" s="216">
        <f>IF(ROW(A1)&lt;=Capacity!$A$16,'Capacity calculation (hide)'!BH5,"")</f>
        <v>19</v>
      </c>
      <c r="H12" s="215">
        <f>IF(ROW(A1)&lt;=Capacity!$A$16,Capacity!H17,"")</f>
        <v>3328.4482758620693</v>
      </c>
      <c r="I12" s="217">
        <f>IF(ROW(A1)&lt;=Capacity!$A$16,'Capacity calculation (hide)'!DK5,"")</f>
        <v>38</v>
      </c>
      <c r="J12" s="218" t="str">
        <f>IFERROR(IF(G12-F12 &lt;0, "Under","Over"),"")</f>
        <v>Under</v>
      </c>
    </row>
    <row r="13" spans="1:11" x14ac:dyDescent="0.25">
      <c r="B13" s="218" t="str">
        <f>IF(Capacity!B18=0,"",Capacity!B18)</f>
        <v>Core Clinic 2</v>
      </c>
      <c r="C13" s="132" t="s">
        <v>1272</v>
      </c>
      <c r="D13" s="132" t="s">
        <v>1273</v>
      </c>
      <c r="E13" s="132"/>
      <c r="F13" s="215">
        <f>IF(ROW(A2)&lt;=Capacity!$A$16,Capacity!E18,"")</f>
        <v>30</v>
      </c>
      <c r="G13" s="216">
        <f ca="1">IF(ROW(A2)&lt;=Capacity!$A$16,'Capacity calculation (hide)'!BH6,"")</f>
        <v>52</v>
      </c>
      <c r="H13" s="215">
        <f>IF(ROW(A2)&lt;=Capacity!$A$16,Capacity!H18,"")</f>
        <v>3328.4482758620693</v>
      </c>
      <c r="I13" s="217">
        <f ca="1">IF(ROW(A2)&lt;=Capacity!$A$16,'Capacity calculation (hide)'!DK6,"")</f>
        <v>3328.4482758620711</v>
      </c>
      <c r="J13" s="218" t="str">
        <f t="shared" ref="J13:J76" ca="1" si="0">IFERROR(IF(G13-F13 &lt;0, "Under","Over"),"")</f>
        <v>Over</v>
      </c>
    </row>
    <row r="14" spans="1:11" x14ac:dyDescent="0.25">
      <c r="B14" s="218" t="str">
        <f>IF(Capacity!B19=0,"",Capacity!B19)</f>
        <v>Core Clinic 3</v>
      </c>
      <c r="C14" s="132" t="s">
        <v>1273</v>
      </c>
      <c r="D14" s="132" t="s">
        <v>1274</v>
      </c>
      <c r="E14" s="132"/>
      <c r="F14" s="215">
        <f>IF(ROW(A3)&lt;=Capacity!$A$16,Capacity!E19,"")</f>
        <v>21</v>
      </c>
      <c r="G14" s="216">
        <f ca="1">IF(ROW(A3)&lt;=Capacity!$A$16,'Capacity calculation (hide)'!BH7,"")</f>
        <v>52</v>
      </c>
      <c r="H14" s="215">
        <f>IF(ROW(A3)&lt;=Capacity!$A$16,Capacity!H19,"")</f>
        <v>2329.9137931034488</v>
      </c>
      <c r="I14" s="217">
        <f ca="1">IF(ROW(A3)&lt;=Capacity!$A$16,'Capacity calculation (hide)'!DK7,"")</f>
        <v>2329.9137931034479</v>
      </c>
      <c r="J14" s="218" t="str">
        <f t="shared" ca="1" si="0"/>
        <v>Over</v>
      </c>
    </row>
    <row r="15" spans="1:11" x14ac:dyDescent="0.25">
      <c r="B15" s="218" t="str">
        <f>IF(Capacity!B20=0,"",Capacity!B20)</f>
        <v>Core Clinic 4</v>
      </c>
      <c r="C15" s="132" t="s">
        <v>1274</v>
      </c>
      <c r="D15" s="132"/>
      <c r="E15" s="132"/>
      <c r="F15" s="215">
        <f>IF(ROW(A4)&lt;=Capacity!$A$16,Capacity!E20,"")</f>
        <v>12</v>
      </c>
      <c r="G15" s="216">
        <f ca="1">IF(ROW(A4)&lt;=Capacity!$A$16,'Capacity calculation (hide)'!BH8,"")</f>
        <v>52</v>
      </c>
      <c r="H15" s="215">
        <f>IF(ROW(A4)&lt;=Capacity!$A$16,Capacity!H20,"")</f>
        <v>4437.9310344827591</v>
      </c>
      <c r="I15" s="217">
        <f ca="1">IF(ROW(A4)&lt;=Capacity!$A$16,'Capacity calculation (hide)'!DK8,"")</f>
        <v>4437.9310344827591</v>
      </c>
      <c r="J15" s="218" t="str">
        <f t="shared" ca="1"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38</v>
      </c>
      <c r="H16" s="215">
        <f>IF(ROW(A5)&lt;=Capacity!$A$16,Capacity!H21,"")</f>
        <v>15532.758620689656</v>
      </c>
      <c r="I16" s="217">
        <f>IF(ROW(A5)&lt;=Capacity!$A$16,'Capacity calculation (hide)'!DK9,"")</f>
        <v>38</v>
      </c>
      <c r="J16" s="218" t="str">
        <f t="shared" si="0"/>
        <v>Under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1274</v>
      </c>
      <c r="D118" s="132"/>
      <c r="E118" s="132"/>
      <c r="F118" s="215">
        <f>IF(ROW(A1)&lt;=Capacity!$M$16,Capacity!Q17,"")</f>
        <v>10</v>
      </c>
      <c r="G118" s="321">
        <f ca="1">IF(ROW(A1)&lt;=Capacity!$M$16,'Capacity calculation (hide)'!BH112,"")</f>
        <v>52</v>
      </c>
      <c r="H118" s="215">
        <f>IF(ROW(A1)&lt;=Capacity!$M$16,Capacity!T17,"")</f>
        <v>1109.4827586206898</v>
      </c>
      <c r="I118" s="217">
        <f ca="1">IF(ROW(A1)&lt;=Capacity!$M$16,'Capacity calculation (hide)'!DK111,"")</f>
        <v>2440.8620689655177</v>
      </c>
      <c r="J118" s="218" t="str">
        <f ca="1">IFERROR(IF(G118-F118 &lt;0, "Under","Over"),"")</f>
        <v>Over</v>
      </c>
    </row>
    <row r="119" spans="2:10" hidden="1" x14ac:dyDescent="0.25">
      <c r="B119" s="218" t="str">
        <f>IF(Capacity!N18=0,"",Capacity!N18)</f>
        <v>Ad Hoc 2</v>
      </c>
      <c r="C119" s="132" t="s">
        <v>1274</v>
      </c>
      <c r="D119" s="132" t="s">
        <v>1273</v>
      </c>
      <c r="E119" s="132"/>
      <c r="F119" s="215">
        <f>IF(ROW(A2)&lt;=Capacity!$M$16,Capacity!Q18,"")</f>
        <v>12</v>
      </c>
      <c r="G119" s="321">
        <f ca="1">IF(ROW(A2)&lt;=Capacity!$M$16,'Capacity calculation (hide)'!BH113,"")</f>
        <v>52</v>
      </c>
      <c r="H119" s="215">
        <f>IF(ROW(A2)&lt;=Capacity!$M$16,Capacity!T18,"")</f>
        <v>1331.3793103448279</v>
      </c>
      <c r="I119" s="217">
        <f ca="1">IF(ROW(A2)&lt;=Capacity!$M$16,'Capacity calculation (hide)'!DK112,"")</f>
        <v>1109.4827586206898</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30" priority="4">
      <formula>IF($B12="",FALSE,TRUE)</formula>
    </cfRule>
  </conditionalFormatting>
  <conditionalFormatting sqref="B12:B111 F12:I111">
    <cfRule type="expression" dxfId="29" priority="3">
      <formula>IF($B12="",FALSE, TRUE)</formula>
    </cfRule>
  </conditionalFormatting>
  <conditionalFormatting sqref="B118:J217">
    <cfRule type="expression" dxfId="28" priority="2">
      <formula>IF($B118="",FALSE,TRUE)</formula>
    </cfRule>
  </conditionalFormatting>
  <conditionalFormatting sqref="B118:B217 F118:I217">
    <cfRule type="expression" dxfId="2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AA126" sqref="AA126"/>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10172.293103448277</v>
      </c>
      <c r="D4" s="221">
        <f ca="1">'Capacity calculation (hide)'!DK111</f>
        <v>2440.8620689655177</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2" t="s">
        <v>57</v>
      </c>
      <c r="D10" s="393"/>
      <c r="E10" s="39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2" t="s">
        <v>57</v>
      </c>
      <c r="D11" s="393"/>
      <c r="E11" s="39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3" t="s">
        <v>1275</v>
      </c>
      <c r="C21" s="426" t="s">
        <v>486</v>
      </c>
      <c r="D21" s="427"/>
      <c r="E21" s="430" t="s">
        <v>483</v>
      </c>
      <c r="F21" s="431"/>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4"/>
      <c r="C22" s="428"/>
      <c r="D22" s="429"/>
      <c r="E22" s="432"/>
      <c r="F22" s="43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5"/>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110.94827586206898</v>
      </c>
      <c r="E24" s="220">
        <f ca="1">IF(B24="","",IF(COUNTBLANK(H24:BG24)=52,SUM('Capacity calculation (hide)'!H112:BG112),52-COUNTBLANK(H24:BG24)))</f>
        <v>52</v>
      </c>
      <c r="F24" s="311">
        <f ca="1">'Capacity calculation (hide)'!BI112</f>
        <v>21.336206896551726</v>
      </c>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66"/>
      <c r="BI24" s="343" t="s">
        <v>1243</v>
      </c>
      <c r="BJ24" s="66"/>
      <c r="BK24" s="66"/>
      <c r="BL24" s="66"/>
    </row>
    <row r="25" spans="2:64" hidden="1" x14ac:dyDescent="0.25">
      <c r="B25" s="219" t="str">
        <f>IF(Capacity!N18="","",Capacity!N18)</f>
        <v>Ad Hoc 2</v>
      </c>
      <c r="C25" s="220">
        <f>IF(B25="","",Capacity!Q18)</f>
        <v>12</v>
      </c>
      <c r="D25" s="310">
        <f>IF(B25="","",Capacity!R18)</f>
        <v>110.94827586206898</v>
      </c>
      <c r="E25" s="220">
        <f ca="1">IF(B25="","",IF(COUNTBLANK(H25:BG25)=52,SUM('Capacity calculation (hide)'!H113:BG113),52-COUNTBLANK(H25:BG25)))</f>
        <v>52</v>
      </c>
      <c r="F25" s="311">
        <f ca="1">'Capacity calculation (hide)'!BI113</f>
        <v>25.603448275862075</v>
      </c>
      <c r="H25" s="367"/>
      <c r="I25" s="366"/>
      <c r="J25" s="366"/>
      <c r="K25" s="366"/>
      <c r="L25" s="366"/>
      <c r="M25" s="366"/>
      <c r="N25" s="366"/>
      <c r="O25" s="366"/>
      <c r="P25" s="366"/>
      <c r="Q25" s="366"/>
      <c r="R25" s="366"/>
      <c r="S25" s="366"/>
      <c r="T25" s="366"/>
      <c r="U25" s="366"/>
      <c r="V25" s="366"/>
      <c r="W25" s="366"/>
      <c r="X25" s="366"/>
      <c r="Y25" s="366"/>
      <c r="Z25" s="366"/>
      <c r="AA25" s="366"/>
      <c r="AB25" s="366"/>
      <c r="AC25" s="366"/>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c r="AZ25" s="366"/>
      <c r="BA25" s="366"/>
      <c r="BB25" s="366"/>
      <c r="BC25" s="366"/>
      <c r="BD25" s="366"/>
      <c r="BE25" s="366"/>
      <c r="BF25" s="366"/>
      <c r="BG25" s="368"/>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c r="I26" s="366"/>
      <c r="J26" s="366"/>
      <c r="K26" s="366"/>
      <c r="L26" s="366"/>
      <c r="M26" s="366"/>
      <c r="N26" s="366"/>
      <c r="O26" s="366"/>
      <c r="P26" s="366"/>
      <c r="Q26" s="366"/>
      <c r="R26" s="366"/>
      <c r="S26" s="366"/>
      <c r="T26" s="366"/>
      <c r="U26" s="366"/>
      <c r="V26" s="366"/>
      <c r="W26" s="366"/>
      <c r="X26" s="366"/>
      <c r="Y26" s="366"/>
      <c r="Z26" s="366"/>
      <c r="AA26" s="366"/>
      <c r="AB26" s="366"/>
      <c r="AC26" s="366"/>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c r="AZ26" s="366"/>
      <c r="BA26" s="366"/>
      <c r="BB26" s="366"/>
      <c r="BC26" s="366"/>
      <c r="BD26" s="366"/>
      <c r="BE26" s="366"/>
      <c r="BF26" s="366"/>
      <c r="BG26" s="366"/>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c r="I27" s="366"/>
      <c r="J27" s="366"/>
      <c r="K27" s="366"/>
      <c r="L27" s="366"/>
      <c r="M27" s="366"/>
      <c r="N27" s="366"/>
      <c r="O27" s="366"/>
      <c r="P27" s="366"/>
      <c r="Q27" s="366"/>
      <c r="R27" s="366"/>
      <c r="S27" s="366"/>
      <c r="T27" s="366"/>
      <c r="U27" s="366"/>
      <c r="V27" s="366"/>
      <c r="W27" s="366"/>
      <c r="X27" s="366"/>
      <c r="Y27" s="366"/>
      <c r="Z27" s="366"/>
      <c r="AA27" s="366"/>
      <c r="AB27" s="366"/>
      <c r="AC27" s="366"/>
      <c r="AD27" s="365"/>
      <c r="AE27" s="365"/>
      <c r="AF27" s="365"/>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65"/>
      <c r="BE27" s="365"/>
      <c r="BF27" s="365"/>
      <c r="BG27" s="365"/>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c r="I28" s="366"/>
      <c r="J28" s="366"/>
      <c r="K28" s="366"/>
      <c r="L28" s="366"/>
      <c r="M28" s="366"/>
      <c r="N28" s="366"/>
      <c r="O28" s="366"/>
      <c r="P28" s="366"/>
      <c r="Q28" s="366"/>
      <c r="R28" s="366"/>
      <c r="S28" s="366"/>
      <c r="T28" s="366"/>
      <c r="U28" s="366"/>
      <c r="V28" s="366"/>
      <c r="W28" s="366"/>
      <c r="X28" s="366"/>
      <c r="Y28" s="366"/>
      <c r="Z28" s="366"/>
      <c r="AA28" s="366"/>
      <c r="AB28" s="366"/>
      <c r="AC28" s="366"/>
      <c r="AD28" s="365"/>
      <c r="AE28" s="365"/>
      <c r="AF28" s="365"/>
      <c r="AG28" s="365"/>
      <c r="AH28" s="365"/>
      <c r="AI28" s="365"/>
      <c r="AJ28" s="365"/>
      <c r="AK28" s="365"/>
      <c r="AL28" s="365"/>
      <c r="AM28" s="365"/>
      <c r="AN28" s="365"/>
      <c r="AO28" s="365"/>
      <c r="AP28" s="365"/>
      <c r="AQ28" s="365"/>
      <c r="AR28" s="365"/>
      <c r="AS28" s="365"/>
      <c r="AT28" s="365"/>
      <c r="AU28" s="365"/>
      <c r="AV28" s="365"/>
      <c r="AW28" s="365"/>
      <c r="AX28" s="365"/>
      <c r="AY28" s="365"/>
      <c r="AZ28" s="365"/>
      <c r="BA28" s="365"/>
      <c r="BB28" s="365"/>
      <c r="BC28" s="365"/>
      <c r="BD28" s="365"/>
      <c r="BE28" s="365"/>
      <c r="BF28" s="365"/>
      <c r="BG28" s="365"/>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c r="I29" s="366"/>
      <c r="J29" s="366"/>
      <c r="K29" s="366"/>
      <c r="L29" s="366"/>
      <c r="M29" s="366"/>
      <c r="N29" s="366"/>
      <c r="O29" s="366"/>
      <c r="P29" s="366"/>
      <c r="Q29" s="366"/>
      <c r="R29" s="366"/>
      <c r="S29" s="366"/>
      <c r="T29" s="366"/>
      <c r="U29" s="366"/>
      <c r="V29" s="366"/>
      <c r="W29" s="366"/>
      <c r="X29" s="366"/>
      <c r="Y29" s="366"/>
      <c r="Z29" s="366"/>
      <c r="AA29" s="366"/>
      <c r="AB29" s="366"/>
      <c r="AC29" s="366"/>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c r="I30" s="366"/>
      <c r="J30" s="366"/>
      <c r="K30" s="366"/>
      <c r="L30" s="366"/>
      <c r="M30" s="366"/>
      <c r="N30" s="366"/>
      <c r="O30" s="366"/>
      <c r="P30" s="366"/>
      <c r="Q30" s="366"/>
      <c r="R30" s="366"/>
      <c r="S30" s="366"/>
      <c r="T30" s="366"/>
      <c r="U30" s="366"/>
      <c r="V30" s="366"/>
      <c r="W30" s="366"/>
      <c r="X30" s="366"/>
      <c r="Y30" s="366"/>
      <c r="Z30" s="366"/>
      <c r="AA30" s="366"/>
      <c r="AB30" s="366"/>
      <c r="AC30" s="366"/>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c r="I31" s="366"/>
      <c r="J31" s="366"/>
      <c r="K31" s="366"/>
      <c r="L31" s="366"/>
      <c r="M31" s="366"/>
      <c r="N31" s="366"/>
      <c r="O31" s="366"/>
      <c r="P31" s="366"/>
      <c r="Q31" s="366"/>
      <c r="R31" s="366"/>
      <c r="S31" s="366"/>
      <c r="T31" s="366"/>
      <c r="U31" s="366"/>
      <c r="V31" s="366"/>
      <c r="W31" s="366"/>
      <c r="X31" s="366"/>
      <c r="Y31" s="366"/>
      <c r="Z31" s="366"/>
      <c r="AA31" s="366"/>
      <c r="AB31" s="366"/>
      <c r="AC31" s="366"/>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c r="I32" s="366"/>
      <c r="J32" s="366"/>
      <c r="K32" s="366"/>
      <c r="L32" s="366"/>
      <c r="M32" s="366"/>
      <c r="N32" s="366"/>
      <c r="O32" s="366"/>
      <c r="P32" s="366"/>
      <c r="Q32" s="366"/>
      <c r="R32" s="366"/>
      <c r="S32" s="366"/>
      <c r="T32" s="366"/>
      <c r="U32" s="366"/>
      <c r="V32" s="366"/>
      <c r="W32" s="366"/>
      <c r="X32" s="366"/>
      <c r="Y32" s="366"/>
      <c r="Z32" s="366"/>
      <c r="AA32" s="366"/>
      <c r="AB32" s="366"/>
      <c r="AC32" s="366"/>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c r="I33" s="366"/>
      <c r="J33" s="366"/>
      <c r="K33" s="366"/>
      <c r="L33" s="366"/>
      <c r="M33" s="366"/>
      <c r="N33" s="366"/>
      <c r="O33" s="366"/>
      <c r="P33" s="366"/>
      <c r="Q33" s="366"/>
      <c r="R33" s="366"/>
      <c r="S33" s="366"/>
      <c r="T33" s="366"/>
      <c r="U33" s="366"/>
      <c r="V33" s="366"/>
      <c r="W33" s="366"/>
      <c r="X33" s="366"/>
      <c r="Y33" s="366"/>
      <c r="Z33" s="366"/>
      <c r="AA33" s="366"/>
      <c r="AB33" s="366"/>
      <c r="AC33" s="366"/>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c r="I34" s="365"/>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69"/>
      <c r="AH34" s="369"/>
      <c r="AI34" s="369"/>
      <c r="AJ34" s="369"/>
      <c r="AK34" s="369"/>
      <c r="AL34" s="369"/>
      <c r="AM34" s="369"/>
      <c r="AN34" s="369"/>
      <c r="AO34" s="369"/>
      <c r="AP34" s="369"/>
      <c r="AQ34" s="369"/>
      <c r="AR34" s="369"/>
      <c r="AS34" s="369"/>
      <c r="AT34" s="369"/>
      <c r="AU34" s="369"/>
      <c r="AV34" s="369"/>
      <c r="AW34" s="369"/>
      <c r="AX34" s="369"/>
      <c r="AY34" s="369"/>
      <c r="AZ34" s="369"/>
      <c r="BA34" s="369"/>
      <c r="BB34" s="369"/>
      <c r="BC34" s="369"/>
      <c r="BD34" s="369"/>
      <c r="BE34" s="369"/>
      <c r="BF34" s="369"/>
      <c r="BG34" s="365"/>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c r="AZ36" s="366"/>
      <c r="BA36" s="366"/>
      <c r="BB36" s="366"/>
      <c r="BC36" s="366"/>
      <c r="BD36" s="366"/>
      <c r="BE36" s="366"/>
      <c r="BF36" s="366"/>
      <c r="BG36" s="366"/>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c r="I37" s="365"/>
      <c r="J37" s="365"/>
      <c r="K37" s="365"/>
      <c r="L37" s="365"/>
      <c r="M37" s="365"/>
      <c r="N37" s="365"/>
      <c r="O37" s="365"/>
      <c r="P37" s="365"/>
      <c r="Q37" s="365"/>
      <c r="R37" s="365"/>
      <c r="S37" s="365"/>
      <c r="T37" s="365"/>
      <c r="U37" s="365"/>
      <c r="V37" s="365"/>
      <c r="W37" s="365"/>
      <c r="X37" s="365"/>
      <c r="Y37" s="365"/>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c r="I38" s="365"/>
      <c r="J38" s="365"/>
      <c r="K38" s="365"/>
      <c r="L38" s="365"/>
      <c r="M38" s="365"/>
      <c r="N38" s="365"/>
      <c r="O38" s="365"/>
      <c r="P38" s="365"/>
      <c r="Q38" s="365"/>
      <c r="R38" s="365"/>
      <c r="S38" s="365"/>
      <c r="T38" s="365"/>
      <c r="U38" s="365"/>
      <c r="V38" s="365"/>
      <c r="W38" s="365"/>
      <c r="X38" s="365"/>
      <c r="Y38" s="365"/>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c r="I39" s="365"/>
      <c r="J39" s="365"/>
      <c r="K39" s="365"/>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c r="I40" s="365"/>
      <c r="J40" s="365"/>
      <c r="K40" s="365"/>
      <c r="L40" s="365"/>
      <c r="M40" s="365"/>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365"/>
      <c r="AK40" s="365"/>
      <c r="AL40" s="365"/>
      <c r="AM40" s="365"/>
      <c r="AN40" s="365"/>
      <c r="AO40" s="365"/>
      <c r="AP40" s="365"/>
      <c r="AQ40" s="365"/>
      <c r="AR40" s="365"/>
      <c r="AS40" s="365"/>
      <c r="AT40" s="365"/>
      <c r="AU40" s="365"/>
      <c r="AV40" s="365"/>
      <c r="AW40" s="365"/>
      <c r="AX40" s="365"/>
      <c r="AY40" s="365"/>
      <c r="AZ40" s="365"/>
      <c r="BA40" s="365"/>
      <c r="BB40" s="365"/>
      <c r="BC40" s="365"/>
      <c r="BD40" s="365"/>
      <c r="BE40" s="365"/>
      <c r="BF40" s="365"/>
      <c r="BG40" s="365"/>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c r="I41" s="365"/>
      <c r="J41" s="365"/>
      <c r="K41" s="365"/>
      <c r="L41" s="365"/>
      <c r="M41" s="365"/>
      <c r="N41" s="365"/>
      <c r="O41" s="365"/>
      <c r="P41" s="365"/>
      <c r="Q41" s="365"/>
      <c r="R41" s="365"/>
      <c r="S41" s="365"/>
      <c r="T41" s="365"/>
      <c r="U41" s="365"/>
      <c r="V41" s="365"/>
      <c r="W41" s="365"/>
      <c r="X41" s="365"/>
      <c r="Y41" s="365"/>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c r="I42" s="365"/>
      <c r="J42" s="365"/>
      <c r="K42" s="365"/>
      <c r="L42" s="365"/>
      <c r="M42" s="365"/>
      <c r="N42" s="365"/>
      <c r="O42" s="365"/>
      <c r="P42" s="365"/>
      <c r="Q42" s="365"/>
      <c r="R42" s="365"/>
      <c r="S42" s="365"/>
      <c r="T42" s="365"/>
      <c r="U42" s="365"/>
      <c r="V42" s="365"/>
      <c r="W42" s="365"/>
      <c r="X42" s="365"/>
      <c r="Y42" s="365"/>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c r="I43" s="365"/>
      <c r="J43" s="365"/>
      <c r="K43" s="365"/>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c r="I49" s="365"/>
      <c r="J49" s="365"/>
      <c r="K49" s="365"/>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c r="I51" s="365"/>
      <c r="J51" s="365"/>
      <c r="K51" s="365"/>
      <c r="L51" s="365"/>
      <c r="M51" s="365"/>
      <c r="N51" s="365"/>
      <c r="O51" s="365"/>
      <c r="P51" s="365"/>
      <c r="Q51" s="365"/>
      <c r="R51" s="365"/>
      <c r="S51" s="365"/>
      <c r="T51" s="365"/>
      <c r="U51" s="365"/>
      <c r="V51" s="365"/>
      <c r="W51" s="365"/>
      <c r="X51" s="365"/>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c r="I58" s="365"/>
      <c r="J58" s="365"/>
      <c r="K58" s="365"/>
      <c r="L58" s="365"/>
      <c r="M58" s="365"/>
      <c r="N58" s="365"/>
      <c r="O58" s="365"/>
      <c r="P58" s="365"/>
      <c r="Q58" s="365"/>
      <c r="R58" s="365"/>
      <c r="S58" s="365"/>
      <c r="T58" s="365"/>
      <c r="U58" s="365"/>
      <c r="V58" s="365"/>
      <c r="W58" s="365"/>
      <c r="X58" s="365"/>
      <c r="Y58" s="365"/>
      <c r="Z58" s="365"/>
      <c r="AA58" s="365"/>
      <c r="AB58" s="365"/>
      <c r="AC58" s="365"/>
      <c r="AD58" s="365"/>
      <c r="AE58" s="365"/>
      <c r="AF58" s="365"/>
      <c r="AG58" s="365"/>
      <c r="AH58" s="365"/>
      <c r="AI58" s="365"/>
      <c r="AJ58" s="365"/>
      <c r="AK58" s="365"/>
      <c r="AL58" s="365"/>
      <c r="AM58" s="365"/>
      <c r="AN58" s="365"/>
      <c r="AO58" s="365"/>
      <c r="AP58" s="365"/>
      <c r="AQ58" s="365"/>
      <c r="AR58" s="365"/>
      <c r="AS58" s="365"/>
      <c r="AT58" s="365"/>
      <c r="AU58" s="365"/>
      <c r="AV58" s="365"/>
      <c r="AW58" s="365"/>
      <c r="AX58" s="365"/>
      <c r="AY58" s="365"/>
      <c r="AZ58" s="365"/>
      <c r="BA58" s="365"/>
      <c r="BB58" s="365"/>
      <c r="BC58" s="365"/>
      <c r="BD58" s="365"/>
      <c r="BE58" s="365"/>
      <c r="BF58" s="365"/>
      <c r="BG58" s="365"/>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c r="I59" s="365"/>
      <c r="J59" s="365"/>
      <c r="K59" s="365"/>
      <c r="L59" s="365"/>
      <c r="M59" s="365"/>
      <c r="N59" s="365"/>
      <c r="O59" s="365"/>
      <c r="P59" s="365"/>
      <c r="Q59" s="365"/>
      <c r="R59" s="365"/>
      <c r="S59" s="365"/>
      <c r="T59" s="365"/>
      <c r="U59" s="365"/>
      <c r="V59" s="365"/>
      <c r="W59" s="365"/>
      <c r="X59" s="365"/>
      <c r="Y59" s="365"/>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c r="I60" s="365"/>
      <c r="J60" s="365"/>
      <c r="K60" s="365"/>
      <c r="L60" s="365"/>
      <c r="M60" s="365"/>
      <c r="N60" s="365"/>
      <c r="O60" s="365"/>
      <c r="P60" s="365"/>
      <c r="Q60" s="365"/>
      <c r="R60" s="365"/>
      <c r="S60" s="365"/>
      <c r="T60" s="365"/>
      <c r="U60" s="365"/>
      <c r="V60" s="365"/>
      <c r="W60" s="365"/>
      <c r="X60" s="365"/>
      <c r="Y60" s="365"/>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c r="I61" s="365"/>
      <c r="J61" s="365"/>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c r="I62" s="365"/>
      <c r="J62" s="365"/>
      <c r="K62" s="365"/>
      <c r="L62" s="365"/>
      <c r="M62" s="365"/>
      <c r="N62" s="365"/>
      <c r="O62" s="365"/>
      <c r="P62" s="365"/>
      <c r="Q62" s="365"/>
      <c r="R62" s="365"/>
      <c r="S62" s="365"/>
      <c r="T62" s="365"/>
      <c r="U62" s="365"/>
      <c r="V62" s="365"/>
      <c r="W62" s="365"/>
      <c r="X62" s="365"/>
      <c r="Y62" s="365"/>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c r="I63" s="365"/>
      <c r="J63" s="365"/>
      <c r="K63" s="365"/>
      <c r="L63" s="365"/>
      <c r="M63" s="365"/>
      <c r="N63" s="365"/>
      <c r="O63" s="365"/>
      <c r="P63" s="365"/>
      <c r="Q63" s="365"/>
      <c r="R63" s="365"/>
      <c r="S63" s="365"/>
      <c r="T63" s="365"/>
      <c r="U63" s="365"/>
      <c r="V63" s="365"/>
      <c r="W63" s="365"/>
      <c r="X63" s="365"/>
      <c r="Y63" s="365"/>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c r="I65" s="365"/>
      <c r="J65" s="365"/>
      <c r="K65" s="36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c r="I66" s="365"/>
      <c r="J66" s="365"/>
      <c r="K66" s="365"/>
      <c r="L66" s="365"/>
      <c r="M66" s="36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65"/>
      <c r="AK66" s="365"/>
      <c r="AL66" s="365"/>
      <c r="AM66" s="365"/>
      <c r="AN66" s="365"/>
      <c r="AO66" s="365"/>
      <c r="AP66" s="365"/>
      <c r="AQ66" s="365"/>
      <c r="AR66" s="365"/>
      <c r="AS66" s="365"/>
      <c r="AT66" s="365"/>
      <c r="AU66" s="365"/>
      <c r="AV66" s="365"/>
      <c r="AW66" s="365"/>
      <c r="AX66" s="365"/>
      <c r="AY66" s="365"/>
      <c r="AZ66" s="365"/>
      <c r="BA66" s="365"/>
      <c r="BB66" s="365"/>
      <c r="BC66" s="365"/>
      <c r="BD66" s="365"/>
      <c r="BE66" s="365"/>
      <c r="BF66" s="365"/>
      <c r="BG66" s="365"/>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c r="I67" s="365"/>
      <c r="J67" s="365"/>
      <c r="K67" s="365"/>
      <c r="L67" s="365"/>
      <c r="M67" s="365"/>
      <c r="N67" s="365"/>
      <c r="O67" s="365"/>
      <c r="P67" s="365"/>
      <c r="Q67" s="365"/>
      <c r="R67" s="365"/>
      <c r="S67" s="365"/>
      <c r="T67" s="365"/>
      <c r="U67" s="365"/>
      <c r="V67" s="365"/>
      <c r="W67" s="365"/>
      <c r="X67" s="365"/>
      <c r="Y67" s="365"/>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c r="I68" s="365"/>
      <c r="J68" s="365"/>
      <c r="K68" s="365"/>
      <c r="L68" s="365"/>
      <c r="M68" s="365"/>
      <c r="N68" s="365"/>
      <c r="O68" s="365"/>
      <c r="P68" s="365"/>
      <c r="Q68" s="365"/>
      <c r="R68" s="365"/>
      <c r="S68" s="365"/>
      <c r="T68" s="365"/>
      <c r="U68" s="365"/>
      <c r="V68" s="365"/>
      <c r="W68" s="365"/>
      <c r="X68" s="365"/>
      <c r="Y68" s="365"/>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c r="I69" s="365"/>
      <c r="J69" s="365"/>
      <c r="K69" s="365"/>
      <c r="L69" s="365"/>
      <c r="M69" s="365"/>
      <c r="N69" s="365"/>
      <c r="O69" s="365"/>
      <c r="P69" s="365"/>
      <c r="Q69" s="365"/>
      <c r="R69" s="365"/>
      <c r="S69" s="365"/>
      <c r="T69" s="365"/>
      <c r="U69" s="365"/>
      <c r="V69" s="365"/>
      <c r="W69" s="365"/>
      <c r="X69" s="365"/>
      <c r="Y69" s="365"/>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c r="I70" s="365"/>
      <c r="J70" s="365"/>
      <c r="K70" s="365"/>
      <c r="L70" s="365"/>
      <c r="M70" s="365"/>
      <c r="N70" s="365"/>
      <c r="O70" s="365"/>
      <c r="P70" s="365"/>
      <c r="Q70" s="365"/>
      <c r="R70" s="365"/>
      <c r="S70" s="365"/>
      <c r="T70" s="365"/>
      <c r="U70" s="365"/>
      <c r="V70" s="365"/>
      <c r="W70" s="365"/>
      <c r="X70" s="365"/>
      <c r="Y70" s="365"/>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c r="I71" s="365"/>
      <c r="J71" s="365"/>
      <c r="K71" s="36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c r="I72" s="365"/>
      <c r="J72" s="365"/>
      <c r="K72" s="36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c r="I73" s="365"/>
      <c r="J73" s="365"/>
      <c r="K73" s="365"/>
      <c r="L73" s="365"/>
      <c r="M73" s="36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c r="I74" s="365"/>
      <c r="J74" s="365"/>
      <c r="K74" s="365"/>
      <c r="L74" s="365"/>
      <c r="M74" s="365"/>
      <c r="N74" s="365"/>
      <c r="O74" s="365"/>
      <c r="P74" s="365"/>
      <c r="Q74" s="365"/>
      <c r="R74" s="365"/>
      <c r="S74" s="365"/>
      <c r="T74" s="365"/>
      <c r="U74" s="365"/>
      <c r="V74" s="365"/>
      <c r="W74" s="365"/>
      <c r="X74" s="365"/>
      <c r="Y74" s="365"/>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c r="I75" s="365"/>
      <c r="J75" s="365"/>
      <c r="K75" s="365"/>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c r="I76" s="365"/>
      <c r="J76" s="365"/>
      <c r="K76" s="365"/>
      <c r="L76" s="365"/>
      <c r="M76" s="365"/>
      <c r="N76" s="365"/>
      <c r="O76" s="365"/>
      <c r="P76" s="365"/>
      <c r="Q76" s="365"/>
      <c r="R76" s="365"/>
      <c r="S76" s="365"/>
      <c r="T76" s="365"/>
      <c r="U76" s="365"/>
      <c r="V76" s="365"/>
      <c r="W76" s="365"/>
      <c r="X76" s="365"/>
      <c r="Y76" s="365"/>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c r="I77" s="365"/>
      <c r="J77" s="365"/>
      <c r="K77" s="365"/>
      <c r="L77" s="365"/>
      <c r="M77" s="365"/>
      <c r="N77" s="365"/>
      <c r="O77" s="365"/>
      <c r="P77" s="365"/>
      <c r="Q77" s="365"/>
      <c r="R77" s="365"/>
      <c r="S77" s="365"/>
      <c r="T77" s="365"/>
      <c r="U77" s="365"/>
      <c r="V77" s="365"/>
      <c r="W77" s="365"/>
      <c r="X77" s="365"/>
      <c r="Y77" s="365"/>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c r="I82" s="365"/>
      <c r="J82" s="365"/>
      <c r="K82" s="365"/>
      <c r="L82" s="365"/>
      <c r="M82" s="365"/>
      <c r="N82" s="365"/>
      <c r="O82" s="365"/>
      <c r="P82" s="365"/>
      <c r="Q82" s="365"/>
      <c r="R82" s="365"/>
      <c r="S82" s="365"/>
      <c r="T82" s="365"/>
      <c r="U82" s="365"/>
      <c r="V82" s="365"/>
      <c r="W82" s="365"/>
      <c r="X82" s="365"/>
      <c r="Y82" s="365"/>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c r="I83" s="365"/>
      <c r="J83" s="365"/>
      <c r="K83" s="365"/>
      <c r="L83" s="365"/>
      <c r="M83" s="365"/>
      <c r="N83" s="365"/>
      <c r="O83" s="365"/>
      <c r="P83" s="365"/>
      <c r="Q83" s="365"/>
      <c r="R83" s="365"/>
      <c r="S83" s="365"/>
      <c r="T83" s="365"/>
      <c r="U83" s="365"/>
      <c r="V83" s="365"/>
      <c r="W83" s="365"/>
      <c r="X83" s="365"/>
      <c r="Y83" s="365"/>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c r="I84" s="365"/>
      <c r="J84" s="365"/>
      <c r="K84" s="365"/>
      <c r="L84" s="365"/>
      <c r="M84" s="365"/>
      <c r="N84" s="365"/>
      <c r="O84" s="365"/>
      <c r="P84" s="365"/>
      <c r="Q84" s="365"/>
      <c r="R84" s="365"/>
      <c r="S84" s="365"/>
      <c r="T84" s="365"/>
      <c r="U84" s="365"/>
      <c r="V84" s="365"/>
      <c r="W84" s="365"/>
      <c r="X84" s="365"/>
      <c r="Y84" s="365"/>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c r="I85" s="365"/>
      <c r="J85" s="365"/>
      <c r="K85" s="365"/>
      <c r="L85" s="365"/>
      <c r="M85" s="365"/>
      <c r="N85" s="365"/>
      <c r="O85" s="365"/>
      <c r="P85" s="365"/>
      <c r="Q85" s="365"/>
      <c r="R85" s="365"/>
      <c r="S85" s="365"/>
      <c r="T85" s="365"/>
      <c r="U85" s="365"/>
      <c r="V85" s="365"/>
      <c r="W85" s="365"/>
      <c r="X85" s="365"/>
      <c r="Y85" s="365"/>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c r="I86" s="365"/>
      <c r="J86" s="365"/>
      <c r="K86" s="365"/>
      <c r="L86" s="365"/>
      <c r="M86" s="365"/>
      <c r="N86" s="365"/>
      <c r="O86" s="365"/>
      <c r="P86" s="365"/>
      <c r="Q86" s="365"/>
      <c r="R86" s="365"/>
      <c r="S86" s="365"/>
      <c r="T86" s="365"/>
      <c r="U86" s="365"/>
      <c r="V86" s="365"/>
      <c r="W86" s="365"/>
      <c r="X86" s="365"/>
      <c r="Y86" s="365"/>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c r="I119" s="365"/>
      <c r="J119" s="365"/>
      <c r="K119" s="365"/>
      <c r="L119" s="365"/>
      <c r="M119" s="365"/>
      <c r="N119" s="365"/>
      <c r="O119" s="365"/>
      <c r="P119" s="365"/>
      <c r="Q119" s="365"/>
      <c r="R119" s="365"/>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I123" s="343" t="s">
        <v>1243</v>
      </c>
    </row>
    <row r="124" spans="2:61" x14ac:dyDescent="0.25">
      <c r="B124" s="67" t="str">
        <f>IF(Capacity!B17="","",Capacity!B17)</f>
        <v>Core Clinic 1</v>
      </c>
      <c r="C124" s="220">
        <f>IF(B124="","",Capacity!E17)</f>
        <v>30</v>
      </c>
      <c r="D124" s="310">
        <f>IF(B124="","",Capacity!F17)</f>
        <v>110.94827586206898</v>
      </c>
      <c r="E124" s="220">
        <f>IF(B124="","",IF(COUNTBLANK(H124:BG124)=52,SUM('Capacity calculation (hide)'!H5:BG5),52-COUNTBLANK(H124:BG124)))</f>
        <v>19</v>
      </c>
      <c r="F124" s="311">
        <f>'Capacity calculation (hide)'!BI5</f>
        <v>110.94827586206898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v>2</v>
      </c>
      <c r="AF124" s="365">
        <v>2</v>
      </c>
      <c r="AG124" s="365">
        <v>2</v>
      </c>
      <c r="AH124" s="365">
        <v>2</v>
      </c>
      <c r="AI124" s="365">
        <v>2</v>
      </c>
      <c r="AJ124" s="365">
        <v>2</v>
      </c>
      <c r="AK124" s="365">
        <v>2</v>
      </c>
      <c r="AL124" s="365">
        <v>2</v>
      </c>
      <c r="AM124" s="365">
        <v>2</v>
      </c>
      <c r="AN124" s="365">
        <v>2</v>
      </c>
      <c r="AO124" s="365">
        <v>2</v>
      </c>
      <c r="AP124" s="365">
        <v>2</v>
      </c>
      <c r="AQ124" s="365">
        <v>2</v>
      </c>
      <c r="AR124" s="365">
        <v>2</v>
      </c>
      <c r="AS124" s="365">
        <v>2</v>
      </c>
      <c r="AT124" s="365">
        <v>2</v>
      </c>
      <c r="AU124" s="365">
        <v>2</v>
      </c>
      <c r="AV124" s="365">
        <v>2</v>
      </c>
      <c r="AW124" s="365">
        <v>2</v>
      </c>
      <c r="AX124" s="365"/>
      <c r="AY124" s="365"/>
      <c r="AZ124" s="365"/>
      <c r="BA124" s="365"/>
      <c r="BB124" s="365"/>
      <c r="BC124" s="365"/>
      <c r="BD124" s="365"/>
      <c r="BE124" s="365"/>
      <c r="BF124" s="365"/>
      <c r="BG124" s="365"/>
      <c r="BI124" s="344" t="s">
        <v>1243</v>
      </c>
    </row>
    <row r="125" spans="2:61" x14ac:dyDescent="0.25">
      <c r="B125" s="67" t="str">
        <f>IF(Capacity!B18="","",Capacity!B18)</f>
        <v>Core Clinic 2</v>
      </c>
      <c r="C125" s="220">
        <f>IF(B125="","",Capacity!E18)</f>
        <v>30</v>
      </c>
      <c r="D125" s="310">
        <f>IF(B125="","",Capacity!F18)</f>
        <v>110.94827586206898</v>
      </c>
      <c r="E125" s="220">
        <f ca="1">IF(B125="","",IF(COUNTBLANK(H125:BG125)=52,SUM('Capacity calculation (hide)'!H6:BG6),52-COUNTBLANK(H125:BG125)))</f>
        <v>52</v>
      </c>
      <c r="F125" s="311">
        <f ca="1">'Capacity calculation (hide)'!BI6</f>
        <v>64.008620689655174</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110.94827586206898</v>
      </c>
      <c r="E126" s="220">
        <f ca="1">IF(B126="","",IF(COUNTBLANK(H126:BG126)=52,SUM('Capacity calculation (hide)'!H7:BG7),52-COUNTBLANK(H126:BG126)))</f>
        <v>52</v>
      </c>
      <c r="F126" s="311">
        <f ca="1">'Capacity calculation (hide)'!BI7</f>
        <v>44.806034482758633</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369.82758620689657</v>
      </c>
      <c r="E127" s="220">
        <f ca="1">IF(B127="","",IF(COUNTBLANK(H127:BG127)=52,SUM('Capacity calculation (hide)'!H8:BG8),52-COUNTBLANK(H127:BG127)))</f>
        <v>52</v>
      </c>
      <c r="F127" s="311">
        <f ca="1">'Capacity calculation (hide)'!BI8</f>
        <v>85.344827586206904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369.82758620689657</v>
      </c>
      <c r="E128" s="220">
        <f>IF(B128="","",IF(COUNTBLANK(H128:BG128)=52,SUM('Capacity calculation (hide)'!H9:BG9),52-COUNTBLANK(H128:BG128)))</f>
        <v>38</v>
      </c>
      <c r="F128" s="311">
        <f>'Capacity calculation (hide)'!BI9</f>
        <v>369.82758620689657</v>
      </c>
      <c r="H128" s="365"/>
      <c r="I128" s="365"/>
      <c r="J128" s="365"/>
      <c r="K128" s="365"/>
      <c r="L128" s="365">
        <v>1</v>
      </c>
      <c r="M128" s="365">
        <v>1</v>
      </c>
      <c r="N128" s="365">
        <v>1</v>
      </c>
      <c r="O128" s="365">
        <v>1</v>
      </c>
      <c r="P128" s="365">
        <v>1</v>
      </c>
      <c r="Q128" s="365">
        <v>1</v>
      </c>
      <c r="R128" s="365">
        <v>1</v>
      </c>
      <c r="S128" s="365">
        <v>1</v>
      </c>
      <c r="T128" s="365">
        <v>1</v>
      </c>
      <c r="U128" s="365">
        <v>1</v>
      </c>
      <c r="V128" s="365">
        <v>1</v>
      </c>
      <c r="W128" s="365">
        <v>1</v>
      </c>
      <c r="X128" s="365">
        <v>1</v>
      </c>
      <c r="Y128" s="365">
        <v>1</v>
      </c>
      <c r="Z128" s="365">
        <v>1</v>
      </c>
      <c r="AA128" s="365">
        <v>1</v>
      </c>
      <c r="AB128" s="365">
        <v>1</v>
      </c>
      <c r="AC128" s="365">
        <v>1</v>
      </c>
      <c r="AD128" s="365">
        <v>1</v>
      </c>
      <c r="AE128" s="365">
        <v>1</v>
      </c>
      <c r="AF128" s="365">
        <v>1</v>
      </c>
      <c r="AG128" s="365">
        <v>1</v>
      </c>
      <c r="AH128" s="365">
        <v>1</v>
      </c>
      <c r="AI128" s="365">
        <v>1</v>
      </c>
      <c r="AJ128" s="365">
        <v>1</v>
      </c>
      <c r="AK128" s="365">
        <v>1</v>
      </c>
      <c r="AL128" s="365">
        <v>1</v>
      </c>
      <c r="AM128" s="365">
        <v>1</v>
      </c>
      <c r="AN128" s="365">
        <v>1</v>
      </c>
      <c r="AO128" s="365">
        <v>1</v>
      </c>
      <c r="AP128" s="365">
        <v>1</v>
      </c>
      <c r="AQ128" s="365">
        <v>1</v>
      </c>
      <c r="AR128" s="365">
        <v>1</v>
      </c>
      <c r="AS128" s="365">
        <v>1</v>
      </c>
      <c r="AT128" s="365">
        <v>1</v>
      </c>
      <c r="AU128" s="365">
        <v>1</v>
      </c>
      <c r="AV128" s="365">
        <v>1</v>
      </c>
      <c r="AW128" s="365">
        <v>1</v>
      </c>
      <c r="AX128" s="365"/>
      <c r="AY128" s="365"/>
      <c r="AZ128" s="365"/>
      <c r="BA128" s="365"/>
      <c r="BB128" s="365"/>
      <c r="BC128" s="365"/>
      <c r="BD128" s="365"/>
      <c r="BE128" s="365"/>
      <c r="BF128" s="365"/>
      <c r="BG128" s="365"/>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c r="I129" s="365"/>
      <c r="J129" s="365"/>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c r="I130" s="365"/>
      <c r="J130" s="365"/>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c r="I131" s="365"/>
      <c r="J131" s="365"/>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c r="I132" s="365"/>
      <c r="J132" s="365"/>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c r="I133" s="365"/>
      <c r="J133" s="365"/>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c r="I134" s="365"/>
      <c r="J134" s="365"/>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c r="I135" s="365"/>
      <c r="J135" s="365"/>
      <c r="K135" s="365"/>
      <c r="L135" s="365"/>
      <c r="M135" s="365"/>
      <c r="N135" s="365"/>
      <c r="O135" s="365"/>
      <c r="P135" s="365"/>
      <c r="Q135" s="365"/>
      <c r="R135" s="365"/>
      <c r="S135" s="365"/>
      <c r="T135" s="365"/>
      <c r="U135" s="365"/>
      <c r="V135" s="365"/>
      <c r="W135" s="365"/>
      <c r="X135" s="365"/>
      <c r="Y135" s="365"/>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c r="I136" s="365"/>
      <c r="J136" s="365"/>
      <c r="K136" s="365"/>
      <c r="L136" s="365"/>
      <c r="M136" s="365"/>
      <c r="N136" s="365"/>
      <c r="O136" s="365"/>
      <c r="P136" s="365"/>
      <c r="Q136" s="365"/>
      <c r="R136" s="365"/>
      <c r="S136" s="365"/>
      <c r="T136" s="365"/>
      <c r="U136" s="365"/>
      <c r="V136" s="365"/>
      <c r="W136" s="365"/>
      <c r="X136" s="365"/>
      <c r="Y136" s="365"/>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c r="I153" s="365"/>
      <c r="J153" s="365"/>
      <c r="K153" s="365"/>
      <c r="L153" s="365"/>
      <c r="M153" s="365"/>
      <c r="N153" s="365"/>
      <c r="O153" s="365"/>
      <c r="P153" s="365"/>
      <c r="Q153" s="365"/>
      <c r="R153" s="365"/>
      <c r="S153" s="365"/>
      <c r="T153" s="365"/>
      <c r="U153" s="365"/>
      <c r="V153" s="365"/>
      <c r="W153" s="365"/>
      <c r="X153" s="365"/>
      <c r="Y153" s="365"/>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c r="I154" s="365"/>
      <c r="J154" s="365"/>
      <c r="K154" s="365"/>
      <c r="L154" s="365"/>
      <c r="M154" s="365"/>
      <c r="N154" s="365"/>
      <c r="O154" s="365"/>
      <c r="P154" s="365"/>
      <c r="Q154" s="365"/>
      <c r="R154" s="365"/>
      <c r="S154" s="365"/>
      <c r="T154" s="365"/>
      <c r="U154" s="365"/>
      <c r="V154" s="365"/>
      <c r="W154" s="365"/>
      <c r="X154" s="365"/>
      <c r="Y154" s="365"/>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c r="I155" s="365"/>
      <c r="J155" s="365"/>
      <c r="K155" s="365"/>
      <c r="L155" s="365"/>
      <c r="M155" s="365"/>
      <c r="N155" s="365"/>
      <c r="O155" s="365"/>
      <c r="P155" s="365"/>
      <c r="Q155" s="365"/>
      <c r="R155" s="365"/>
      <c r="S155" s="365"/>
      <c r="T155" s="365"/>
      <c r="U155" s="365"/>
      <c r="V155" s="365"/>
      <c r="W155" s="365"/>
      <c r="X155" s="365"/>
      <c r="Y155" s="365"/>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c r="I156" s="365"/>
      <c r="J156" s="365"/>
      <c r="K156" s="365"/>
      <c r="L156" s="365"/>
      <c r="M156" s="365"/>
      <c r="N156" s="365"/>
      <c r="O156" s="365"/>
      <c r="P156" s="365"/>
      <c r="Q156" s="365"/>
      <c r="R156" s="365"/>
      <c r="S156" s="365"/>
      <c r="T156" s="365"/>
      <c r="U156" s="365"/>
      <c r="V156" s="365"/>
      <c r="W156" s="365"/>
      <c r="X156" s="365"/>
      <c r="Y156" s="365"/>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c r="I157" s="365"/>
      <c r="J157" s="365"/>
      <c r="K157" s="365"/>
      <c r="L157" s="365"/>
      <c r="M157" s="365"/>
      <c r="N157" s="365"/>
      <c r="O157" s="365"/>
      <c r="P157" s="365"/>
      <c r="Q157" s="365"/>
      <c r="R157" s="365"/>
      <c r="S157" s="365"/>
      <c r="T157" s="365"/>
      <c r="U157" s="365"/>
      <c r="V157" s="365"/>
      <c r="W157" s="365"/>
      <c r="X157" s="365"/>
      <c r="Y157" s="365"/>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c r="I160" s="365"/>
      <c r="J160" s="365"/>
      <c r="K160" s="365"/>
      <c r="L160" s="365"/>
      <c r="M160" s="365"/>
      <c r="N160" s="365"/>
      <c r="O160" s="365"/>
      <c r="P160" s="365"/>
      <c r="Q160" s="365"/>
      <c r="R160" s="365"/>
      <c r="S160" s="365"/>
      <c r="T160" s="365"/>
      <c r="U160" s="365"/>
      <c r="V160" s="365"/>
      <c r="W160" s="365"/>
      <c r="X160" s="365"/>
      <c r="Y160" s="365"/>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c r="I161" s="365"/>
      <c r="J161" s="365"/>
      <c r="K161" s="365"/>
      <c r="L161" s="365"/>
      <c r="M161" s="365"/>
      <c r="N161" s="365"/>
      <c r="O161" s="365"/>
      <c r="P161" s="365"/>
      <c r="Q161" s="365"/>
      <c r="R161" s="365"/>
      <c r="S161" s="365"/>
      <c r="T161" s="365"/>
      <c r="U161" s="365"/>
      <c r="V161" s="365"/>
      <c r="W161" s="365"/>
      <c r="X161" s="365"/>
      <c r="Y161" s="365"/>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c r="I162" s="365"/>
      <c r="J162" s="365"/>
      <c r="K162" s="365"/>
      <c r="L162" s="365"/>
      <c r="M162" s="365"/>
      <c r="N162" s="365"/>
      <c r="O162" s="365"/>
      <c r="P162" s="365"/>
      <c r="Q162" s="365"/>
      <c r="R162" s="365"/>
      <c r="S162" s="365"/>
      <c r="T162" s="365"/>
      <c r="U162" s="365"/>
      <c r="V162" s="365"/>
      <c r="W162" s="365"/>
      <c r="X162" s="365"/>
      <c r="Y162" s="365"/>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c r="I163" s="365"/>
      <c r="J163" s="365"/>
      <c r="K163" s="365"/>
      <c r="L163" s="365"/>
      <c r="M163" s="365"/>
      <c r="N163" s="365"/>
      <c r="O163" s="365"/>
      <c r="P163" s="365"/>
      <c r="Q163" s="365"/>
      <c r="R163" s="365"/>
      <c r="S163" s="365"/>
      <c r="T163" s="365"/>
      <c r="U163" s="365"/>
      <c r="V163" s="365"/>
      <c r="W163" s="365"/>
      <c r="X163" s="365"/>
      <c r="Y163" s="365"/>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c r="I164" s="365"/>
      <c r="J164" s="365"/>
      <c r="K164" s="365"/>
      <c r="L164" s="365"/>
      <c r="M164" s="365"/>
      <c r="N164" s="365"/>
      <c r="O164" s="365"/>
      <c r="P164" s="365"/>
      <c r="Q164" s="365"/>
      <c r="R164" s="365"/>
      <c r="S164" s="365"/>
      <c r="T164" s="365"/>
      <c r="U164" s="365"/>
      <c r="V164" s="365"/>
      <c r="W164" s="365"/>
      <c r="X164" s="365"/>
      <c r="Y164" s="365"/>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c r="I165" s="365"/>
      <c r="J165" s="365"/>
      <c r="K165" s="365"/>
      <c r="L165" s="365"/>
      <c r="M165" s="365"/>
      <c r="N165" s="365"/>
      <c r="O165" s="365"/>
      <c r="P165" s="365"/>
      <c r="Q165" s="365"/>
      <c r="R165" s="365"/>
      <c r="S165" s="365"/>
      <c r="T165" s="365"/>
      <c r="U165" s="365"/>
      <c r="V165" s="365"/>
      <c r="W165" s="365"/>
      <c r="X165" s="365"/>
      <c r="Y165" s="365"/>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c r="I166" s="365"/>
      <c r="J166" s="365"/>
      <c r="K166" s="365"/>
      <c r="L166" s="365"/>
      <c r="M166" s="365"/>
      <c r="N166" s="365"/>
      <c r="O166" s="365"/>
      <c r="P166" s="365"/>
      <c r="Q166" s="365"/>
      <c r="R166" s="365"/>
      <c r="S166" s="365"/>
      <c r="T166" s="365"/>
      <c r="U166" s="365"/>
      <c r="V166" s="365"/>
      <c r="W166" s="365"/>
      <c r="X166" s="365"/>
      <c r="Y166" s="365"/>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c r="I167" s="365"/>
      <c r="J167" s="365"/>
      <c r="K167" s="365"/>
      <c r="L167" s="365"/>
      <c r="M167" s="365"/>
      <c r="N167" s="365"/>
      <c r="O167" s="365"/>
      <c r="P167" s="365"/>
      <c r="Q167" s="365"/>
      <c r="R167" s="365"/>
      <c r="S167" s="365"/>
      <c r="T167" s="365"/>
      <c r="U167" s="365"/>
      <c r="V167" s="365"/>
      <c r="W167" s="365"/>
      <c r="X167" s="365"/>
      <c r="Y167" s="365"/>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c r="I168" s="365"/>
      <c r="J168" s="365"/>
      <c r="K168" s="365"/>
      <c r="L168" s="365"/>
      <c r="M168" s="365"/>
      <c r="N168" s="365"/>
      <c r="O168" s="365"/>
      <c r="P168" s="365"/>
      <c r="Q168" s="365"/>
      <c r="R168" s="365"/>
      <c r="S168" s="365"/>
      <c r="T168" s="365"/>
      <c r="U168" s="365"/>
      <c r="V168" s="365"/>
      <c r="W168" s="365"/>
      <c r="X168" s="365"/>
      <c r="Y168" s="365"/>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c r="I169" s="365"/>
      <c r="J169" s="365"/>
      <c r="K169" s="365"/>
      <c r="L169" s="365"/>
      <c r="M169" s="365"/>
      <c r="N169" s="365"/>
      <c r="O169" s="365"/>
      <c r="P169" s="365"/>
      <c r="Q169" s="365"/>
      <c r="R169" s="365"/>
      <c r="S169" s="365"/>
      <c r="T169" s="365"/>
      <c r="U169" s="365"/>
      <c r="V169" s="365"/>
      <c r="W169" s="365"/>
      <c r="X169" s="365"/>
      <c r="Y169" s="365"/>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c r="I170" s="365"/>
      <c r="J170" s="365"/>
      <c r="K170" s="365"/>
      <c r="L170" s="365"/>
      <c r="M170" s="365"/>
      <c r="N170" s="365"/>
      <c r="O170" s="365"/>
      <c r="P170" s="365"/>
      <c r="Q170" s="365"/>
      <c r="R170" s="365"/>
      <c r="S170" s="365"/>
      <c r="T170" s="365"/>
      <c r="U170" s="365"/>
      <c r="V170" s="365"/>
      <c r="W170" s="365"/>
      <c r="X170" s="365"/>
      <c r="Y170" s="365"/>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c r="I171" s="365"/>
      <c r="J171" s="365"/>
      <c r="K171" s="365"/>
      <c r="L171" s="365"/>
      <c r="M171" s="365"/>
      <c r="N171" s="365"/>
      <c r="O171" s="365"/>
      <c r="P171" s="365"/>
      <c r="Q171" s="365"/>
      <c r="R171" s="365"/>
      <c r="S171" s="365"/>
      <c r="T171" s="365"/>
      <c r="U171" s="365"/>
      <c r="V171" s="365"/>
      <c r="W171" s="365"/>
      <c r="X171" s="365"/>
      <c r="Y171" s="365"/>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c r="I172" s="365"/>
      <c r="J172" s="365"/>
      <c r="K172" s="365"/>
      <c r="L172" s="365"/>
      <c r="M172" s="365"/>
      <c r="N172" s="365"/>
      <c r="O172" s="365"/>
      <c r="P172" s="365"/>
      <c r="Q172" s="365"/>
      <c r="R172" s="365"/>
      <c r="S172" s="365"/>
      <c r="T172" s="365"/>
      <c r="U172" s="365"/>
      <c r="V172" s="365"/>
      <c r="W172" s="365"/>
      <c r="X172" s="365"/>
      <c r="Y172" s="365"/>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c r="I173" s="365"/>
      <c r="J173" s="365"/>
      <c r="K173" s="365"/>
      <c r="L173" s="365"/>
      <c r="M173" s="365"/>
      <c r="N173" s="365"/>
      <c r="O173" s="365"/>
      <c r="P173" s="365"/>
      <c r="Q173" s="365"/>
      <c r="R173" s="365"/>
      <c r="S173" s="365"/>
      <c r="T173" s="365"/>
      <c r="U173" s="365"/>
      <c r="V173" s="365"/>
      <c r="W173" s="365"/>
      <c r="X173" s="365"/>
      <c r="Y173" s="365"/>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c r="I174" s="365"/>
      <c r="J174" s="365"/>
      <c r="K174" s="365"/>
      <c r="L174" s="365"/>
      <c r="M174" s="365"/>
      <c r="N174" s="365"/>
      <c r="O174" s="365"/>
      <c r="P174" s="365"/>
      <c r="Q174" s="365"/>
      <c r="R174" s="365"/>
      <c r="S174" s="365"/>
      <c r="T174" s="365"/>
      <c r="U174" s="365"/>
      <c r="V174" s="365"/>
      <c r="W174" s="365"/>
      <c r="X174" s="365"/>
      <c r="Y174" s="365"/>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c r="I175" s="365"/>
      <c r="J175" s="365"/>
      <c r="K175" s="365"/>
      <c r="L175" s="365"/>
      <c r="M175" s="365"/>
      <c r="N175" s="365"/>
      <c r="O175" s="365"/>
      <c r="P175" s="365"/>
      <c r="Q175" s="365"/>
      <c r="R175" s="365"/>
      <c r="S175" s="365"/>
      <c r="T175" s="365"/>
      <c r="U175" s="365"/>
      <c r="V175" s="365"/>
      <c r="W175" s="365"/>
      <c r="X175" s="365"/>
      <c r="Y175" s="365"/>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c r="I176" s="365"/>
      <c r="J176" s="365"/>
      <c r="K176" s="365"/>
      <c r="L176" s="365"/>
      <c r="M176" s="365"/>
      <c r="N176" s="365"/>
      <c r="O176" s="365"/>
      <c r="P176" s="365"/>
      <c r="Q176" s="365"/>
      <c r="R176" s="365"/>
      <c r="S176" s="365"/>
      <c r="T176" s="365"/>
      <c r="U176" s="365"/>
      <c r="V176" s="365"/>
      <c r="W176" s="365"/>
      <c r="X176" s="365"/>
      <c r="Y176" s="365"/>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c r="I177" s="365"/>
      <c r="J177" s="365"/>
      <c r="K177" s="365"/>
      <c r="L177" s="365"/>
      <c r="M177" s="365"/>
      <c r="N177" s="365"/>
      <c r="O177" s="365"/>
      <c r="P177" s="365"/>
      <c r="Q177" s="365"/>
      <c r="R177" s="365"/>
      <c r="S177" s="365"/>
      <c r="T177" s="365"/>
      <c r="U177" s="365"/>
      <c r="V177" s="365"/>
      <c r="W177" s="365"/>
      <c r="X177" s="365"/>
      <c r="Y177" s="365"/>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c r="I178" s="365"/>
      <c r="J178" s="365"/>
      <c r="K178" s="365"/>
      <c r="L178" s="365"/>
      <c r="M178" s="365"/>
      <c r="N178" s="365"/>
      <c r="O178" s="365"/>
      <c r="P178" s="365"/>
      <c r="Q178" s="365"/>
      <c r="R178" s="365"/>
      <c r="S178" s="365"/>
      <c r="T178" s="365"/>
      <c r="U178" s="365"/>
      <c r="V178" s="365"/>
      <c r="W178" s="365"/>
      <c r="X178" s="365"/>
      <c r="Y178" s="365"/>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c r="I179" s="365"/>
      <c r="J179" s="365"/>
      <c r="K179" s="365"/>
      <c r="L179" s="365"/>
      <c r="M179" s="365"/>
      <c r="N179" s="365"/>
      <c r="O179" s="365"/>
      <c r="P179" s="365"/>
      <c r="Q179" s="365"/>
      <c r="R179" s="365"/>
      <c r="S179" s="365"/>
      <c r="T179" s="365"/>
      <c r="U179" s="365"/>
      <c r="V179" s="365"/>
      <c r="W179" s="365"/>
      <c r="X179" s="365"/>
      <c r="Y179" s="365"/>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c r="I180" s="365"/>
      <c r="J180" s="365"/>
      <c r="K180" s="365"/>
      <c r="L180" s="365"/>
      <c r="M180" s="365"/>
      <c r="N180" s="365"/>
      <c r="O180" s="365"/>
      <c r="P180" s="365"/>
      <c r="Q180" s="365"/>
      <c r="R180" s="365"/>
      <c r="S180" s="365"/>
      <c r="T180" s="365"/>
      <c r="U180" s="365"/>
      <c r="V180" s="365"/>
      <c r="W180" s="365"/>
      <c r="X180" s="365"/>
      <c r="Y180" s="365"/>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c r="I181" s="365"/>
      <c r="J181" s="365"/>
      <c r="K181" s="365"/>
      <c r="L181" s="365"/>
      <c r="M181" s="365"/>
      <c r="N181" s="365"/>
      <c r="O181" s="365"/>
      <c r="P181" s="365"/>
      <c r="Q181" s="365"/>
      <c r="R181" s="365"/>
      <c r="S181" s="365"/>
      <c r="T181" s="365"/>
      <c r="U181" s="365"/>
      <c r="V181" s="365"/>
      <c r="W181" s="365"/>
      <c r="X181" s="365"/>
      <c r="Y181" s="365"/>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c r="I182" s="365"/>
      <c r="J182" s="365"/>
      <c r="K182" s="365"/>
      <c r="L182" s="365"/>
      <c r="M182" s="365"/>
      <c r="N182" s="365"/>
      <c r="O182" s="365"/>
      <c r="P182" s="365"/>
      <c r="Q182" s="365"/>
      <c r="R182" s="365"/>
      <c r="S182" s="365"/>
      <c r="T182" s="365"/>
      <c r="U182" s="365"/>
      <c r="V182" s="365"/>
      <c r="W182" s="365"/>
      <c r="X182" s="365"/>
      <c r="Y182" s="365"/>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c r="I183" s="365"/>
      <c r="J183" s="365"/>
      <c r="K183" s="365"/>
      <c r="L183" s="365"/>
      <c r="M183" s="365"/>
      <c r="N183" s="365"/>
      <c r="O183" s="365"/>
      <c r="P183" s="365"/>
      <c r="Q183" s="365"/>
      <c r="R183" s="365"/>
      <c r="S183" s="365"/>
      <c r="T183" s="365"/>
      <c r="U183" s="365"/>
      <c r="V183" s="365"/>
      <c r="W183" s="365"/>
      <c r="X183" s="365"/>
      <c r="Y183" s="365"/>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c r="I184" s="365"/>
      <c r="J184" s="365"/>
      <c r="K184" s="365"/>
      <c r="L184" s="365"/>
      <c r="M184" s="365"/>
      <c r="N184" s="365"/>
      <c r="O184" s="365"/>
      <c r="P184" s="365"/>
      <c r="Q184" s="365"/>
      <c r="R184" s="365"/>
      <c r="S184" s="365"/>
      <c r="T184" s="365"/>
      <c r="U184" s="365"/>
      <c r="V184" s="365"/>
      <c r="W184" s="365"/>
      <c r="X184" s="365"/>
      <c r="Y184" s="365"/>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c r="I185" s="365"/>
      <c r="J185" s="365"/>
      <c r="K185" s="365"/>
      <c r="L185" s="365"/>
      <c r="M185" s="365"/>
      <c r="N185" s="365"/>
      <c r="O185" s="365"/>
      <c r="P185" s="365"/>
      <c r="Q185" s="365"/>
      <c r="R185" s="365"/>
      <c r="S185" s="365"/>
      <c r="T185" s="365"/>
      <c r="U185" s="365"/>
      <c r="V185" s="365"/>
      <c r="W185" s="365"/>
      <c r="X185" s="365"/>
      <c r="Y185" s="365"/>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c r="I186" s="365"/>
      <c r="J186" s="365"/>
      <c r="K186" s="365"/>
      <c r="L186" s="365"/>
      <c r="M186" s="365"/>
      <c r="N186" s="365"/>
      <c r="O186" s="365"/>
      <c r="P186" s="365"/>
      <c r="Q186" s="365"/>
      <c r="R186" s="365"/>
      <c r="S186" s="365"/>
      <c r="T186" s="365"/>
      <c r="U186" s="365"/>
      <c r="V186" s="365"/>
      <c r="W186" s="365"/>
      <c r="X186" s="365"/>
      <c r="Y186" s="365"/>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c r="I187" s="365"/>
      <c r="J187" s="365"/>
      <c r="K187" s="365"/>
      <c r="L187" s="365"/>
      <c r="M187" s="365"/>
      <c r="N187" s="365"/>
      <c r="O187" s="365"/>
      <c r="P187" s="365"/>
      <c r="Q187" s="365"/>
      <c r="R187" s="365"/>
      <c r="S187" s="365"/>
      <c r="T187" s="365"/>
      <c r="U187" s="365"/>
      <c r="V187" s="365"/>
      <c r="W187" s="365"/>
      <c r="X187" s="365"/>
      <c r="Y187" s="365"/>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c r="I188" s="365"/>
      <c r="J188" s="365"/>
      <c r="K188" s="365"/>
      <c r="L188" s="365"/>
      <c r="M188" s="365"/>
      <c r="N188" s="365"/>
      <c r="O188" s="365"/>
      <c r="P188" s="365"/>
      <c r="Q188" s="365"/>
      <c r="R188" s="365"/>
      <c r="S188" s="365"/>
      <c r="T188" s="365"/>
      <c r="U188" s="365"/>
      <c r="V188" s="365"/>
      <c r="W188" s="365"/>
      <c r="X188" s="365"/>
      <c r="Y188" s="365"/>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c r="I189" s="365"/>
      <c r="J189" s="365"/>
      <c r="K189" s="365"/>
      <c r="L189" s="365"/>
      <c r="M189" s="365"/>
      <c r="N189" s="365"/>
      <c r="O189" s="365"/>
      <c r="P189" s="365"/>
      <c r="Q189" s="365"/>
      <c r="R189" s="365"/>
      <c r="S189" s="365"/>
      <c r="T189" s="365"/>
      <c r="U189" s="365"/>
      <c r="V189" s="365"/>
      <c r="W189" s="365"/>
      <c r="X189" s="365"/>
      <c r="Y189" s="365"/>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c r="I190" s="365"/>
      <c r="J190" s="365"/>
      <c r="K190" s="365"/>
      <c r="L190" s="365"/>
      <c r="M190" s="365"/>
      <c r="N190" s="365"/>
      <c r="O190" s="365"/>
      <c r="P190" s="365"/>
      <c r="Q190" s="365"/>
      <c r="R190" s="365"/>
      <c r="S190" s="365"/>
      <c r="T190" s="365"/>
      <c r="U190" s="365"/>
      <c r="V190" s="365"/>
      <c r="W190" s="365"/>
      <c r="X190" s="365"/>
      <c r="Y190" s="365"/>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c r="I191" s="365"/>
      <c r="J191" s="365"/>
      <c r="K191" s="365"/>
      <c r="L191" s="365"/>
      <c r="M191" s="365"/>
      <c r="N191" s="365"/>
      <c r="O191" s="365"/>
      <c r="P191" s="365"/>
      <c r="Q191" s="365"/>
      <c r="R191" s="365"/>
      <c r="S191" s="365"/>
      <c r="T191" s="365"/>
      <c r="U191" s="365"/>
      <c r="V191" s="365"/>
      <c r="W191" s="365"/>
      <c r="X191" s="365"/>
      <c r="Y191" s="365"/>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c r="I192" s="365"/>
      <c r="J192" s="365"/>
      <c r="K192" s="365"/>
      <c r="L192" s="365"/>
      <c r="M192" s="365"/>
      <c r="N192" s="365"/>
      <c r="O192" s="365"/>
      <c r="P192" s="365"/>
      <c r="Q192" s="365"/>
      <c r="R192" s="365"/>
      <c r="S192" s="365"/>
      <c r="T192" s="365"/>
      <c r="U192" s="365"/>
      <c r="V192" s="365"/>
      <c r="W192" s="365"/>
      <c r="X192" s="365"/>
      <c r="Y192" s="365"/>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c r="I193" s="365"/>
      <c r="J193" s="365"/>
      <c r="K193" s="365"/>
      <c r="L193" s="365"/>
      <c r="M193" s="365"/>
      <c r="N193" s="365"/>
      <c r="O193" s="365"/>
      <c r="P193" s="365"/>
      <c r="Q193" s="365"/>
      <c r="R193" s="365"/>
      <c r="S193" s="365"/>
      <c r="T193" s="365"/>
      <c r="U193" s="365"/>
      <c r="V193" s="365"/>
      <c r="W193" s="365"/>
      <c r="X193" s="365"/>
      <c r="Y193" s="365"/>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c r="I194" s="365"/>
      <c r="J194" s="365"/>
      <c r="K194" s="365"/>
      <c r="L194" s="365"/>
      <c r="M194" s="365"/>
      <c r="N194" s="365"/>
      <c r="O194" s="365"/>
      <c r="P194" s="365"/>
      <c r="Q194" s="365"/>
      <c r="R194" s="365"/>
      <c r="S194" s="365"/>
      <c r="T194" s="365"/>
      <c r="U194" s="365"/>
      <c r="V194" s="365"/>
      <c r="W194" s="365"/>
      <c r="X194" s="365"/>
      <c r="Y194" s="365"/>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c r="I195" s="365"/>
      <c r="J195" s="365"/>
      <c r="K195" s="365"/>
      <c r="L195" s="365"/>
      <c r="M195" s="365"/>
      <c r="N195" s="365"/>
      <c r="O195" s="365"/>
      <c r="P195" s="365"/>
      <c r="Q195" s="365"/>
      <c r="R195" s="365"/>
      <c r="S195" s="365"/>
      <c r="T195" s="365"/>
      <c r="U195" s="365"/>
      <c r="V195" s="365"/>
      <c r="W195" s="365"/>
      <c r="X195" s="365"/>
      <c r="Y195" s="365"/>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c r="I196" s="365"/>
      <c r="J196" s="365"/>
      <c r="K196" s="365"/>
      <c r="L196" s="365"/>
      <c r="M196" s="365"/>
      <c r="N196" s="365"/>
      <c r="O196" s="365"/>
      <c r="P196" s="365"/>
      <c r="Q196" s="365"/>
      <c r="R196" s="365"/>
      <c r="S196" s="365"/>
      <c r="T196" s="365"/>
      <c r="U196" s="365"/>
      <c r="V196" s="365"/>
      <c r="W196" s="365"/>
      <c r="X196" s="365"/>
      <c r="Y196" s="365"/>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c r="I197" s="365"/>
      <c r="J197" s="365"/>
      <c r="K197" s="365"/>
      <c r="L197" s="365"/>
      <c r="M197" s="365"/>
      <c r="N197" s="365"/>
      <c r="O197" s="365"/>
      <c r="P197" s="365"/>
      <c r="Q197" s="365"/>
      <c r="R197" s="365"/>
      <c r="S197" s="365"/>
      <c r="T197" s="365"/>
      <c r="U197" s="365"/>
      <c r="V197" s="365"/>
      <c r="W197" s="365"/>
      <c r="X197" s="365"/>
      <c r="Y197" s="365"/>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c r="I198" s="365"/>
      <c r="J198" s="365"/>
      <c r="K198" s="365"/>
      <c r="L198" s="365"/>
      <c r="M198" s="365"/>
      <c r="N198" s="365"/>
      <c r="O198" s="365"/>
      <c r="P198" s="365"/>
      <c r="Q198" s="365"/>
      <c r="R198" s="365"/>
      <c r="S198" s="365"/>
      <c r="T198" s="365"/>
      <c r="U198" s="365"/>
      <c r="V198" s="365"/>
      <c r="W198" s="365"/>
      <c r="X198" s="365"/>
      <c r="Y198" s="365"/>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c r="I199" s="365"/>
      <c r="J199" s="365"/>
      <c r="K199" s="365"/>
      <c r="L199" s="365"/>
      <c r="M199" s="365"/>
      <c r="N199" s="365"/>
      <c r="O199" s="365"/>
      <c r="P199" s="365"/>
      <c r="Q199" s="365"/>
      <c r="R199" s="365"/>
      <c r="S199" s="365"/>
      <c r="T199" s="365"/>
      <c r="U199" s="365"/>
      <c r="V199" s="365"/>
      <c r="W199" s="365"/>
      <c r="X199" s="365"/>
      <c r="Y199" s="365"/>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c r="I200" s="365"/>
      <c r="J200" s="365"/>
      <c r="K200" s="365"/>
      <c r="L200" s="365"/>
      <c r="M200" s="365"/>
      <c r="N200" s="365"/>
      <c r="O200" s="365"/>
      <c r="P200" s="365"/>
      <c r="Q200" s="365"/>
      <c r="R200" s="365"/>
      <c r="S200" s="365"/>
      <c r="T200" s="365"/>
      <c r="U200" s="365"/>
      <c r="V200" s="365"/>
      <c r="W200" s="365"/>
      <c r="X200" s="365"/>
      <c r="Y200" s="365"/>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c r="I201" s="365"/>
      <c r="J201" s="365"/>
      <c r="K201" s="365"/>
      <c r="L201" s="365"/>
      <c r="M201" s="365"/>
      <c r="N201" s="365"/>
      <c r="O201" s="365"/>
      <c r="P201" s="365"/>
      <c r="Q201" s="365"/>
      <c r="R201" s="365"/>
      <c r="S201" s="365"/>
      <c r="T201" s="365"/>
      <c r="U201" s="365"/>
      <c r="V201" s="365"/>
      <c r="W201" s="365"/>
      <c r="X201" s="365"/>
      <c r="Y201" s="365"/>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c r="I202" s="365"/>
      <c r="J202" s="365"/>
      <c r="K202" s="365"/>
      <c r="L202" s="365"/>
      <c r="M202" s="365"/>
      <c r="N202" s="365"/>
      <c r="O202" s="365"/>
      <c r="P202" s="365"/>
      <c r="Q202" s="365"/>
      <c r="R202" s="365"/>
      <c r="S202" s="365"/>
      <c r="T202" s="365"/>
      <c r="U202" s="365"/>
      <c r="V202" s="365"/>
      <c r="W202" s="365"/>
      <c r="X202" s="365"/>
      <c r="Y202" s="365"/>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c r="I203" s="365"/>
      <c r="J203" s="365"/>
      <c r="K203" s="365"/>
      <c r="L203" s="365"/>
      <c r="M203" s="365"/>
      <c r="N203" s="365"/>
      <c r="O203" s="365"/>
      <c r="P203" s="365"/>
      <c r="Q203" s="365"/>
      <c r="R203" s="365"/>
      <c r="S203" s="365"/>
      <c r="T203" s="365"/>
      <c r="U203" s="365"/>
      <c r="V203" s="365"/>
      <c r="W203" s="365"/>
      <c r="X203" s="365"/>
      <c r="Y203" s="365"/>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c r="I204" s="365"/>
      <c r="J204" s="365"/>
      <c r="K204" s="365"/>
      <c r="L204" s="365"/>
      <c r="M204" s="365"/>
      <c r="N204" s="365"/>
      <c r="O204" s="365"/>
      <c r="P204" s="365"/>
      <c r="Q204" s="365"/>
      <c r="R204" s="365"/>
      <c r="S204" s="365"/>
      <c r="T204" s="365"/>
      <c r="U204" s="365"/>
      <c r="V204" s="365"/>
      <c r="W204" s="365"/>
      <c r="X204" s="365"/>
      <c r="Y204" s="365"/>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c r="I205" s="365"/>
      <c r="J205" s="365"/>
      <c r="K205" s="365"/>
      <c r="L205" s="365"/>
      <c r="M205" s="365"/>
      <c r="N205" s="365"/>
      <c r="O205" s="365"/>
      <c r="P205" s="365"/>
      <c r="Q205" s="365"/>
      <c r="R205" s="365"/>
      <c r="S205" s="365"/>
      <c r="T205" s="365"/>
      <c r="U205" s="365"/>
      <c r="V205" s="365"/>
      <c r="W205" s="365"/>
      <c r="X205" s="365"/>
      <c r="Y205" s="365"/>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c r="I206" s="365"/>
      <c r="J206" s="365"/>
      <c r="K206" s="365"/>
      <c r="L206" s="365"/>
      <c r="M206" s="365"/>
      <c r="N206" s="365"/>
      <c r="O206" s="365"/>
      <c r="P206" s="365"/>
      <c r="Q206" s="365"/>
      <c r="R206" s="365"/>
      <c r="S206" s="365"/>
      <c r="T206" s="365"/>
      <c r="U206" s="365"/>
      <c r="V206" s="365"/>
      <c r="W206" s="365"/>
      <c r="X206" s="365"/>
      <c r="Y206" s="365"/>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c r="I207" s="365"/>
      <c r="J207" s="365"/>
      <c r="K207" s="365"/>
      <c r="L207" s="365"/>
      <c r="M207" s="365"/>
      <c r="N207" s="365"/>
      <c r="O207" s="365"/>
      <c r="P207" s="365"/>
      <c r="Q207" s="365"/>
      <c r="R207" s="365"/>
      <c r="S207" s="365"/>
      <c r="T207" s="365"/>
      <c r="U207" s="365"/>
      <c r="V207" s="365"/>
      <c r="W207" s="365"/>
      <c r="X207" s="365"/>
      <c r="Y207" s="365"/>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c r="I208" s="365"/>
      <c r="J208" s="365"/>
      <c r="K208" s="365"/>
      <c r="L208" s="365"/>
      <c r="M208" s="365"/>
      <c r="N208" s="365"/>
      <c r="O208" s="365"/>
      <c r="P208" s="365"/>
      <c r="Q208" s="365"/>
      <c r="R208" s="365"/>
      <c r="S208" s="365"/>
      <c r="T208" s="365"/>
      <c r="U208" s="365"/>
      <c r="V208" s="365"/>
      <c r="W208" s="365"/>
      <c r="X208" s="365"/>
      <c r="Y208" s="365"/>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c r="I209" s="365"/>
      <c r="J209" s="365"/>
      <c r="K209" s="365"/>
      <c r="L209" s="365"/>
      <c r="M209" s="365"/>
      <c r="N209" s="365"/>
      <c r="O209" s="365"/>
      <c r="P209" s="365"/>
      <c r="Q209" s="365"/>
      <c r="R209" s="365"/>
      <c r="S209" s="365"/>
      <c r="T209" s="365"/>
      <c r="U209" s="365"/>
      <c r="V209" s="365"/>
      <c r="W209" s="365"/>
      <c r="X209" s="365"/>
      <c r="Y209" s="365"/>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c r="I210" s="365"/>
      <c r="J210" s="365"/>
      <c r="K210" s="365"/>
      <c r="L210" s="365"/>
      <c r="M210" s="365"/>
      <c r="N210" s="365"/>
      <c r="O210" s="365"/>
      <c r="P210" s="365"/>
      <c r="Q210" s="365"/>
      <c r="R210" s="365"/>
      <c r="S210" s="365"/>
      <c r="T210" s="365"/>
      <c r="U210" s="365"/>
      <c r="V210" s="365"/>
      <c r="W210" s="365"/>
      <c r="X210" s="365"/>
      <c r="Y210" s="365"/>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c r="I211" s="365"/>
      <c r="J211" s="365"/>
      <c r="K211" s="365"/>
      <c r="L211" s="365"/>
      <c r="M211" s="365"/>
      <c r="N211" s="365"/>
      <c r="O211" s="365"/>
      <c r="P211" s="365"/>
      <c r="Q211" s="365"/>
      <c r="R211" s="365"/>
      <c r="S211" s="365"/>
      <c r="T211" s="365"/>
      <c r="U211" s="365"/>
      <c r="V211" s="365"/>
      <c r="W211" s="365"/>
      <c r="X211" s="365"/>
      <c r="Y211" s="365"/>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c r="I212" s="365"/>
      <c r="J212" s="365"/>
      <c r="K212" s="365"/>
      <c r="L212" s="365"/>
      <c r="M212" s="365"/>
      <c r="N212" s="365"/>
      <c r="O212" s="365"/>
      <c r="P212" s="365"/>
      <c r="Q212" s="365"/>
      <c r="R212" s="365"/>
      <c r="S212" s="365"/>
      <c r="T212" s="365"/>
      <c r="U212" s="365"/>
      <c r="V212" s="365"/>
      <c r="W212" s="365"/>
      <c r="X212" s="365"/>
      <c r="Y212" s="365"/>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c r="I213" s="365"/>
      <c r="J213" s="365"/>
      <c r="K213" s="365"/>
      <c r="L213" s="365"/>
      <c r="M213" s="365"/>
      <c r="N213" s="365"/>
      <c r="O213" s="365"/>
      <c r="P213" s="365"/>
      <c r="Q213" s="365"/>
      <c r="R213" s="365"/>
      <c r="S213" s="365"/>
      <c r="T213" s="365"/>
      <c r="U213" s="365"/>
      <c r="V213" s="365"/>
      <c r="W213" s="365"/>
      <c r="X213" s="365"/>
      <c r="Y213" s="365"/>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c r="I214" s="365"/>
      <c r="J214" s="365"/>
      <c r="K214" s="365"/>
      <c r="L214" s="365"/>
      <c r="M214" s="365"/>
      <c r="N214" s="365"/>
      <c r="O214" s="365"/>
      <c r="P214" s="365"/>
      <c r="Q214" s="365"/>
      <c r="R214" s="365"/>
      <c r="S214" s="365"/>
      <c r="T214" s="365"/>
      <c r="U214" s="365"/>
      <c r="V214" s="365"/>
      <c r="W214" s="365"/>
      <c r="X214" s="365"/>
      <c r="Y214" s="365"/>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c r="I215" s="365"/>
      <c r="J215" s="365"/>
      <c r="K215" s="365"/>
      <c r="L215" s="365"/>
      <c r="M215" s="365"/>
      <c r="N215" s="365"/>
      <c r="O215" s="365"/>
      <c r="P215" s="365"/>
      <c r="Q215" s="365"/>
      <c r="R215" s="365"/>
      <c r="S215" s="365"/>
      <c r="T215" s="365"/>
      <c r="U215" s="365"/>
      <c r="V215" s="365"/>
      <c r="W215" s="365"/>
      <c r="X215" s="365"/>
      <c r="Y215" s="365"/>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c r="I216" s="365"/>
      <c r="J216" s="365"/>
      <c r="K216" s="365"/>
      <c r="L216" s="365"/>
      <c r="M216" s="365"/>
      <c r="N216" s="365"/>
      <c r="O216" s="365"/>
      <c r="P216" s="365"/>
      <c r="Q216" s="365"/>
      <c r="R216" s="365"/>
      <c r="S216" s="365"/>
      <c r="T216" s="365"/>
      <c r="U216" s="365"/>
      <c r="V216" s="365"/>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c r="I217" s="365"/>
      <c r="J217" s="365"/>
      <c r="K217" s="365"/>
      <c r="L217" s="365"/>
      <c r="M217" s="365"/>
      <c r="N217" s="365"/>
      <c r="O217" s="365"/>
      <c r="P217" s="365"/>
      <c r="Q217" s="365"/>
      <c r="R217" s="365"/>
      <c r="S217" s="365"/>
      <c r="T217" s="365"/>
      <c r="U217" s="365"/>
      <c r="V217" s="365"/>
      <c r="W217" s="365"/>
      <c r="X217" s="365"/>
      <c r="Y217" s="365"/>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c r="I218" s="365"/>
      <c r="J218" s="365"/>
      <c r="K218" s="365"/>
      <c r="L218" s="365"/>
      <c r="M218" s="365"/>
      <c r="N218" s="365"/>
      <c r="O218" s="365"/>
      <c r="P218" s="365"/>
      <c r="Q218" s="365"/>
      <c r="R218" s="365"/>
      <c r="S218" s="365"/>
      <c r="T218" s="365"/>
      <c r="U218" s="365"/>
      <c r="V218" s="365"/>
      <c r="W218" s="365"/>
      <c r="X218" s="365"/>
      <c r="Y218" s="365"/>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c r="I219" s="365"/>
      <c r="J219" s="365"/>
      <c r="K219" s="365"/>
      <c r="L219" s="365"/>
      <c r="M219" s="365"/>
      <c r="N219" s="365"/>
      <c r="O219" s="365"/>
      <c r="P219" s="365"/>
      <c r="Q219" s="365"/>
      <c r="R219" s="365"/>
      <c r="S219" s="365"/>
      <c r="T219" s="365"/>
      <c r="U219" s="365"/>
      <c r="V219" s="365"/>
      <c r="W219" s="365"/>
      <c r="X219" s="365"/>
      <c r="Y219" s="365"/>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c r="I220" s="365"/>
      <c r="J220" s="365"/>
      <c r="K220" s="365"/>
      <c r="L220" s="365"/>
      <c r="M220" s="365"/>
      <c r="N220" s="365"/>
      <c r="O220" s="365"/>
      <c r="P220" s="365"/>
      <c r="Q220" s="365"/>
      <c r="R220" s="365"/>
      <c r="S220" s="365"/>
      <c r="T220" s="365"/>
      <c r="U220" s="365"/>
      <c r="V220" s="365"/>
      <c r="W220" s="365"/>
      <c r="X220" s="365"/>
      <c r="Y220" s="365"/>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c r="I221" s="365"/>
      <c r="J221" s="365"/>
      <c r="K221" s="365"/>
      <c r="L221" s="365"/>
      <c r="M221" s="365"/>
      <c r="N221" s="365"/>
      <c r="O221" s="365"/>
      <c r="P221" s="365"/>
      <c r="Q221" s="365"/>
      <c r="R221" s="365"/>
      <c r="S221" s="365"/>
      <c r="T221" s="365"/>
      <c r="U221" s="365"/>
      <c r="V221" s="365"/>
      <c r="W221" s="365"/>
      <c r="X221" s="365"/>
      <c r="Y221" s="365"/>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c r="I222" s="365"/>
      <c r="J222" s="365"/>
      <c r="K222" s="365"/>
      <c r="L222" s="365"/>
      <c r="M222" s="365"/>
      <c r="N222" s="365"/>
      <c r="O222" s="365"/>
      <c r="P222" s="365"/>
      <c r="Q222" s="365"/>
      <c r="R222" s="365"/>
      <c r="S222" s="365"/>
      <c r="T222" s="365"/>
      <c r="U222" s="365"/>
      <c r="V222" s="365"/>
      <c r="W222" s="365"/>
      <c r="X222" s="365"/>
      <c r="Y222" s="365"/>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c r="I223" s="365"/>
      <c r="J223" s="365"/>
      <c r="K223" s="365"/>
      <c r="L223" s="365"/>
      <c r="M223" s="365"/>
      <c r="N223" s="365"/>
      <c r="O223" s="365"/>
      <c r="P223" s="365"/>
      <c r="Q223" s="365"/>
      <c r="R223" s="365"/>
      <c r="S223" s="365"/>
      <c r="T223" s="365"/>
      <c r="U223" s="365"/>
      <c r="V223" s="365"/>
      <c r="W223" s="365"/>
      <c r="X223" s="365"/>
      <c r="Y223" s="365"/>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2r0iX7HcXrYvkOdfitd7yVPczOOoTO/wjvtEI3RdKnKtruQbkecN9x5omqit0NZ9mL2+CtcXN0fNzLjT66VUsQ==" saltValue="cNLyWoFgtYFMdEM93/+hig==" spinCount="100000" sheet="1" objects="1" scenarios="1"/>
  <mergeCells count="5">
    <mergeCell ref="B21:B23"/>
    <mergeCell ref="C21:D22"/>
    <mergeCell ref="E21:F22"/>
    <mergeCell ref="C10:E10"/>
    <mergeCell ref="C11:E11"/>
  </mergeCells>
  <conditionalFormatting sqref="B24:F123 H24:BG123">
    <cfRule type="expression" dxfId="26" priority="16">
      <formula>IF($B24="",FALSE,TRUE)</formula>
    </cfRule>
  </conditionalFormatting>
  <conditionalFormatting sqref="B24:F123">
    <cfRule type="expression" dxfId="25" priority="2">
      <formula>IF(AND($BI24="",$B24&lt;&gt;""),TRUE,FALSE)</formula>
    </cfRule>
    <cfRule type="expression" dxfId="24" priority="15">
      <formula>IF($B24&lt;&gt;"",TRUE,FALSE)</formula>
    </cfRule>
  </conditionalFormatting>
  <conditionalFormatting sqref="C23:F23 C21 E21">
    <cfRule type="expression" dxfId="23" priority="14">
      <formula>IF($B$21="Core session",TRUE,FALSE)</formula>
    </cfRule>
  </conditionalFormatting>
  <conditionalFormatting sqref="B124:D223 F124:F223">
    <cfRule type="expression" dxfId="22" priority="12">
      <formula>IF($B124&lt;&gt;"",TRUE,FALSE)</formula>
    </cfRule>
    <cfRule type="expression" dxfId="21" priority="13">
      <formula>IF($B124="",FALSE,TRUE)</formula>
    </cfRule>
  </conditionalFormatting>
  <conditionalFormatting sqref="H124:BG223">
    <cfRule type="expression" dxfId="20" priority="11">
      <formula>IF($B124="", FALSE, TRUE)</formula>
    </cfRule>
  </conditionalFormatting>
  <conditionalFormatting sqref="E124:E223">
    <cfRule type="expression" dxfId="19" priority="9">
      <formula>IF($B124="",FALSE,TRUE)</formula>
    </cfRule>
  </conditionalFormatting>
  <conditionalFormatting sqref="E124:E223">
    <cfRule type="expression" dxfId="18" priority="8">
      <formula>IF($B124&lt;&gt;"",TRUE,FALSE)</formula>
    </cfRule>
  </conditionalFormatting>
  <conditionalFormatting sqref="BI23">
    <cfRule type="expression" dxfId="17" priority="7">
      <formula>IF($B$21="Core session",TRUE,FALSE)</formula>
    </cfRule>
  </conditionalFormatting>
  <conditionalFormatting sqref="BI24:BI124">
    <cfRule type="expression" dxfId="16" priority="5">
      <formula>IF($B24="",FALSE,TRUE)</formula>
    </cfRule>
  </conditionalFormatting>
  <conditionalFormatting sqref="BI125:BI223">
    <cfRule type="expression" dxfId="15" priority="3">
      <formula>IF($B125="",FALSE,TRUE)</formula>
    </cfRule>
  </conditionalFormatting>
  <conditionalFormatting sqref="B124:F124">
    <cfRule type="expression" dxfId="14"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194.1594827586207</v>
      </c>
      <c r="BL4" s="312">
        <f t="shared" ca="1" si="0"/>
        <v>194.1594827586207</v>
      </c>
      <c r="BM4" s="312">
        <f t="shared" ca="1" si="0"/>
        <v>194.1594827586207</v>
      </c>
      <c r="BN4" s="312">
        <f t="shared" ca="1" si="0"/>
        <v>194.1594827586207</v>
      </c>
      <c r="BO4" s="312">
        <f t="shared" ca="1" si="0"/>
        <v>195.1594827586207</v>
      </c>
      <c r="BP4" s="312">
        <f t="shared" ca="1" si="0"/>
        <v>195.1594827586207</v>
      </c>
      <c r="BQ4" s="312">
        <f t="shared" ca="1" si="0"/>
        <v>195.1594827586207</v>
      </c>
      <c r="BR4" s="312">
        <f t="shared" ca="1" si="0"/>
        <v>195.1594827586207</v>
      </c>
      <c r="BS4" s="312">
        <f t="shared" ca="1" si="0"/>
        <v>195.1594827586207</v>
      </c>
      <c r="BT4" s="312">
        <f t="shared" ca="1" si="0"/>
        <v>195.1594827586207</v>
      </c>
      <c r="BU4" s="312">
        <f t="shared" ca="1" si="0"/>
        <v>195.1594827586207</v>
      </c>
      <c r="BV4" s="312">
        <f t="shared" ca="1" si="0"/>
        <v>195.1594827586207</v>
      </c>
      <c r="BW4" s="312">
        <f t="shared" ca="1" si="0"/>
        <v>195.1594827586207</v>
      </c>
      <c r="BX4" s="312">
        <f t="shared" ca="1" si="0"/>
        <v>195.1594827586207</v>
      </c>
      <c r="BY4" s="312">
        <f t="shared" ca="1" si="0"/>
        <v>195.1594827586207</v>
      </c>
      <c r="BZ4" s="312">
        <f t="shared" ca="1" si="0"/>
        <v>195.1594827586207</v>
      </c>
      <c r="CA4" s="312">
        <f t="shared" ca="1" si="0"/>
        <v>195.1594827586207</v>
      </c>
      <c r="CB4" s="312">
        <f t="shared" ca="1" si="0"/>
        <v>195.1594827586207</v>
      </c>
      <c r="CC4" s="312">
        <f t="shared" ca="1" si="0"/>
        <v>195.1594827586207</v>
      </c>
      <c r="CD4" s="312">
        <f t="shared" ca="1" si="0"/>
        <v>195.1594827586207</v>
      </c>
      <c r="CE4" s="312">
        <f t="shared" ca="1" si="0"/>
        <v>195.1594827586207</v>
      </c>
      <c r="CF4" s="312">
        <f t="shared" ca="1" si="0"/>
        <v>195.1594827586207</v>
      </c>
      <c r="CG4" s="312">
        <f t="shared" ca="1" si="0"/>
        <v>195.1594827586207</v>
      </c>
      <c r="CH4" s="312">
        <f t="shared" ca="1" si="0"/>
        <v>197.1594827586207</v>
      </c>
      <c r="CI4" s="312">
        <f t="shared" ca="1" si="0"/>
        <v>197.1594827586207</v>
      </c>
      <c r="CJ4" s="312">
        <f t="shared" ca="1" si="0"/>
        <v>197.1594827586207</v>
      </c>
      <c r="CK4" s="312">
        <f t="shared" ca="1" si="0"/>
        <v>197.1594827586207</v>
      </c>
      <c r="CL4" s="312">
        <f t="shared" ca="1" si="0"/>
        <v>197.1594827586207</v>
      </c>
      <c r="CM4" s="312">
        <f t="shared" ca="1" si="0"/>
        <v>197.1594827586207</v>
      </c>
      <c r="CN4" s="312">
        <f t="shared" ca="1" si="0"/>
        <v>197.1594827586207</v>
      </c>
      <c r="CO4" s="312">
        <f t="shared" ca="1" si="0"/>
        <v>197.1594827586207</v>
      </c>
      <c r="CP4" s="312">
        <f t="shared" ca="1" si="0"/>
        <v>197.1594827586207</v>
      </c>
      <c r="CQ4" s="312">
        <f t="shared" ref="CQ4:DJ4" ca="1" si="1">SUM(CQ5:CQ104)</f>
        <v>197.1594827586207</v>
      </c>
      <c r="CR4" s="312">
        <f t="shared" ca="1" si="1"/>
        <v>197.1594827586207</v>
      </c>
      <c r="CS4" s="312">
        <f t="shared" ca="1" si="1"/>
        <v>197.1594827586207</v>
      </c>
      <c r="CT4" s="312">
        <f t="shared" ca="1" si="1"/>
        <v>197.1594827586207</v>
      </c>
      <c r="CU4" s="312">
        <f t="shared" ca="1" si="1"/>
        <v>197.1594827586207</v>
      </c>
      <c r="CV4" s="312">
        <f t="shared" ca="1" si="1"/>
        <v>197.1594827586207</v>
      </c>
      <c r="CW4" s="312">
        <f t="shared" ca="1" si="1"/>
        <v>197.1594827586207</v>
      </c>
      <c r="CX4" s="312">
        <f t="shared" ca="1" si="1"/>
        <v>197.1594827586207</v>
      </c>
      <c r="CY4" s="312">
        <f t="shared" ca="1" si="1"/>
        <v>197.1594827586207</v>
      </c>
      <c r="CZ4" s="312">
        <f t="shared" ca="1" si="1"/>
        <v>197.1594827586207</v>
      </c>
      <c r="DA4" s="312">
        <f t="shared" ca="1" si="1"/>
        <v>194.1594827586207</v>
      </c>
      <c r="DB4" s="312">
        <f t="shared" ca="1" si="1"/>
        <v>194.1594827586207</v>
      </c>
      <c r="DC4" s="312">
        <f t="shared" ca="1" si="1"/>
        <v>194.1594827586207</v>
      </c>
      <c r="DD4" s="312">
        <f t="shared" ca="1" si="1"/>
        <v>194.1594827586207</v>
      </c>
      <c r="DE4" s="312">
        <f t="shared" ca="1" si="1"/>
        <v>194.1594827586207</v>
      </c>
      <c r="DF4" s="312">
        <f t="shared" ca="1" si="1"/>
        <v>194.1594827586207</v>
      </c>
      <c r="DG4" s="312">
        <f t="shared" ca="1" si="1"/>
        <v>194.1594827586207</v>
      </c>
      <c r="DH4" s="312">
        <f t="shared" ca="1" si="1"/>
        <v>194.1594827586207</v>
      </c>
      <c r="DI4" s="312">
        <f t="shared" ca="1" si="1"/>
        <v>194.1594827586207</v>
      </c>
      <c r="DJ4" s="312">
        <f t="shared" ca="1" si="1"/>
        <v>194.1594827586207</v>
      </c>
      <c r="DK4" s="136">
        <f ca="1">SUM(BK4:DJ4)</f>
        <v>10172.293103448277</v>
      </c>
      <c r="DL4" s="5">
        <f>SUM(DL5:DL104)</f>
        <v>28957.5</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19</v>
      </c>
      <c r="BI5" s="5">
        <f>IF(BH5&gt;0,IF(BH5&lt;Capacity!E17,Capacity!F17,Capacity!H17/'Capacity calculation (hide)'!BH5),"")</f>
        <v>110.94827586206898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2</v>
      </c>
      <c r="CI5" s="312">
        <f>IF($BI5&lt;&gt;"",IF('Capacity summary'!$D$14="Yes",IF(COUNTBLANK('Capacity summary'!$H124:$BG124)&lt;52,IF('Capacity summary'!AF124&lt;&gt;"",IF(LOWER('Capacity summary'!AF124)="x",$BI5*AF5,VALUE('Capacity summary'!AF124)),0),AF5*$BI5),AF5*$BI5),0)</f>
        <v>2</v>
      </c>
      <c r="CJ5" s="312">
        <f>IF($BI5&lt;&gt;"",IF('Capacity summary'!$D$14="Yes",IF(COUNTBLANK('Capacity summary'!$H124:$BG124)&lt;52,IF('Capacity summary'!AG124&lt;&gt;"",IF(LOWER('Capacity summary'!AG124)="x",$BI5*AG5,VALUE('Capacity summary'!AG124)),0),AG5*$BI5),AG5*$BI5),0)</f>
        <v>2</v>
      </c>
      <c r="CK5" s="312">
        <f>IF($BI5&lt;&gt;"",IF('Capacity summary'!$D$14="Yes",IF(COUNTBLANK('Capacity summary'!$H124:$BG124)&lt;52,IF('Capacity summary'!AH124&lt;&gt;"",IF(LOWER('Capacity summary'!AH124)="x",$BI5*AH5,VALUE('Capacity summary'!AH124)),0),AH5*$BI5),AH5*$BI5),0)</f>
        <v>2</v>
      </c>
      <c r="CL5" s="312">
        <f>IF($BI5&lt;&gt;"",IF('Capacity summary'!$D$14="Yes",IF(COUNTBLANK('Capacity summary'!$H124:$BG124)&lt;52,IF('Capacity summary'!AI124&lt;&gt;"",IF(LOWER('Capacity summary'!AI124)="x",$BI5*AI5,VALUE('Capacity summary'!AI124)),0),AI5*$BI5),AI5*$BI5),0)</f>
        <v>2</v>
      </c>
      <c r="CM5" s="312">
        <f>IF($BI5&lt;&gt;"",IF('Capacity summary'!$D$14="Yes",IF(COUNTBLANK('Capacity summary'!$H124:$BG124)&lt;52,IF('Capacity summary'!AJ124&lt;&gt;"",IF(LOWER('Capacity summary'!AJ124)="x",$BI5*AJ5,VALUE('Capacity summary'!AJ124)),0),AJ5*$BI5),AJ5*$BI5),0)</f>
        <v>2</v>
      </c>
      <c r="CN5" s="312">
        <f>IF($BI5&lt;&gt;"",IF('Capacity summary'!$D$14="Yes",IF(COUNTBLANK('Capacity summary'!$H124:$BG124)&lt;52,IF('Capacity summary'!AK124&lt;&gt;"",IF(LOWER('Capacity summary'!AK124)="x",$BI5*AK5,VALUE('Capacity summary'!AK124)),0),AK5*$BI5),AK5*$BI5),0)</f>
        <v>2</v>
      </c>
      <c r="CO5" s="312">
        <f>IF($BI5&lt;&gt;"",IF('Capacity summary'!$D$14="Yes",IF(COUNTBLANK('Capacity summary'!$H124:$BG124)&lt;52,IF('Capacity summary'!AL124&lt;&gt;"",IF(LOWER('Capacity summary'!AL124)="x",$BI5*AL5,VALUE('Capacity summary'!AL124)),0),AL5*$BI5),AL5*$BI5),0)</f>
        <v>2</v>
      </c>
      <c r="CP5" s="312">
        <f>IF($BI5&lt;&gt;"",IF('Capacity summary'!$D$14="Yes",IF(COUNTBLANK('Capacity summary'!$H124:$BG124)&lt;52,IF('Capacity summary'!AM124&lt;&gt;"",IF(LOWER('Capacity summary'!AM124)="x",$BI5*AM5,VALUE('Capacity summary'!AM124)),0),AM5*$BI5),AM5*$BI5),0)</f>
        <v>2</v>
      </c>
      <c r="CQ5" s="312">
        <f>IF($BI5&lt;&gt;"",IF('Capacity summary'!$D$14="Yes",IF(COUNTBLANK('Capacity summary'!$H124:$BG124)&lt;52,IF('Capacity summary'!AN124&lt;&gt;"",IF(LOWER('Capacity summary'!AN124)="x",$BI5*AN5,VALUE('Capacity summary'!AN124)),0),AN5*$BI5),AN5*$BI5),0)</f>
        <v>2</v>
      </c>
      <c r="CR5" s="312">
        <f>IF($BI5&lt;&gt;"",IF('Capacity summary'!$D$14="Yes",IF(COUNTBLANK('Capacity summary'!$H124:$BG124)&lt;52,IF('Capacity summary'!AO124&lt;&gt;"",IF(LOWER('Capacity summary'!AO124)="x",$BI5*AO5,VALUE('Capacity summary'!AO124)),0),AO5*$BI5),AO5*$BI5),0)</f>
        <v>2</v>
      </c>
      <c r="CS5" s="312">
        <f>IF($BI5&lt;&gt;"",IF('Capacity summary'!$D$14="Yes",IF(COUNTBLANK('Capacity summary'!$H124:$BG124)&lt;52,IF('Capacity summary'!AP124&lt;&gt;"",IF(LOWER('Capacity summary'!AP124)="x",$BI5*AP5,VALUE('Capacity summary'!AP124)),0),AP5*$BI5),AP5*$BI5),0)</f>
        <v>2</v>
      </c>
      <c r="CT5" s="312">
        <f>IF($BI5&lt;&gt;"",IF('Capacity summary'!$D$14="Yes",IF(COUNTBLANK('Capacity summary'!$H124:$BG124)&lt;52,IF('Capacity summary'!AQ124&lt;&gt;"",IF(LOWER('Capacity summary'!AQ124)="x",$BI5*AQ5,VALUE('Capacity summary'!AQ124)),0),AQ5*$BI5),AQ5*$BI5),0)</f>
        <v>2</v>
      </c>
      <c r="CU5" s="312">
        <f>IF($BI5&lt;&gt;"",IF('Capacity summary'!$D$14="Yes",IF(COUNTBLANK('Capacity summary'!$H124:$BG124)&lt;52,IF('Capacity summary'!AR124&lt;&gt;"",IF(LOWER('Capacity summary'!AR124)="x",$BI5*AR5,VALUE('Capacity summary'!AR124)),0),AR5*$BI5),AR5*$BI5),0)</f>
        <v>2</v>
      </c>
      <c r="CV5" s="312">
        <f>IF($BI5&lt;&gt;"",IF('Capacity summary'!$D$14="Yes",IF(COUNTBLANK('Capacity summary'!$H124:$BG124)&lt;52,IF('Capacity summary'!AS124&lt;&gt;"",IF(LOWER('Capacity summary'!AS124)="x",$BI5*AS5,VALUE('Capacity summary'!AS124)),0),AS5*$BI5),AS5*$BI5),0)</f>
        <v>2</v>
      </c>
      <c r="CW5" s="312">
        <f>IF($BI5&lt;&gt;"",IF('Capacity summary'!$D$14="Yes",IF(COUNTBLANK('Capacity summary'!$H124:$BG124)&lt;52,IF('Capacity summary'!AT124&lt;&gt;"",IF(LOWER('Capacity summary'!AT124)="x",$BI5*AT5,VALUE('Capacity summary'!AT124)),0),AT5*$BI5),AT5*$BI5),0)</f>
        <v>2</v>
      </c>
      <c r="CX5" s="312">
        <f>IF($BI5&lt;&gt;"",IF('Capacity summary'!$D$14="Yes",IF(COUNTBLANK('Capacity summary'!$H124:$BG124)&lt;52,IF('Capacity summary'!AU124&lt;&gt;"",IF(LOWER('Capacity summary'!AU124)="x",$BI5*AU5,VALUE('Capacity summary'!AU124)),0),AU5*$BI5),AU5*$BI5),0)</f>
        <v>2</v>
      </c>
      <c r="CY5" s="312">
        <f>IF($BI5&lt;&gt;"",IF('Capacity summary'!$D$14="Yes",IF(COUNTBLANK('Capacity summary'!$H124:$BG124)&lt;52,IF('Capacity summary'!AV124&lt;&gt;"",IF(LOWER('Capacity summary'!AV124)="x",$BI5*AV5,VALUE('Capacity summary'!AV124)),0),AV5*$BI5),AV5*$BI5),0)</f>
        <v>2</v>
      </c>
      <c r="CZ5" s="312">
        <f>IF($BI5&lt;&gt;"",IF('Capacity summary'!$D$14="Yes",IF(COUNTBLANK('Capacity summary'!$H124:$BG124)&lt;52,IF('Capacity summary'!AW124&lt;&gt;"",IF(LOWER('Capacity summary'!AW124)="x",$BI5*AW5,VALUE('Capacity summary'!AW124)),0),AW5*$BI5),AW5*$BI5),0)</f>
        <v>2</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38</v>
      </c>
      <c r="DL5" s="312">
        <f>Capacity!H17</f>
        <v>3328.4482758620693</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64.008620689655174</v>
      </c>
      <c r="BK6" s="312">
        <f ca="1">IF($BI6&lt;&gt;"",IF('Capacity summary'!$D$14="Yes",IF(COUNTBLANK('Capacity summary'!$H125:$BG125)&lt;52,IF('Capacity summary'!H125&lt;&gt;"",IF(LOWER('Capacity summary'!H125)="x",$BI6*H6,VALUE('Capacity summary'!H125)),0),H6*$BI6),H6*$BI6),0)</f>
        <v>64.008620689655174</v>
      </c>
      <c r="BL6" s="312">
        <f ca="1">IF($BI6&lt;&gt;"",IF('Capacity summary'!$D$14="Yes",IF(COUNTBLANK('Capacity summary'!$H125:$BG125)&lt;52,IF('Capacity summary'!I125&lt;&gt;"",IF(LOWER('Capacity summary'!I125)="x",$BI6*I6,VALUE('Capacity summary'!I125)),0),I6*$BI6),I6*$BI6),0)</f>
        <v>64.008620689655174</v>
      </c>
      <c r="BM6" s="312">
        <f ca="1">IF($BI6&lt;&gt;"",IF('Capacity summary'!$D$14="Yes",IF(COUNTBLANK('Capacity summary'!$H125:$BG125)&lt;52,IF('Capacity summary'!J125&lt;&gt;"",IF(LOWER('Capacity summary'!J125)="x",$BI6*J6,VALUE('Capacity summary'!J125)),0),J6*$BI6),J6*$BI6),0)</f>
        <v>64.008620689655174</v>
      </c>
      <c r="BN6" s="312">
        <f ca="1">IF($BI6&lt;&gt;"",IF('Capacity summary'!$D$14="Yes",IF(COUNTBLANK('Capacity summary'!$H125:$BG125)&lt;52,IF('Capacity summary'!K125&lt;&gt;"",IF(LOWER('Capacity summary'!K125)="x",$BI6*K6,VALUE('Capacity summary'!K125)),0),K6*$BI6),K6*$BI6),0)</f>
        <v>64.008620689655174</v>
      </c>
      <c r="BO6" s="312">
        <f ca="1">IF($BI6&lt;&gt;"",IF('Capacity summary'!$D$14="Yes",IF(COUNTBLANK('Capacity summary'!$H125:$BG125)&lt;52,IF('Capacity summary'!L125&lt;&gt;"",IF(LOWER('Capacity summary'!L125)="x",$BI6*L6,VALUE('Capacity summary'!L125)),0),L6*$BI6),L6*$BI6),0)</f>
        <v>64.008620689655174</v>
      </c>
      <c r="BP6" s="312">
        <f ca="1">IF($BI6&lt;&gt;"",IF('Capacity summary'!$D$14="Yes",IF(COUNTBLANK('Capacity summary'!$H125:$BG125)&lt;52,IF('Capacity summary'!M125&lt;&gt;"",IF(LOWER('Capacity summary'!M125)="x",$BI6*M6,VALUE('Capacity summary'!M125)),0),M6*$BI6),M6*$BI6),0)</f>
        <v>64.008620689655174</v>
      </c>
      <c r="BQ6" s="312">
        <f ca="1">IF($BI6&lt;&gt;"",IF('Capacity summary'!$D$14="Yes",IF(COUNTBLANK('Capacity summary'!$H125:$BG125)&lt;52,IF('Capacity summary'!N125&lt;&gt;"",IF(LOWER('Capacity summary'!N125)="x",$BI6*N6,VALUE('Capacity summary'!N125)),0),N6*$BI6),N6*$BI6),0)</f>
        <v>64.008620689655174</v>
      </c>
      <c r="BR6" s="312">
        <f ca="1">IF($BI6&lt;&gt;"",IF('Capacity summary'!$D$14="Yes",IF(COUNTBLANK('Capacity summary'!$H125:$BG125)&lt;52,IF('Capacity summary'!O125&lt;&gt;"",IF(LOWER('Capacity summary'!O125)="x",$BI6*O6,VALUE('Capacity summary'!O125)),0),O6*$BI6),O6*$BI6),0)</f>
        <v>64.008620689655174</v>
      </c>
      <c r="BS6" s="312">
        <f ca="1">IF($BI6&lt;&gt;"",IF('Capacity summary'!$D$14="Yes",IF(COUNTBLANK('Capacity summary'!$H125:$BG125)&lt;52,IF('Capacity summary'!P125&lt;&gt;"",IF(LOWER('Capacity summary'!P125)="x",$BI6*P6,VALUE('Capacity summary'!P125)),0),P6*$BI6),P6*$BI6),0)</f>
        <v>64.008620689655174</v>
      </c>
      <c r="BT6" s="312">
        <f ca="1">IF($BI6&lt;&gt;"",IF('Capacity summary'!$D$14="Yes",IF(COUNTBLANK('Capacity summary'!$H125:$BG125)&lt;52,IF('Capacity summary'!Q125&lt;&gt;"",IF(LOWER('Capacity summary'!Q125)="x",$BI6*Q6,VALUE('Capacity summary'!Q125)),0),Q6*$BI6),Q6*$BI6),0)</f>
        <v>64.008620689655174</v>
      </c>
      <c r="BU6" s="312">
        <f ca="1">IF($BI6&lt;&gt;"",IF('Capacity summary'!$D$14="Yes",IF(COUNTBLANK('Capacity summary'!$H125:$BG125)&lt;52,IF('Capacity summary'!R125&lt;&gt;"",IF(LOWER('Capacity summary'!R125)="x",$BI6*R6,VALUE('Capacity summary'!R125)),0),R6*$BI6),R6*$BI6),0)</f>
        <v>64.008620689655174</v>
      </c>
      <c r="BV6" s="312">
        <f ca="1">IF($BI6&lt;&gt;"",IF('Capacity summary'!$D$14="Yes",IF(COUNTBLANK('Capacity summary'!$H125:$BG125)&lt;52,IF('Capacity summary'!S125&lt;&gt;"",IF(LOWER('Capacity summary'!S125)="x",$BI6*S6,VALUE('Capacity summary'!S125)),0),S6*$BI6),S6*$BI6),0)</f>
        <v>64.008620689655174</v>
      </c>
      <c r="BW6" s="312">
        <f ca="1">IF($BI6&lt;&gt;"",IF('Capacity summary'!$D$14="Yes",IF(COUNTBLANK('Capacity summary'!$H125:$BG125)&lt;52,IF('Capacity summary'!T125&lt;&gt;"",IF(LOWER('Capacity summary'!T125)="x",$BI6*T6,VALUE('Capacity summary'!T125)),0),T6*$BI6),T6*$BI6),0)</f>
        <v>64.008620689655174</v>
      </c>
      <c r="BX6" s="312">
        <f ca="1">IF($BI6&lt;&gt;"",IF('Capacity summary'!$D$14="Yes",IF(COUNTBLANK('Capacity summary'!$H125:$BG125)&lt;52,IF('Capacity summary'!U125&lt;&gt;"",IF(LOWER('Capacity summary'!U125)="x",$BI6*U6,VALUE('Capacity summary'!U125)),0),U6*$BI6),U6*$BI6),0)</f>
        <v>64.008620689655174</v>
      </c>
      <c r="BY6" s="312">
        <f ca="1">IF($BI6&lt;&gt;"",IF('Capacity summary'!$D$14="Yes",IF(COUNTBLANK('Capacity summary'!$H125:$BG125)&lt;52,IF('Capacity summary'!V125&lt;&gt;"",IF(LOWER('Capacity summary'!V125)="x",$BI6*V6,VALUE('Capacity summary'!V125)),0),V6*$BI6),V6*$BI6),0)</f>
        <v>64.008620689655174</v>
      </c>
      <c r="BZ6" s="312">
        <f ca="1">IF($BI6&lt;&gt;"",IF('Capacity summary'!$D$14="Yes",IF(COUNTBLANK('Capacity summary'!$H125:$BG125)&lt;52,IF('Capacity summary'!W125&lt;&gt;"",IF(LOWER('Capacity summary'!W125)="x",$BI6*W6,VALUE('Capacity summary'!W125)),0),W6*$BI6),W6*$BI6),0)</f>
        <v>64.008620689655174</v>
      </c>
      <c r="CA6" s="312">
        <f ca="1">IF($BI6&lt;&gt;"",IF('Capacity summary'!$D$14="Yes",IF(COUNTBLANK('Capacity summary'!$H125:$BG125)&lt;52,IF('Capacity summary'!X125&lt;&gt;"",IF(LOWER('Capacity summary'!X125)="x",$BI6*X6,VALUE('Capacity summary'!X125)),0),X6*$BI6),X6*$BI6),0)</f>
        <v>64.008620689655174</v>
      </c>
      <c r="CB6" s="312">
        <f ca="1">IF($BI6&lt;&gt;"",IF('Capacity summary'!$D$14="Yes",IF(COUNTBLANK('Capacity summary'!$H125:$BG125)&lt;52,IF('Capacity summary'!Y125&lt;&gt;"",IF(LOWER('Capacity summary'!Y125)="x",$BI6*Y6,VALUE('Capacity summary'!Y125)),0),Y6*$BI6),Y6*$BI6),0)</f>
        <v>64.008620689655174</v>
      </c>
      <c r="CC6" s="312">
        <f ca="1">IF($BI6&lt;&gt;"",IF('Capacity summary'!$D$14="Yes",IF(COUNTBLANK('Capacity summary'!$H125:$BG125)&lt;52,IF('Capacity summary'!Z125&lt;&gt;"",IF(LOWER('Capacity summary'!Z125)="x",$BI6*Z6,VALUE('Capacity summary'!Z125)),0),Z6*$BI6),Z6*$BI6),0)</f>
        <v>64.008620689655174</v>
      </c>
      <c r="CD6" s="312">
        <f ca="1">IF($BI6&lt;&gt;"",IF('Capacity summary'!$D$14="Yes",IF(COUNTBLANK('Capacity summary'!$H125:$BG125)&lt;52,IF('Capacity summary'!AA125&lt;&gt;"",IF(LOWER('Capacity summary'!AA125)="x",$BI6*AA6,VALUE('Capacity summary'!AA125)),0),AA6*$BI6),AA6*$BI6),0)</f>
        <v>64.008620689655174</v>
      </c>
      <c r="CE6" s="312">
        <f ca="1">IF($BI6&lt;&gt;"",IF('Capacity summary'!$D$14="Yes",IF(COUNTBLANK('Capacity summary'!$H125:$BG125)&lt;52,IF('Capacity summary'!AB125&lt;&gt;"",IF(LOWER('Capacity summary'!AB125)="x",$BI6*AB6,VALUE('Capacity summary'!AB125)),0),AB6*$BI6),AB6*$BI6),0)</f>
        <v>64.008620689655174</v>
      </c>
      <c r="CF6" s="312">
        <f ca="1">IF($BI6&lt;&gt;"",IF('Capacity summary'!$D$14="Yes",IF(COUNTBLANK('Capacity summary'!$H125:$BG125)&lt;52,IF('Capacity summary'!AC125&lt;&gt;"",IF(LOWER('Capacity summary'!AC125)="x",$BI6*AC6,VALUE('Capacity summary'!AC125)),0),AC6*$BI6),AC6*$BI6),0)</f>
        <v>64.008620689655174</v>
      </c>
      <c r="CG6" s="312">
        <f ca="1">IF($BI6&lt;&gt;"",IF('Capacity summary'!$D$14="Yes",IF(COUNTBLANK('Capacity summary'!$H125:$BG125)&lt;52,IF('Capacity summary'!AD125&lt;&gt;"",IF(LOWER('Capacity summary'!AD125)="x",$BI6*AD6,VALUE('Capacity summary'!AD125)),0),AD6*$BI6),AD6*$BI6),0)</f>
        <v>64.008620689655174</v>
      </c>
      <c r="CH6" s="312">
        <f ca="1">IF($BI6&lt;&gt;"",IF('Capacity summary'!$D$14="Yes",IF(COUNTBLANK('Capacity summary'!$H125:$BG125)&lt;52,IF('Capacity summary'!AE125&lt;&gt;"",IF(LOWER('Capacity summary'!AE125)="x",$BI6*AE6,VALUE('Capacity summary'!AE125)),0),AE6*$BI6),AE6*$BI6),0)</f>
        <v>64.008620689655174</v>
      </c>
      <c r="CI6" s="312">
        <f ca="1">IF($BI6&lt;&gt;"",IF('Capacity summary'!$D$14="Yes",IF(COUNTBLANK('Capacity summary'!$H125:$BG125)&lt;52,IF('Capacity summary'!AF125&lt;&gt;"",IF(LOWER('Capacity summary'!AF125)="x",$BI6*AF6,VALUE('Capacity summary'!AF125)),0),AF6*$BI6),AF6*$BI6),0)</f>
        <v>64.008620689655174</v>
      </c>
      <c r="CJ6" s="312">
        <f ca="1">IF($BI6&lt;&gt;"",IF('Capacity summary'!$D$14="Yes",IF(COUNTBLANK('Capacity summary'!$H125:$BG125)&lt;52,IF('Capacity summary'!AG125&lt;&gt;"",IF(LOWER('Capacity summary'!AG125)="x",$BI6*AG6,VALUE('Capacity summary'!AG125)),0),AG6*$BI6),AG6*$BI6),0)</f>
        <v>64.008620689655174</v>
      </c>
      <c r="CK6" s="312">
        <f ca="1">IF($BI6&lt;&gt;"",IF('Capacity summary'!$D$14="Yes",IF(COUNTBLANK('Capacity summary'!$H125:$BG125)&lt;52,IF('Capacity summary'!AH125&lt;&gt;"",IF(LOWER('Capacity summary'!AH125)="x",$BI6*AH6,VALUE('Capacity summary'!AH125)),0),AH6*$BI6),AH6*$BI6),0)</f>
        <v>64.008620689655174</v>
      </c>
      <c r="CL6" s="312">
        <f ca="1">IF($BI6&lt;&gt;"",IF('Capacity summary'!$D$14="Yes",IF(COUNTBLANK('Capacity summary'!$H125:$BG125)&lt;52,IF('Capacity summary'!AI125&lt;&gt;"",IF(LOWER('Capacity summary'!AI125)="x",$BI6*AI6,VALUE('Capacity summary'!AI125)),0),AI6*$BI6),AI6*$BI6),0)</f>
        <v>64.008620689655174</v>
      </c>
      <c r="CM6" s="312">
        <f ca="1">IF($BI6&lt;&gt;"",IF('Capacity summary'!$D$14="Yes",IF(COUNTBLANK('Capacity summary'!$H125:$BG125)&lt;52,IF('Capacity summary'!AJ125&lt;&gt;"",IF(LOWER('Capacity summary'!AJ125)="x",$BI6*AJ6,VALUE('Capacity summary'!AJ125)),0),AJ6*$BI6),AJ6*$BI6),0)</f>
        <v>64.008620689655174</v>
      </c>
      <c r="CN6" s="312">
        <f ca="1">IF($BI6&lt;&gt;"",IF('Capacity summary'!$D$14="Yes",IF(COUNTBLANK('Capacity summary'!$H125:$BG125)&lt;52,IF('Capacity summary'!AK125&lt;&gt;"",IF(LOWER('Capacity summary'!AK125)="x",$BI6*AK6,VALUE('Capacity summary'!AK125)),0),AK6*$BI6),AK6*$BI6),0)</f>
        <v>64.008620689655174</v>
      </c>
      <c r="CO6" s="312">
        <f ca="1">IF($BI6&lt;&gt;"",IF('Capacity summary'!$D$14="Yes",IF(COUNTBLANK('Capacity summary'!$H125:$BG125)&lt;52,IF('Capacity summary'!AL125&lt;&gt;"",IF(LOWER('Capacity summary'!AL125)="x",$BI6*AL6,VALUE('Capacity summary'!AL125)),0),AL6*$BI6),AL6*$BI6),0)</f>
        <v>64.008620689655174</v>
      </c>
      <c r="CP6" s="312">
        <f ca="1">IF($BI6&lt;&gt;"",IF('Capacity summary'!$D$14="Yes",IF(COUNTBLANK('Capacity summary'!$H125:$BG125)&lt;52,IF('Capacity summary'!AM125&lt;&gt;"",IF(LOWER('Capacity summary'!AM125)="x",$BI6*AM6,VALUE('Capacity summary'!AM125)),0),AM6*$BI6),AM6*$BI6),0)</f>
        <v>64.008620689655174</v>
      </c>
      <c r="CQ6" s="312">
        <f ca="1">IF($BI6&lt;&gt;"",IF('Capacity summary'!$D$14="Yes",IF(COUNTBLANK('Capacity summary'!$H125:$BG125)&lt;52,IF('Capacity summary'!AN125&lt;&gt;"",IF(LOWER('Capacity summary'!AN125)="x",$BI6*AN6,VALUE('Capacity summary'!AN125)),0),AN6*$BI6),AN6*$BI6),0)</f>
        <v>64.008620689655174</v>
      </c>
      <c r="CR6" s="312">
        <f ca="1">IF($BI6&lt;&gt;"",IF('Capacity summary'!$D$14="Yes",IF(COUNTBLANK('Capacity summary'!$H125:$BG125)&lt;52,IF('Capacity summary'!AO125&lt;&gt;"",IF(LOWER('Capacity summary'!AO125)="x",$BI6*AO6,VALUE('Capacity summary'!AO125)),0),AO6*$BI6),AO6*$BI6),0)</f>
        <v>64.008620689655174</v>
      </c>
      <c r="CS6" s="312">
        <f ca="1">IF($BI6&lt;&gt;"",IF('Capacity summary'!$D$14="Yes",IF(COUNTBLANK('Capacity summary'!$H125:$BG125)&lt;52,IF('Capacity summary'!AP125&lt;&gt;"",IF(LOWER('Capacity summary'!AP125)="x",$BI6*AP6,VALUE('Capacity summary'!AP125)),0),AP6*$BI6),AP6*$BI6),0)</f>
        <v>64.008620689655174</v>
      </c>
      <c r="CT6" s="312">
        <f ca="1">IF($BI6&lt;&gt;"",IF('Capacity summary'!$D$14="Yes",IF(COUNTBLANK('Capacity summary'!$H125:$BG125)&lt;52,IF('Capacity summary'!AQ125&lt;&gt;"",IF(LOWER('Capacity summary'!AQ125)="x",$BI6*AQ6,VALUE('Capacity summary'!AQ125)),0),AQ6*$BI6),AQ6*$BI6),0)</f>
        <v>64.008620689655174</v>
      </c>
      <c r="CU6" s="312">
        <f ca="1">IF($BI6&lt;&gt;"",IF('Capacity summary'!$D$14="Yes",IF(COUNTBLANK('Capacity summary'!$H125:$BG125)&lt;52,IF('Capacity summary'!AR125&lt;&gt;"",IF(LOWER('Capacity summary'!AR125)="x",$BI6*AR6,VALUE('Capacity summary'!AR125)),0),AR6*$BI6),AR6*$BI6),0)</f>
        <v>64.008620689655174</v>
      </c>
      <c r="CV6" s="312">
        <f ca="1">IF($BI6&lt;&gt;"",IF('Capacity summary'!$D$14="Yes",IF(COUNTBLANK('Capacity summary'!$H125:$BG125)&lt;52,IF('Capacity summary'!AS125&lt;&gt;"",IF(LOWER('Capacity summary'!AS125)="x",$BI6*AS6,VALUE('Capacity summary'!AS125)),0),AS6*$BI6),AS6*$BI6),0)</f>
        <v>64.008620689655174</v>
      </c>
      <c r="CW6" s="312">
        <f ca="1">IF($BI6&lt;&gt;"",IF('Capacity summary'!$D$14="Yes",IF(COUNTBLANK('Capacity summary'!$H125:$BG125)&lt;52,IF('Capacity summary'!AT125&lt;&gt;"",IF(LOWER('Capacity summary'!AT125)="x",$BI6*AT6,VALUE('Capacity summary'!AT125)),0),AT6*$BI6),AT6*$BI6),0)</f>
        <v>64.008620689655174</v>
      </c>
      <c r="CX6" s="312">
        <f ca="1">IF($BI6&lt;&gt;"",IF('Capacity summary'!$D$14="Yes",IF(COUNTBLANK('Capacity summary'!$H125:$BG125)&lt;52,IF('Capacity summary'!AU125&lt;&gt;"",IF(LOWER('Capacity summary'!AU125)="x",$BI6*AU6,VALUE('Capacity summary'!AU125)),0),AU6*$BI6),AU6*$BI6),0)</f>
        <v>64.008620689655174</v>
      </c>
      <c r="CY6" s="312">
        <f ca="1">IF($BI6&lt;&gt;"",IF('Capacity summary'!$D$14="Yes",IF(COUNTBLANK('Capacity summary'!$H125:$BG125)&lt;52,IF('Capacity summary'!AV125&lt;&gt;"",IF(LOWER('Capacity summary'!AV125)="x",$BI6*AV6,VALUE('Capacity summary'!AV125)),0),AV6*$BI6),AV6*$BI6),0)</f>
        <v>64.008620689655174</v>
      </c>
      <c r="CZ6" s="312">
        <f ca="1">IF($BI6&lt;&gt;"",IF('Capacity summary'!$D$14="Yes",IF(COUNTBLANK('Capacity summary'!$H125:$BG125)&lt;52,IF('Capacity summary'!AW125&lt;&gt;"",IF(LOWER('Capacity summary'!AW125)="x",$BI6*AW6,VALUE('Capacity summary'!AW125)),0),AW6*$BI6),AW6*$BI6),0)</f>
        <v>64.008620689655174</v>
      </c>
      <c r="DA6" s="312">
        <f ca="1">IF($BI6&lt;&gt;"",IF('Capacity summary'!$D$14="Yes",IF(COUNTBLANK('Capacity summary'!$H125:$BG125)&lt;52,IF('Capacity summary'!AX125&lt;&gt;"",IF(LOWER('Capacity summary'!AX125)="x",$BI6*AX6,VALUE('Capacity summary'!AX125)),0),AX6*$BI6),AX6*$BI6),0)</f>
        <v>64.008620689655174</v>
      </c>
      <c r="DB6" s="312">
        <f ca="1">IF($BI6&lt;&gt;"",IF('Capacity summary'!$D$14="Yes",IF(COUNTBLANK('Capacity summary'!$H125:$BG125)&lt;52,IF('Capacity summary'!AY125&lt;&gt;"",IF(LOWER('Capacity summary'!AY125)="x",$BI6*AY6,VALUE('Capacity summary'!AY125)),0),AY6*$BI6),AY6*$BI6),0)</f>
        <v>64.008620689655174</v>
      </c>
      <c r="DC6" s="312">
        <f ca="1">IF($BI6&lt;&gt;"",IF('Capacity summary'!$D$14="Yes",IF(COUNTBLANK('Capacity summary'!$H125:$BG125)&lt;52,IF('Capacity summary'!AZ125&lt;&gt;"",IF(LOWER('Capacity summary'!AZ125)="x",$BI6*AZ6,VALUE('Capacity summary'!AZ125)),0),AZ6*$BI6),AZ6*$BI6),0)</f>
        <v>64.008620689655174</v>
      </c>
      <c r="DD6" s="312">
        <f ca="1">IF($BI6&lt;&gt;"",IF('Capacity summary'!$D$14="Yes",IF(COUNTBLANK('Capacity summary'!$H125:$BG125)&lt;52,IF('Capacity summary'!BA125&lt;&gt;"",IF(LOWER('Capacity summary'!BA125)="x",$BI6*BA6,VALUE('Capacity summary'!BA125)),0),BA6*$BI6),BA6*$BI6),0)</f>
        <v>64.008620689655174</v>
      </c>
      <c r="DE6" s="312">
        <f ca="1">IF($BI6&lt;&gt;"",IF('Capacity summary'!$D$14="Yes",IF(COUNTBLANK('Capacity summary'!$H125:$BG125)&lt;52,IF('Capacity summary'!BB125&lt;&gt;"",IF(LOWER('Capacity summary'!BB125)="x",$BI6*BB6,VALUE('Capacity summary'!BB125)),0),BB6*$BI6),BB6*$BI6),0)</f>
        <v>64.008620689655174</v>
      </c>
      <c r="DF6" s="312">
        <f ca="1">IF($BI6&lt;&gt;"",IF('Capacity summary'!$D$14="Yes",IF(COUNTBLANK('Capacity summary'!$H125:$BG125)&lt;52,IF('Capacity summary'!BC125&lt;&gt;"",IF(LOWER('Capacity summary'!BC125)="x",$BI6*BC6,VALUE('Capacity summary'!BC125)),0),BC6*$BI6),BC6*$BI6),0)</f>
        <v>64.008620689655174</v>
      </c>
      <c r="DG6" s="312">
        <f ca="1">IF($BI6&lt;&gt;"",IF('Capacity summary'!$D$14="Yes",IF(COUNTBLANK('Capacity summary'!$H125:$BG125)&lt;52,IF('Capacity summary'!BD125&lt;&gt;"",IF(LOWER('Capacity summary'!BD125)="x",$BI6*BD6,VALUE('Capacity summary'!BD125)),0),BD6*$BI6),BD6*$BI6),0)</f>
        <v>64.008620689655174</v>
      </c>
      <c r="DH6" s="312">
        <f ca="1">IF($BI6&lt;&gt;"",IF('Capacity summary'!$D$14="Yes",IF(COUNTBLANK('Capacity summary'!$H125:$BG125)&lt;52,IF('Capacity summary'!BE125&lt;&gt;"",IF(LOWER('Capacity summary'!BE125)="x",$BI6*BE6,VALUE('Capacity summary'!BE125)),0),BE6*$BI6),BE6*$BI6),0)</f>
        <v>64.008620689655174</v>
      </c>
      <c r="DI6" s="312">
        <f ca="1">IF($BI6&lt;&gt;"",IF('Capacity summary'!$D$14="Yes",IF(COUNTBLANK('Capacity summary'!$H125:$BG125)&lt;52,IF('Capacity summary'!BF125&lt;&gt;"",IF(LOWER('Capacity summary'!BF125)="x",$BI6*BF6,VALUE('Capacity summary'!BF125)),0),BF6*$BI6),BF6*$BI6),0)</f>
        <v>64.008620689655174</v>
      </c>
      <c r="DJ6" s="312">
        <f ca="1">IF($BI6&lt;&gt;"",IF('Capacity summary'!$D$14="Yes",IF(COUNTBLANK('Capacity summary'!$H125:$BG125)&lt;52,IF('Capacity summary'!BG125&lt;&gt;"",IF(LOWER('Capacity summary'!BG125)="x",$BI6*BG6,VALUE('Capacity summary'!BG125)),0),BG6*$BI6),BG6*$BI6),0)</f>
        <v>64.008620689655174</v>
      </c>
      <c r="DK6" s="136">
        <f t="shared" ca="1" si="2"/>
        <v>3328.4482758620711</v>
      </c>
      <c r="DL6" s="312">
        <f>Capacity!H18</f>
        <v>3328.4482758620693</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44.806034482758633</v>
      </c>
      <c r="BK7" s="312">
        <f ca="1">IF($BI7&lt;&gt;"",IF('Capacity summary'!$D$14="Yes",IF(COUNTBLANK('Capacity summary'!$H126:$BG126)&lt;52,IF('Capacity summary'!H126&lt;&gt;"",IF(LOWER('Capacity summary'!H126)="x",$BI7*H7,VALUE('Capacity summary'!H126)),0),H7*$BI7),H7*$BI7),0)</f>
        <v>44.806034482758633</v>
      </c>
      <c r="BL7" s="312">
        <f ca="1">IF($BI7&lt;&gt;"",IF('Capacity summary'!$D$14="Yes",IF(COUNTBLANK('Capacity summary'!$H126:$BG126)&lt;52,IF('Capacity summary'!I126&lt;&gt;"",IF(LOWER('Capacity summary'!I126)="x",$BI7*I7,VALUE('Capacity summary'!I126)),0),I7*$BI7),I7*$BI7),0)</f>
        <v>44.806034482758633</v>
      </c>
      <c r="BM7" s="312">
        <f ca="1">IF($BI7&lt;&gt;"",IF('Capacity summary'!$D$14="Yes",IF(COUNTBLANK('Capacity summary'!$H126:$BG126)&lt;52,IF('Capacity summary'!J126&lt;&gt;"",IF(LOWER('Capacity summary'!J126)="x",$BI7*J7,VALUE('Capacity summary'!J126)),0),J7*$BI7),J7*$BI7),0)</f>
        <v>44.806034482758633</v>
      </c>
      <c r="BN7" s="312">
        <f ca="1">IF($BI7&lt;&gt;"",IF('Capacity summary'!$D$14="Yes",IF(COUNTBLANK('Capacity summary'!$H126:$BG126)&lt;52,IF('Capacity summary'!K126&lt;&gt;"",IF(LOWER('Capacity summary'!K126)="x",$BI7*K7,VALUE('Capacity summary'!K126)),0),K7*$BI7),K7*$BI7),0)</f>
        <v>44.806034482758633</v>
      </c>
      <c r="BO7" s="312">
        <f ca="1">IF($BI7&lt;&gt;"",IF('Capacity summary'!$D$14="Yes",IF(COUNTBLANK('Capacity summary'!$H126:$BG126)&lt;52,IF('Capacity summary'!L126&lt;&gt;"",IF(LOWER('Capacity summary'!L126)="x",$BI7*L7,VALUE('Capacity summary'!L126)),0),L7*$BI7),L7*$BI7),0)</f>
        <v>44.806034482758633</v>
      </c>
      <c r="BP7" s="312">
        <f ca="1">IF($BI7&lt;&gt;"",IF('Capacity summary'!$D$14="Yes",IF(COUNTBLANK('Capacity summary'!$H126:$BG126)&lt;52,IF('Capacity summary'!M126&lt;&gt;"",IF(LOWER('Capacity summary'!M126)="x",$BI7*M7,VALUE('Capacity summary'!M126)),0),M7*$BI7),M7*$BI7),0)</f>
        <v>44.806034482758633</v>
      </c>
      <c r="BQ7" s="312">
        <f ca="1">IF($BI7&lt;&gt;"",IF('Capacity summary'!$D$14="Yes",IF(COUNTBLANK('Capacity summary'!$H126:$BG126)&lt;52,IF('Capacity summary'!N126&lt;&gt;"",IF(LOWER('Capacity summary'!N126)="x",$BI7*N7,VALUE('Capacity summary'!N126)),0),N7*$BI7),N7*$BI7),0)</f>
        <v>44.806034482758633</v>
      </c>
      <c r="BR7" s="312">
        <f ca="1">IF($BI7&lt;&gt;"",IF('Capacity summary'!$D$14="Yes",IF(COUNTBLANK('Capacity summary'!$H126:$BG126)&lt;52,IF('Capacity summary'!O126&lt;&gt;"",IF(LOWER('Capacity summary'!O126)="x",$BI7*O7,VALUE('Capacity summary'!O126)),0),O7*$BI7),O7*$BI7),0)</f>
        <v>44.806034482758633</v>
      </c>
      <c r="BS7" s="312">
        <f ca="1">IF($BI7&lt;&gt;"",IF('Capacity summary'!$D$14="Yes",IF(COUNTBLANK('Capacity summary'!$H126:$BG126)&lt;52,IF('Capacity summary'!P126&lt;&gt;"",IF(LOWER('Capacity summary'!P126)="x",$BI7*P7,VALUE('Capacity summary'!P126)),0),P7*$BI7),P7*$BI7),0)</f>
        <v>44.806034482758633</v>
      </c>
      <c r="BT7" s="312">
        <f ca="1">IF($BI7&lt;&gt;"",IF('Capacity summary'!$D$14="Yes",IF(COUNTBLANK('Capacity summary'!$H126:$BG126)&lt;52,IF('Capacity summary'!Q126&lt;&gt;"",IF(LOWER('Capacity summary'!Q126)="x",$BI7*Q7,VALUE('Capacity summary'!Q126)),0),Q7*$BI7),Q7*$BI7),0)</f>
        <v>44.806034482758633</v>
      </c>
      <c r="BU7" s="312">
        <f ca="1">IF($BI7&lt;&gt;"",IF('Capacity summary'!$D$14="Yes",IF(COUNTBLANK('Capacity summary'!$H126:$BG126)&lt;52,IF('Capacity summary'!R126&lt;&gt;"",IF(LOWER('Capacity summary'!R126)="x",$BI7*R7,VALUE('Capacity summary'!R126)),0),R7*$BI7),R7*$BI7),0)</f>
        <v>44.806034482758633</v>
      </c>
      <c r="BV7" s="312">
        <f ca="1">IF($BI7&lt;&gt;"",IF('Capacity summary'!$D$14="Yes",IF(COUNTBLANK('Capacity summary'!$H126:$BG126)&lt;52,IF('Capacity summary'!S126&lt;&gt;"",IF(LOWER('Capacity summary'!S126)="x",$BI7*S7,VALUE('Capacity summary'!S126)),0),S7*$BI7),S7*$BI7),0)</f>
        <v>44.806034482758633</v>
      </c>
      <c r="BW7" s="312">
        <f ca="1">IF($BI7&lt;&gt;"",IF('Capacity summary'!$D$14="Yes",IF(COUNTBLANK('Capacity summary'!$H126:$BG126)&lt;52,IF('Capacity summary'!T126&lt;&gt;"",IF(LOWER('Capacity summary'!T126)="x",$BI7*T7,VALUE('Capacity summary'!T126)),0),T7*$BI7),T7*$BI7),0)</f>
        <v>44.806034482758633</v>
      </c>
      <c r="BX7" s="312">
        <f ca="1">IF($BI7&lt;&gt;"",IF('Capacity summary'!$D$14="Yes",IF(COUNTBLANK('Capacity summary'!$H126:$BG126)&lt;52,IF('Capacity summary'!U126&lt;&gt;"",IF(LOWER('Capacity summary'!U126)="x",$BI7*U7,VALUE('Capacity summary'!U126)),0),U7*$BI7),U7*$BI7),0)</f>
        <v>44.806034482758633</v>
      </c>
      <c r="BY7" s="312">
        <f ca="1">IF($BI7&lt;&gt;"",IF('Capacity summary'!$D$14="Yes",IF(COUNTBLANK('Capacity summary'!$H126:$BG126)&lt;52,IF('Capacity summary'!V126&lt;&gt;"",IF(LOWER('Capacity summary'!V126)="x",$BI7*V7,VALUE('Capacity summary'!V126)),0),V7*$BI7),V7*$BI7),0)</f>
        <v>44.806034482758633</v>
      </c>
      <c r="BZ7" s="312">
        <f ca="1">IF($BI7&lt;&gt;"",IF('Capacity summary'!$D$14="Yes",IF(COUNTBLANK('Capacity summary'!$H126:$BG126)&lt;52,IF('Capacity summary'!W126&lt;&gt;"",IF(LOWER('Capacity summary'!W126)="x",$BI7*W7,VALUE('Capacity summary'!W126)),0),W7*$BI7),W7*$BI7),0)</f>
        <v>44.806034482758633</v>
      </c>
      <c r="CA7" s="312">
        <f ca="1">IF($BI7&lt;&gt;"",IF('Capacity summary'!$D$14="Yes",IF(COUNTBLANK('Capacity summary'!$H126:$BG126)&lt;52,IF('Capacity summary'!X126&lt;&gt;"",IF(LOWER('Capacity summary'!X126)="x",$BI7*X7,VALUE('Capacity summary'!X126)),0),X7*$BI7),X7*$BI7),0)</f>
        <v>44.806034482758633</v>
      </c>
      <c r="CB7" s="312">
        <f ca="1">IF($BI7&lt;&gt;"",IF('Capacity summary'!$D$14="Yes",IF(COUNTBLANK('Capacity summary'!$H126:$BG126)&lt;52,IF('Capacity summary'!Y126&lt;&gt;"",IF(LOWER('Capacity summary'!Y126)="x",$BI7*Y7,VALUE('Capacity summary'!Y126)),0),Y7*$BI7),Y7*$BI7),0)</f>
        <v>44.806034482758633</v>
      </c>
      <c r="CC7" s="312">
        <f ca="1">IF($BI7&lt;&gt;"",IF('Capacity summary'!$D$14="Yes",IF(COUNTBLANK('Capacity summary'!$H126:$BG126)&lt;52,IF('Capacity summary'!Z126&lt;&gt;"",IF(LOWER('Capacity summary'!Z126)="x",$BI7*Z7,VALUE('Capacity summary'!Z126)),0),Z7*$BI7),Z7*$BI7),0)</f>
        <v>44.806034482758633</v>
      </c>
      <c r="CD7" s="312">
        <f ca="1">IF($BI7&lt;&gt;"",IF('Capacity summary'!$D$14="Yes",IF(COUNTBLANK('Capacity summary'!$H126:$BG126)&lt;52,IF('Capacity summary'!AA126&lt;&gt;"",IF(LOWER('Capacity summary'!AA126)="x",$BI7*AA7,VALUE('Capacity summary'!AA126)),0),AA7*$BI7),AA7*$BI7),0)</f>
        <v>44.806034482758633</v>
      </c>
      <c r="CE7" s="312">
        <f ca="1">IF($BI7&lt;&gt;"",IF('Capacity summary'!$D$14="Yes",IF(COUNTBLANK('Capacity summary'!$H126:$BG126)&lt;52,IF('Capacity summary'!AB126&lt;&gt;"",IF(LOWER('Capacity summary'!AB126)="x",$BI7*AB7,VALUE('Capacity summary'!AB126)),0),AB7*$BI7),AB7*$BI7),0)</f>
        <v>44.806034482758633</v>
      </c>
      <c r="CF7" s="312">
        <f ca="1">IF($BI7&lt;&gt;"",IF('Capacity summary'!$D$14="Yes",IF(COUNTBLANK('Capacity summary'!$H126:$BG126)&lt;52,IF('Capacity summary'!AC126&lt;&gt;"",IF(LOWER('Capacity summary'!AC126)="x",$BI7*AC7,VALUE('Capacity summary'!AC126)),0),AC7*$BI7),AC7*$BI7),0)</f>
        <v>44.806034482758633</v>
      </c>
      <c r="CG7" s="312">
        <f ca="1">IF($BI7&lt;&gt;"",IF('Capacity summary'!$D$14="Yes",IF(COUNTBLANK('Capacity summary'!$H126:$BG126)&lt;52,IF('Capacity summary'!AD126&lt;&gt;"",IF(LOWER('Capacity summary'!AD126)="x",$BI7*AD7,VALUE('Capacity summary'!AD126)),0),AD7*$BI7),AD7*$BI7),0)</f>
        <v>44.806034482758633</v>
      </c>
      <c r="CH7" s="312">
        <f ca="1">IF($BI7&lt;&gt;"",IF('Capacity summary'!$D$14="Yes",IF(COUNTBLANK('Capacity summary'!$H126:$BG126)&lt;52,IF('Capacity summary'!AE126&lt;&gt;"",IF(LOWER('Capacity summary'!AE126)="x",$BI7*AE7,VALUE('Capacity summary'!AE126)),0),AE7*$BI7),AE7*$BI7),0)</f>
        <v>44.806034482758633</v>
      </c>
      <c r="CI7" s="312">
        <f ca="1">IF($BI7&lt;&gt;"",IF('Capacity summary'!$D$14="Yes",IF(COUNTBLANK('Capacity summary'!$H126:$BG126)&lt;52,IF('Capacity summary'!AF126&lt;&gt;"",IF(LOWER('Capacity summary'!AF126)="x",$BI7*AF7,VALUE('Capacity summary'!AF126)),0),AF7*$BI7),AF7*$BI7),0)</f>
        <v>44.806034482758633</v>
      </c>
      <c r="CJ7" s="312">
        <f ca="1">IF($BI7&lt;&gt;"",IF('Capacity summary'!$D$14="Yes",IF(COUNTBLANK('Capacity summary'!$H126:$BG126)&lt;52,IF('Capacity summary'!AG126&lt;&gt;"",IF(LOWER('Capacity summary'!AG126)="x",$BI7*AG7,VALUE('Capacity summary'!AG126)),0),AG7*$BI7),AG7*$BI7),0)</f>
        <v>44.806034482758633</v>
      </c>
      <c r="CK7" s="312">
        <f ca="1">IF($BI7&lt;&gt;"",IF('Capacity summary'!$D$14="Yes",IF(COUNTBLANK('Capacity summary'!$H126:$BG126)&lt;52,IF('Capacity summary'!AH126&lt;&gt;"",IF(LOWER('Capacity summary'!AH126)="x",$BI7*AH7,VALUE('Capacity summary'!AH126)),0),AH7*$BI7),AH7*$BI7),0)</f>
        <v>44.806034482758633</v>
      </c>
      <c r="CL7" s="312">
        <f ca="1">IF($BI7&lt;&gt;"",IF('Capacity summary'!$D$14="Yes",IF(COUNTBLANK('Capacity summary'!$H126:$BG126)&lt;52,IF('Capacity summary'!AI126&lt;&gt;"",IF(LOWER('Capacity summary'!AI126)="x",$BI7*AI7,VALUE('Capacity summary'!AI126)),0),AI7*$BI7),AI7*$BI7),0)</f>
        <v>44.806034482758633</v>
      </c>
      <c r="CM7" s="312">
        <f ca="1">IF($BI7&lt;&gt;"",IF('Capacity summary'!$D$14="Yes",IF(COUNTBLANK('Capacity summary'!$H126:$BG126)&lt;52,IF('Capacity summary'!AJ126&lt;&gt;"",IF(LOWER('Capacity summary'!AJ126)="x",$BI7*AJ7,VALUE('Capacity summary'!AJ126)),0),AJ7*$BI7),AJ7*$BI7),0)</f>
        <v>44.806034482758633</v>
      </c>
      <c r="CN7" s="312">
        <f ca="1">IF($BI7&lt;&gt;"",IF('Capacity summary'!$D$14="Yes",IF(COUNTBLANK('Capacity summary'!$H126:$BG126)&lt;52,IF('Capacity summary'!AK126&lt;&gt;"",IF(LOWER('Capacity summary'!AK126)="x",$BI7*AK7,VALUE('Capacity summary'!AK126)),0),AK7*$BI7),AK7*$BI7),0)</f>
        <v>44.806034482758633</v>
      </c>
      <c r="CO7" s="312">
        <f ca="1">IF($BI7&lt;&gt;"",IF('Capacity summary'!$D$14="Yes",IF(COUNTBLANK('Capacity summary'!$H126:$BG126)&lt;52,IF('Capacity summary'!AL126&lt;&gt;"",IF(LOWER('Capacity summary'!AL126)="x",$BI7*AL7,VALUE('Capacity summary'!AL126)),0),AL7*$BI7),AL7*$BI7),0)</f>
        <v>44.806034482758633</v>
      </c>
      <c r="CP7" s="312">
        <f ca="1">IF($BI7&lt;&gt;"",IF('Capacity summary'!$D$14="Yes",IF(COUNTBLANK('Capacity summary'!$H126:$BG126)&lt;52,IF('Capacity summary'!AM126&lt;&gt;"",IF(LOWER('Capacity summary'!AM126)="x",$BI7*AM7,VALUE('Capacity summary'!AM126)),0),AM7*$BI7),AM7*$BI7),0)</f>
        <v>44.806034482758633</v>
      </c>
      <c r="CQ7" s="312">
        <f ca="1">IF($BI7&lt;&gt;"",IF('Capacity summary'!$D$14="Yes",IF(COUNTBLANK('Capacity summary'!$H126:$BG126)&lt;52,IF('Capacity summary'!AN126&lt;&gt;"",IF(LOWER('Capacity summary'!AN126)="x",$BI7*AN7,VALUE('Capacity summary'!AN126)),0),AN7*$BI7),AN7*$BI7),0)</f>
        <v>44.806034482758633</v>
      </c>
      <c r="CR7" s="312">
        <f ca="1">IF($BI7&lt;&gt;"",IF('Capacity summary'!$D$14="Yes",IF(COUNTBLANK('Capacity summary'!$H126:$BG126)&lt;52,IF('Capacity summary'!AO126&lt;&gt;"",IF(LOWER('Capacity summary'!AO126)="x",$BI7*AO7,VALUE('Capacity summary'!AO126)),0),AO7*$BI7),AO7*$BI7),0)</f>
        <v>44.806034482758633</v>
      </c>
      <c r="CS7" s="312">
        <f ca="1">IF($BI7&lt;&gt;"",IF('Capacity summary'!$D$14="Yes",IF(COUNTBLANK('Capacity summary'!$H126:$BG126)&lt;52,IF('Capacity summary'!AP126&lt;&gt;"",IF(LOWER('Capacity summary'!AP126)="x",$BI7*AP7,VALUE('Capacity summary'!AP126)),0),AP7*$BI7),AP7*$BI7),0)</f>
        <v>44.806034482758633</v>
      </c>
      <c r="CT7" s="312">
        <f ca="1">IF($BI7&lt;&gt;"",IF('Capacity summary'!$D$14="Yes",IF(COUNTBLANK('Capacity summary'!$H126:$BG126)&lt;52,IF('Capacity summary'!AQ126&lt;&gt;"",IF(LOWER('Capacity summary'!AQ126)="x",$BI7*AQ7,VALUE('Capacity summary'!AQ126)),0),AQ7*$BI7),AQ7*$BI7),0)</f>
        <v>44.806034482758633</v>
      </c>
      <c r="CU7" s="312">
        <f ca="1">IF($BI7&lt;&gt;"",IF('Capacity summary'!$D$14="Yes",IF(COUNTBLANK('Capacity summary'!$H126:$BG126)&lt;52,IF('Capacity summary'!AR126&lt;&gt;"",IF(LOWER('Capacity summary'!AR126)="x",$BI7*AR7,VALUE('Capacity summary'!AR126)),0),AR7*$BI7),AR7*$BI7),0)</f>
        <v>44.806034482758633</v>
      </c>
      <c r="CV7" s="312">
        <f ca="1">IF($BI7&lt;&gt;"",IF('Capacity summary'!$D$14="Yes",IF(COUNTBLANK('Capacity summary'!$H126:$BG126)&lt;52,IF('Capacity summary'!AS126&lt;&gt;"",IF(LOWER('Capacity summary'!AS126)="x",$BI7*AS7,VALUE('Capacity summary'!AS126)),0),AS7*$BI7),AS7*$BI7),0)</f>
        <v>44.806034482758633</v>
      </c>
      <c r="CW7" s="312">
        <f ca="1">IF($BI7&lt;&gt;"",IF('Capacity summary'!$D$14="Yes",IF(COUNTBLANK('Capacity summary'!$H126:$BG126)&lt;52,IF('Capacity summary'!AT126&lt;&gt;"",IF(LOWER('Capacity summary'!AT126)="x",$BI7*AT7,VALUE('Capacity summary'!AT126)),0),AT7*$BI7),AT7*$BI7),0)</f>
        <v>44.806034482758633</v>
      </c>
      <c r="CX7" s="312">
        <f ca="1">IF($BI7&lt;&gt;"",IF('Capacity summary'!$D$14="Yes",IF(COUNTBLANK('Capacity summary'!$H126:$BG126)&lt;52,IF('Capacity summary'!AU126&lt;&gt;"",IF(LOWER('Capacity summary'!AU126)="x",$BI7*AU7,VALUE('Capacity summary'!AU126)),0),AU7*$BI7),AU7*$BI7),0)</f>
        <v>44.806034482758633</v>
      </c>
      <c r="CY7" s="312">
        <f ca="1">IF($BI7&lt;&gt;"",IF('Capacity summary'!$D$14="Yes",IF(COUNTBLANK('Capacity summary'!$H126:$BG126)&lt;52,IF('Capacity summary'!AV126&lt;&gt;"",IF(LOWER('Capacity summary'!AV126)="x",$BI7*AV7,VALUE('Capacity summary'!AV126)),0),AV7*$BI7),AV7*$BI7),0)</f>
        <v>44.806034482758633</v>
      </c>
      <c r="CZ7" s="312">
        <f ca="1">IF($BI7&lt;&gt;"",IF('Capacity summary'!$D$14="Yes",IF(COUNTBLANK('Capacity summary'!$H126:$BG126)&lt;52,IF('Capacity summary'!AW126&lt;&gt;"",IF(LOWER('Capacity summary'!AW126)="x",$BI7*AW7,VALUE('Capacity summary'!AW126)),0),AW7*$BI7),AW7*$BI7),0)</f>
        <v>44.806034482758633</v>
      </c>
      <c r="DA7" s="312">
        <f ca="1">IF($BI7&lt;&gt;"",IF('Capacity summary'!$D$14="Yes",IF(COUNTBLANK('Capacity summary'!$H126:$BG126)&lt;52,IF('Capacity summary'!AX126&lt;&gt;"",IF(LOWER('Capacity summary'!AX126)="x",$BI7*AX7,VALUE('Capacity summary'!AX126)),0),AX7*$BI7),AX7*$BI7),0)</f>
        <v>44.806034482758633</v>
      </c>
      <c r="DB7" s="312">
        <f ca="1">IF($BI7&lt;&gt;"",IF('Capacity summary'!$D$14="Yes",IF(COUNTBLANK('Capacity summary'!$H126:$BG126)&lt;52,IF('Capacity summary'!AY126&lt;&gt;"",IF(LOWER('Capacity summary'!AY126)="x",$BI7*AY7,VALUE('Capacity summary'!AY126)),0),AY7*$BI7),AY7*$BI7),0)</f>
        <v>44.806034482758633</v>
      </c>
      <c r="DC7" s="312">
        <f ca="1">IF($BI7&lt;&gt;"",IF('Capacity summary'!$D$14="Yes",IF(COUNTBLANK('Capacity summary'!$H126:$BG126)&lt;52,IF('Capacity summary'!AZ126&lt;&gt;"",IF(LOWER('Capacity summary'!AZ126)="x",$BI7*AZ7,VALUE('Capacity summary'!AZ126)),0),AZ7*$BI7),AZ7*$BI7),0)</f>
        <v>44.806034482758633</v>
      </c>
      <c r="DD7" s="312">
        <f ca="1">IF($BI7&lt;&gt;"",IF('Capacity summary'!$D$14="Yes",IF(COUNTBLANK('Capacity summary'!$H126:$BG126)&lt;52,IF('Capacity summary'!BA126&lt;&gt;"",IF(LOWER('Capacity summary'!BA126)="x",$BI7*BA7,VALUE('Capacity summary'!BA126)),0),BA7*$BI7),BA7*$BI7),0)</f>
        <v>44.806034482758633</v>
      </c>
      <c r="DE7" s="312">
        <f ca="1">IF($BI7&lt;&gt;"",IF('Capacity summary'!$D$14="Yes",IF(COUNTBLANK('Capacity summary'!$H126:$BG126)&lt;52,IF('Capacity summary'!BB126&lt;&gt;"",IF(LOWER('Capacity summary'!BB126)="x",$BI7*BB7,VALUE('Capacity summary'!BB126)),0),BB7*$BI7),BB7*$BI7),0)</f>
        <v>44.806034482758633</v>
      </c>
      <c r="DF7" s="312">
        <f ca="1">IF($BI7&lt;&gt;"",IF('Capacity summary'!$D$14="Yes",IF(COUNTBLANK('Capacity summary'!$H126:$BG126)&lt;52,IF('Capacity summary'!BC126&lt;&gt;"",IF(LOWER('Capacity summary'!BC126)="x",$BI7*BC7,VALUE('Capacity summary'!BC126)),0),BC7*$BI7),BC7*$BI7),0)</f>
        <v>44.806034482758633</v>
      </c>
      <c r="DG7" s="312">
        <f ca="1">IF($BI7&lt;&gt;"",IF('Capacity summary'!$D$14="Yes",IF(COUNTBLANK('Capacity summary'!$H126:$BG126)&lt;52,IF('Capacity summary'!BD126&lt;&gt;"",IF(LOWER('Capacity summary'!BD126)="x",$BI7*BD7,VALUE('Capacity summary'!BD126)),0),BD7*$BI7),BD7*$BI7),0)</f>
        <v>44.806034482758633</v>
      </c>
      <c r="DH7" s="312">
        <f ca="1">IF($BI7&lt;&gt;"",IF('Capacity summary'!$D$14="Yes",IF(COUNTBLANK('Capacity summary'!$H126:$BG126)&lt;52,IF('Capacity summary'!BE126&lt;&gt;"",IF(LOWER('Capacity summary'!BE126)="x",$BI7*BE7,VALUE('Capacity summary'!BE126)),0),BE7*$BI7),BE7*$BI7),0)</f>
        <v>44.806034482758633</v>
      </c>
      <c r="DI7" s="312">
        <f ca="1">IF($BI7&lt;&gt;"",IF('Capacity summary'!$D$14="Yes",IF(COUNTBLANK('Capacity summary'!$H126:$BG126)&lt;52,IF('Capacity summary'!BF126&lt;&gt;"",IF(LOWER('Capacity summary'!BF126)="x",$BI7*BF7,VALUE('Capacity summary'!BF126)),0),BF7*$BI7),BF7*$BI7),0)</f>
        <v>44.806034482758633</v>
      </c>
      <c r="DJ7" s="312">
        <f ca="1">IF($BI7&lt;&gt;"",IF('Capacity summary'!$D$14="Yes",IF(COUNTBLANK('Capacity summary'!$H126:$BG126)&lt;52,IF('Capacity summary'!BG126&lt;&gt;"",IF(LOWER('Capacity summary'!BG126)="x",$BI7*BG7,VALUE('Capacity summary'!BG126)),0),BG7*$BI7),BG7*$BI7),0)</f>
        <v>44.806034482758633</v>
      </c>
      <c r="DK7" s="136">
        <f t="shared" ca="1" si="2"/>
        <v>2329.9137931034479</v>
      </c>
      <c r="DL7" s="312">
        <f>Capacity!H19</f>
        <v>2329.9137931034488</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85.344827586206904</v>
      </c>
      <c r="BK8" s="312">
        <f ca="1">IF($BI8&lt;&gt;"",IF('Capacity summary'!$D$14="Yes",IF(COUNTBLANK('Capacity summary'!$H127:$BG127)&lt;52,IF('Capacity summary'!H127&lt;&gt;"",IF(LOWER('Capacity summary'!H127)="x",$BI8*H8,VALUE('Capacity summary'!H127)),0),H8*$BI8),H8*$BI8),0)</f>
        <v>85.344827586206904</v>
      </c>
      <c r="BL8" s="312">
        <f ca="1">IF($BI8&lt;&gt;"",IF('Capacity summary'!$D$14="Yes",IF(COUNTBLANK('Capacity summary'!$H127:$BG127)&lt;52,IF('Capacity summary'!I127&lt;&gt;"",IF(LOWER('Capacity summary'!I127)="x",$BI8*I8,VALUE('Capacity summary'!I127)),0),I8*$BI8),I8*$BI8),0)</f>
        <v>85.344827586206904</v>
      </c>
      <c r="BM8" s="312">
        <f ca="1">IF($BI8&lt;&gt;"",IF('Capacity summary'!$D$14="Yes",IF(COUNTBLANK('Capacity summary'!$H127:$BG127)&lt;52,IF('Capacity summary'!J127&lt;&gt;"",IF(LOWER('Capacity summary'!J127)="x",$BI8*J8,VALUE('Capacity summary'!J127)),0),J8*$BI8),J8*$BI8),0)</f>
        <v>85.344827586206904</v>
      </c>
      <c r="BN8" s="312">
        <f ca="1">IF($BI8&lt;&gt;"",IF('Capacity summary'!$D$14="Yes",IF(COUNTBLANK('Capacity summary'!$H127:$BG127)&lt;52,IF('Capacity summary'!K127&lt;&gt;"",IF(LOWER('Capacity summary'!K127)="x",$BI8*K8,VALUE('Capacity summary'!K127)),0),K8*$BI8),K8*$BI8),0)</f>
        <v>85.344827586206904</v>
      </c>
      <c r="BO8" s="312">
        <f ca="1">IF($BI8&lt;&gt;"",IF('Capacity summary'!$D$14="Yes",IF(COUNTBLANK('Capacity summary'!$H127:$BG127)&lt;52,IF('Capacity summary'!L127&lt;&gt;"",IF(LOWER('Capacity summary'!L127)="x",$BI8*L8,VALUE('Capacity summary'!L127)),0),L8*$BI8),L8*$BI8),0)</f>
        <v>85.344827586206904</v>
      </c>
      <c r="BP8" s="312">
        <f ca="1">IF($BI8&lt;&gt;"",IF('Capacity summary'!$D$14="Yes",IF(COUNTBLANK('Capacity summary'!$H127:$BG127)&lt;52,IF('Capacity summary'!M127&lt;&gt;"",IF(LOWER('Capacity summary'!M127)="x",$BI8*M8,VALUE('Capacity summary'!M127)),0),M8*$BI8),M8*$BI8),0)</f>
        <v>85.344827586206904</v>
      </c>
      <c r="BQ8" s="312">
        <f ca="1">IF($BI8&lt;&gt;"",IF('Capacity summary'!$D$14="Yes",IF(COUNTBLANK('Capacity summary'!$H127:$BG127)&lt;52,IF('Capacity summary'!N127&lt;&gt;"",IF(LOWER('Capacity summary'!N127)="x",$BI8*N8,VALUE('Capacity summary'!N127)),0),N8*$BI8),N8*$BI8),0)</f>
        <v>85.344827586206904</v>
      </c>
      <c r="BR8" s="312">
        <f ca="1">IF($BI8&lt;&gt;"",IF('Capacity summary'!$D$14="Yes",IF(COUNTBLANK('Capacity summary'!$H127:$BG127)&lt;52,IF('Capacity summary'!O127&lt;&gt;"",IF(LOWER('Capacity summary'!O127)="x",$BI8*O8,VALUE('Capacity summary'!O127)),0),O8*$BI8),O8*$BI8),0)</f>
        <v>85.344827586206904</v>
      </c>
      <c r="BS8" s="312">
        <f ca="1">IF($BI8&lt;&gt;"",IF('Capacity summary'!$D$14="Yes",IF(COUNTBLANK('Capacity summary'!$H127:$BG127)&lt;52,IF('Capacity summary'!P127&lt;&gt;"",IF(LOWER('Capacity summary'!P127)="x",$BI8*P8,VALUE('Capacity summary'!P127)),0),P8*$BI8),P8*$BI8),0)</f>
        <v>85.344827586206904</v>
      </c>
      <c r="BT8" s="312">
        <f ca="1">IF($BI8&lt;&gt;"",IF('Capacity summary'!$D$14="Yes",IF(COUNTBLANK('Capacity summary'!$H127:$BG127)&lt;52,IF('Capacity summary'!Q127&lt;&gt;"",IF(LOWER('Capacity summary'!Q127)="x",$BI8*Q8,VALUE('Capacity summary'!Q127)),0),Q8*$BI8),Q8*$BI8),0)</f>
        <v>85.344827586206904</v>
      </c>
      <c r="BU8" s="312">
        <f ca="1">IF($BI8&lt;&gt;"",IF('Capacity summary'!$D$14="Yes",IF(COUNTBLANK('Capacity summary'!$H127:$BG127)&lt;52,IF('Capacity summary'!R127&lt;&gt;"",IF(LOWER('Capacity summary'!R127)="x",$BI8*R8,VALUE('Capacity summary'!R127)),0),R8*$BI8),R8*$BI8),0)</f>
        <v>85.344827586206904</v>
      </c>
      <c r="BV8" s="312">
        <f ca="1">IF($BI8&lt;&gt;"",IF('Capacity summary'!$D$14="Yes",IF(COUNTBLANK('Capacity summary'!$H127:$BG127)&lt;52,IF('Capacity summary'!S127&lt;&gt;"",IF(LOWER('Capacity summary'!S127)="x",$BI8*S8,VALUE('Capacity summary'!S127)),0),S8*$BI8),S8*$BI8),0)</f>
        <v>85.344827586206904</v>
      </c>
      <c r="BW8" s="312">
        <f ca="1">IF($BI8&lt;&gt;"",IF('Capacity summary'!$D$14="Yes",IF(COUNTBLANK('Capacity summary'!$H127:$BG127)&lt;52,IF('Capacity summary'!T127&lt;&gt;"",IF(LOWER('Capacity summary'!T127)="x",$BI8*T8,VALUE('Capacity summary'!T127)),0),T8*$BI8),T8*$BI8),0)</f>
        <v>85.344827586206904</v>
      </c>
      <c r="BX8" s="312">
        <f ca="1">IF($BI8&lt;&gt;"",IF('Capacity summary'!$D$14="Yes",IF(COUNTBLANK('Capacity summary'!$H127:$BG127)&lt;52,IF('Capacity summary'!U127&lt;&gt;"",IF(LOWER('Capacity summary'!U127)="x",$BI8*U8,VALUE('Capacity summary'!U127)),0),U8*$BI8),U8*$BI8),0)</f>
        <v>85.344827586206904</v>
      </c>
      <c r="BY8" s="312">
        <f ca="1">IF($BI8&lt;&gt;"",IF('Capacity summary'!$D$14="Yes",IF(COUNTBLANK('Capacity summary'!$H127:$BG127)&lt;52,IF('Capacity summary'!V127&lt;&gt;"",IF(LOWER('Capacity summary'!V127)="x",$BI8*V8,VALUE('Capacity summary'!V127)),0),V8*$BI8),V8*$BI8),0)</f>
        <v>85.344827586206904</v>
      </c>
      <c r="BZ8" s="312">
        <f ca="1">IF($BI8&lt;&gt;"",IF('Capacity summary'!$D$14="Yes",IF(COUNTBLANK('Capacity summary'!$H127:$BG127)&lt;52,IF('Capacity summary'!W127&lt;&gt;"",IF(LOWER('Capacity summary'!W127)="x",$BI8*W8,VALUE('Capacity summary'!W127)),0),W8*$BI8),W8*$BI8),0)</f>
        <v>85.344827586206904</v>
      </c>
      <c r="CA8" s="312">
        <f ca="1">IF($BI8&lt;&gt;"",IF('Capacity summary'!$D$14="Yes",IF(COUNTBLANK('Capacity summary'!$H127:$BG127)&lt;52,IF('Capacity summary'!X127&lt;&gt;"",IF(LOWER('Capacity summary'!X127)="x",$BI8*X8,VALUE('Capacity summary'!X127)),0),X8*$BI8),X8*$BI8),0)</f>
        <v>85.344827586206904</v>
      </c>
      <c r="CB8" s="312">
        <f ca="1">IF($BI8&lt;&gt;"",IF('Capacity summary'!$D$14="Yes",IF(COUNTBLANK('Capacity summary'!$H127:$BG127)&lt;52,IF('Capacity summary'!Y127&lt;&gt;"",IF(LOWER('Capacity summary'!Y127)="x",$BI8*Y8,VALUE('Capacity summary'!Y127)),0),Y8*$BI8),Y8*$BI8),0)</f>
        <v>85.344827586206904</v>
      </c>
      <c r="CC8" s="312">
        <f ca="1">IF($BI8&lt;&gt;"",IF('Capacity summary'!$D$14="Yes",IF(COUNTBLANK('Capacity summary'!$H127:$BG127)&lt;52,IF('Capacity summary'!Z127&lt;&gt;"",IF(LOWER('Capacity summary'!Z127)="x",$BI8*Z8,VALUE('Capacity summary'!Z127)),0),Z8*$BI8),Z8*$BI8),0)</f>
        <v>85.344827586206904</v>
      </c>
      <c r="CD8" s="312">
        <f ca="1">IF($BI8&lt;&gt;"",IF('Capacity summary'!$D$14="Yes",IF(COUNTBLANK('Capacity summary'!$H127:$BG127)&lt;52,IF('Capacity summary'!AA127&lt;&gt;"",IF(LOWER('Capacity summary'!AA127)="x",$BI8*AA8,VALUE('Capacity summary'!AA127)),0),AA8*$BI8),AA8*$BI8),0)</f>
        <v>85.344827586206904</v>
      </c>
      <c r="CE8" s="312">
        <f ca="1">IF($BI8&lt;&gt;"",IF('Capacity summary'!$D$14="Yes",IF(COUNTBLANK('Capacity summary'!$H127:$BG127)&lt;52,IF('Capacity summary'!AB127&lt;&gt;"",IF(LOWER('Capacity summary'!AB127)="x",$BI8*AB8,VALUE('Capacity summary'!AB127)),0),AB8*$BI8),AB8*$BI8),0)</f>
        <v>85.344827586206904</v>
      </c>
      <c r="CF8" s="312">
        <f ca="1">IF($BI8&lt;&gt;"",IF('Capacity summary'!$D$14="Yes",IF(COUNTBLANK('Capacity summary'!$H127:$BG127)&lt;52,IF('Capacity summary'!AC127&lt;&gt;"",IF(LOWER('Capacity summary'!AC127)="x",$BI8*AC8,VALUE('Capacity summary'!AC127)),0),AC8*$BI8),AC8*$BI8),0)</f>
        <v>85.344827586206904</v>
      </c>
      <c r="CG8" s="312">
        <f ca="1">IF($BI8&lt;&gt;"",IF('Capacity summary'!$D$14="Yes",IF(COUNTBLANK('Capacity summary'!$H127:$BG127)&lt;52,IF('Capacity summary'!AD127&lt;&gt;"",IF(LOWER('Capacity summary'!AD127)="x",$BI8*AD8,VALUE('Capacity summary'!AD127)),0),AD8*$BI8),AD8*$BI8),0)</f>
        <v>85.344827586206904</v>
      </c>
      <c r="CH8" s="312">
        <f ca="1">IF($BI8&lt;&gt;"",IF('Capacity summary'!$D$14="Yes",IF(COUNTBLANK('Capacity summary'!$H127:$BG127)&lt;52,IF('Capacity summary'!AE127&lt;&gt;"",IF(LOWER('Capacity summary'!AE127)="x",$BI8*AE8,VALUE('Capacity summary'!AE127)),0),AE8*$BI8),AE8*$BI8),0)</f>
        <v>85.344827586206904</v>
      </c>
      <c r="CI8" s="312">
        <f ca="1">IF($BI8&lt;&gt;"",IF('Capacity summary'!$D$14="Yes",IF(COUNTBLANK('Capacity summary'!$H127:$BG127)&lt;52,IF('Capacity summary'!AF127&lt;&gt;"",IF(LOWER('Capacity summary'!AF127)="x",$BI8*AF8,VALUE('Capacity summary'!AF127)),0),AF8*$BI8),AF8*$BI8),0)</f>
        <v>85.344827586206904</v>
      </c>
      <c r="CJ8" s="312">
        <f ca="1">IF($BI8&lt;&gt;"",IF('Capacity summary'!$D$14="Yes",IF(COUNTBLANK('Capacity summary'!$H127:$BG127)&lt;52,IF('Capacity summary'!AG127&lt;&gt;"",IF(LOWER('Capacity summary'!AG127)="x",$BI8*AG8,VALUE('Capacity summary'!AG127)),0),AG8*$BI8),AG8*$BI8),0)</f>
        <v>85.344827586206904</v>
      </c>
      <c r="CK8" s="312">
        <f ca="1">IF($BI8&lt;&gt;"",IF('Capacity summary'!$D$14="Yes",IF(COUNTBLANK('Capacity summary'!$H127:$BG127)&lt;52,IF('Capacity summary'!AH127&lt;&gt;"",IF(LOWER('Capacity summary'!AH127)="x",$BI8*AH8,VALUE('Capacity summary'!AH127)),0),AH8*$BI8),AH8*$BI8),0)</f>
        <v>85.344827586206904</v>
      </c>
      <c r="CL8" s="312">
        <f ca="1">IF($BI8&lt;&gt;"",IF('Capacity summary'!$D$14="Yes",IF(COUNTBLANK('Capacity summary'!$H127:$BG127)&lt;52,IF('Capacity summary'!AI127&lt;&gt;"",IF(LOWER('Capacity summary'!AI127)="x",$BI8*AI8,VALUE('Capacity summary'!AI127)),0),AI8*$BI8),AI8*$BI8),0)</f>
        <v>85.344827586206904</v>
      </c>
      <c r="CM8" s="312">
        <f ca="1">IF($BI8&lt;&gt;"",IF('Capacity summary'!$D$14="Yes",IF(COUNTBLANK('Capacity summary'!$H127:$BG127)&lt;52,IF('Capacity summary'!AJ127&lt;&gt;"",IF(LOWER('Capacity summary'!AJ127)="x",$BI8*AJ8,VALUE('Capacity summary'!AJ127)),0),AJ8*$BI8),AJ8*$BI8),0)</f>
        <v>85.344827586206904</v>
      </c>
      <c r="CN8" s="312">
        <f ca="1">IF($BI8&lt;&gt;"",IF('Capacity summary'!$D$14="Yes",IF(COUNTBLANK('Capacity summary'!$H127:$BG127)&lt;52,IF('Capacity summary'!AK127&lt;&gt;"",IF(LOWER('Capacity summary'!AK127)="x",$BI8*AK8,VALUE('Capacity summary'!AK127)),0),AK8*$BI8),AK8*$BI8),0)</f>
        <v>85.344827586206904</v>
      </c>
      <c r="CO8" s="312">
        <f ca="1">IF($BI8&lt;&gt;"",IF('Capacity summary'!$D$14="Yes",IF(COUNTBLANK('Capacity summary'!$H127:$BG127)&lt;52,IF('Capacity summary'!AL127&lt;&gt;"",IF(LOWER('Capacity summary'!AL127)="x",$BI8*AL8,VALUE('Capacity summary'!AL127)),0),AL8*$BI8),AL8*$BI8),0)</f>
        <v>85.344827586206904</v>
      </c>
      <c r="CP8" s="312">
        <f ca="1">IF($BI8&lt;&gt;"",IF('Capacity summary'!$D$14="Yes",IF(COUNTBLANK('Capacity summary'!$H127:$BG127)&lt;52,IF('Capacity summary'!AM127&lt;&gt;"",IF(LOWER('Capacity summary'!AM127)="x",$BI8*AM8,VALUE('Capacity summary'!AM127)),0),AM8*$BI8),AM8*$BI8),0)</f>
        <v>85.344827586206904</v>
      </c>
      <c r="CQ8" s="312">
        <f ca="1">IF($BI8&lt;&gt;"",IF('Capacity summary'!$D$14="Yes",IF(COUNTBLANK('Capacity summary'!$H127:$BG127)&lt;52,IF('Capacity summary'!AN127&lt;&gt;"",IF(LOWER('Capacity summary'!AN127)="x",$BI8*AN8,VALUE('Capacity summary'!AN127)),0),AN8*$BI8),AN8*$BI8),0)</f>
        <v>85.344827586206904</v>
      </c>
      <c r="CR8" s="312">
        <f ca="1">IF($BI8&lt;&gt;"",IF('Capacity summary'!$D$14="Yes",IF(COUNTBLANK('Capacity summary'!$H127:$BG127)&lt;52,IF('Capacity summary'!AO127&lt;&gt;"",IF(LOWER('Capacity summary'!AO127)="x",$BI8*AO8,VALUE('Capacity summary'!AO127)),0),AO8*$BI8),AO8*$BI8),0)</f>
        <v>85.344827586206904</v>
      </c>
      <c r="CS8" s="312">
        <f ca="1">IF($BI8&lt;&gt;"",IF('Capacity summary'!$D$14="Yes",IF(COUNTBLANK('Capacity summary'!$H127:$BG127)&lt;52,IF('Capacity summary'!AP127&lt;&gt;"",IF(LOWER('Capacity summary'!AP127)="x",$BI8*AP8,VALUE('Capacity summary'!AP127)),0),AP8*$BI8),AP8*$BI8),0)</f>
        <v>85.344827586206904</v>
      </c>
      <c r="CT8" s="312">
        <f ca="1">IF($BI8&lt;&gt;"",IF('Capacity summary'!$D$14="Yes",IF(COUNTBLANK('Capacity summary'!$H127:$BG127)&lt;52,IF('Capacity summary'!AQ127&lt;&gt;"",IF(LOWER('Capacity summary'!AQ127)="x",$BI8*AQ8,VALUE('Capacity summary'!AQ127)),0),AQ8*$BI8),AQ8*$BI8),0)</f>
        <v>85.344827586206904</v>
      </c>
      <c r="CU8" s="312">
        <f ca="1">IF($BI8&lt;&gt;"",IF('Capacity summary'!$D$14="Yes",IF(COUNTBLANK('Capacity summary'!$H127:$BG127)&lt;52,IF('Capacity summary'!AR127&lt;&gt;"",IF(LOWER('Capacity summary'!AR127)="x",$BI8*AR8,VALUE('Capacity summary'!AR127)),0),AR8*$BI8),AR8*$BI8),0)</f>
        <v>85.344827586206904</v>
      </c>
      <c r="CV8" s="312">
        <f ca="1">IF($BI8&lt;&gt;"",IF('Capacity summary'!$D$14="Yes",IF(COUNTBLANK('Capacity summary'!$H127:$BG127)&lt;52,IF('Capacity summary'!AS127&lt;&gt;"",IF(LOWER('Capacity summary'!AS127)="x",$BI8*AS8,VALUE('Capacity summary'!AS127)),0),AS8*$BI8),AS8*$BI8),0)</f>
        <v>85.344827586206904</v>
      </c>
      <c r="CW8" s="312">
        <f ca="1">IF($BI8&lt;&gt;"",IF('Capacity summary'!$D$14="Yes",IF(COUNTBLANK('Capacity summary'!$H127:$BG127)&lt;52,IF('Capacity summary'!AT127&lt;&gt;"",IF(LOWER('Capacity summary'!AT127)="x",$BI8*AT8,VALUE('Capacity summary'!AT127)),0),AT8*$BI8),AT8*$BI8),0)</f>
        <v>85.344827586206904</v>
      </c>
      <c r="CX8" s="312">
        <f ca="1">IF($BI8&lt;&gt;"",IF('Capacity summary'!$D$14="Yes",IF(COUNTBLANK('Capacity summary'!$H127:$BG127)&lt;52,IF('Capacity summary'!AU127&lt;&gt;"",IF(LOWER('Capacity summary'!AU127)="x",$BI8*AU8,VALUE('Capacity summary'!AU127)),0),AU8*$BI8),AU8*$BI8),0)</f>
        <v>85.344827586206904</v>
      </c>
      <c r="CY8" s="312">
        <f ca="1">IF($BI8&lt;&gt;"",IF('Capacity summary'!$D$14="Yes",IF(COUNTBLANK('Capacity summary'!$H127:$BG127)&lt;52,IF('Capacity summary'!AV127&lt;&gt;"",IF(LOWER('Capacity summary'!AV127)="x",$BI8*AV8,VALUE('Capacity summary'!AV127)),0),AV8*$BI8),AV8*$BI8),0)</f>
        <v>85.344827586206904</v>
      </c>
      <c r="CZ8" s="312">
        <f ca="1">IF($BI8&lt;&gt;"",IF('Capacity summary'!$D$14="Yes",IF(COUNTBLANK('Capacity summary'!$H127:$BG127)&lt;52,IF('Capacity summary'!AW127&lt;&gt;"",IF(LOWER('Capacity summary'!AW127)="x",$BI8*AW8,VALUE('Capacity summary'!AW127)),0),AW8*$BI8),AW8*$BI8),0)</f>
        <v>85.344827586206904</v>
      </c>
      <c r="DA8" s="312">
        <f ca="1">IF($BI8&lt;&gt;"",IF('Capacity summary'!$D$14="Yes",IF(COUNTBLANK('Capacity summary'!$H127:$BG127)&lt;52,IF('Capacity summary'!AX127&lt;&gt;"",IF(LOWER('Capacity summary'!AX127)="x",$BI8*AX8,VALUE('Capacity summary'!AX127)),0),AX8*$BI8),AX8*$BI8),0)</f>
        <v>85.344827586206904</v>
      </c>
      <c r="DB8" s="312">
        <f ca="1">IF($BI8&lt;&gt;"",IF('Capacity summary'!$D$14="Yes",IF(COUNTBLANK('Capacity summary'!$H127:$BG127)&lt;52,IF('Capacity summary'!AY127&lt;&gt;"",IF(LOWER('Capacity summary'!AY127)="x",$BI8*AY8,VALUE('Capacity summary'!AY127)),0),AY8*$BI8),AY8*$BI8),0)</f>
        <v>85.344827586206904</v>
      </c>
      <c r="DC8" s="312">
        <f ca="1">IF($BI8&lt;&gt;"",IF('Capacity summary'!$D$14="Yes",IF(COUNTBLANK('Capacity summary'!$H127:$BG127)&lt;52,IF('Capacity summary'!AZ127&lt;&gt;"",IF(LOWER('Capacity summary'!AZ127)="x",$BI8*AZ8,VALUE('Capacity summary'!AZ127)),0),AZ8*$BI8),AZ8*$BI8),0)</f>
        <v>85.344827586206904</v>
      </c>
      <c r="DD8" s="312">
        <f ca="1">IF($BI8&lt;&gt;"",IF('Capacity summary'!$D$14="Yes",IF(COUNTBLANK('Capacity summary'!$H127:$BG127)&lt;52,IF('Capacity summary'!BA127&lt;&gt;"",IF(LOWER('Capacity summary'!BA127)="x",$BI8*BA8,VALUE('Capacity summary'!BA127)),0),BA8*$BI8),BA8*$BI8),0)</f>
        <v>85.344827586206904</v>
      </c>
      <c r="DE8" s="312">
        <f ca="1">IF($BI8&lt;&gt;"",IF('Capacity summary'!$D$14="Yes",IF(COUNTBLANK('Capacity summary'!$H127:$BG127)&lt;52,IF('Capacity summary'!BB127&lt;&gt;"",IF(LOWER('Capacity summary'!BB127)="x",$BI8*BB8,VALUE('Capacity summary'!BB127)),0),BB8*$BI8),BB8*$BI8),0)</f>
        <v>85.344827586206904</v>
      </c>
      <c r="DF8" s="312">
        <f ca="1">IF($BI8&lt;&gt;"",IF('Capacity summary'!$D$14="Yes",IF(COUNTBLANK('Capacity summary'!$H127:$BG127)&lt;52,IF('Capacity summary'!BC127&lt;&gt;"",IF(LOWER('Capacity summary'!BC127)="x",$BI8*BC8,VALUE('Capacity summary'!BC127)),0),BC8*$BI8),BC8*$BI8),0)</f>
        <v>85.344827586206904</v>
      </c>
      <c r="DG8" s="312">
        <f ca="1">IF($BI8&lt;&gt;"",IF('Capacity summary'!$D$14="Yes",IF(COUNTBLANK('Capacity summary'!$H127:$BG127)&lt;52,IF('Capacity summary'!BD127&lt;&gt;"",IF(LOWER('Capacity summary'!BD127)="x",$BI8*BD8,VALUE('Capacity summary'!BD127)),0),BD8*$BI8),BD8*$BI8),0)</f>
        <v>85.344827586206904</v>
      </c>
      <c r="DH8" s="312">
        <f ca="1">IF($BI8&lt;&gt;"",IF('Capacity summary'!$D$14="Yes",IF(COUNTBLANK('Capacity summary'!$H127:$BG127)&lt;52,IF('Capacity summary'!BE127&lt;&gt;"",IF(LOWER('Capacity summary'!BE127)="x",$BI8*BE8,VALUE('Capacity summary'!BE127)),0),BE8*$BI8),BE8*$BI8),0)</f>
        <v>85.344827586206904</v>
      </c>
      <c r="DI8" s="312">
        <f ca="1">IF($BI8&lt;&gt;"",IF('Capacity summary'!$D$14="Yes",IF(COUNTBLANK('Capacity summary'!$H127:$BG127)&lt;52,IF('Capacity summary'!BF127&lt;&gt;"",IF(LOWER('Capacity summary'!BF127)="x",$BI8*BF8,VALUE('Capacity summary'!BF127)),0),BF8*$BI8),BF8*$BI8),0)</f>
        <v>85.344827586206904</v>
      </c>
      <c r="DJ8" s="312">
        <f ca="1">IF($BI8&lt;&gt;"",IF('Capacity summary'!$D$14="Yes",IF(COUNTBLANK('Capacity summary'!$H127:$BG127)&lt;52,IF('Capacity summary'!BG127&lt;&gt;"",IF(LOWER('Capacity summary'!BG127)="x",$BI8*BG8,VALUE('Capacity summary'!BG127)),0),BG8*$BI8),BG8*$BI8),0)</f>
        <v>85.344827586206904</v>
      </c>
      <c r="DK8" s="136">
        <f t="shared" ca="1" si="2"/>
        <v>4437.9310344827591</v>
      </c>
      <c r="DL8" s="312">
        <f>Capacity!H20</f>
        <v>4437.9310344827591</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38</v>
      </c>
      <c r="BI9" s="5">
        <f>IF(BH9&gt;0,IF(BH9&lt;Capacity!E21,Capacity!F21,Capacity!H21/'Capacity calculation (hide)'!BH9),"")</f>
        <v>369.82758620689657</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1</v>
      </c>
      <c r="BP9" s="312">
        <f>IF($BI9&lt;&gt;"",IF('Capacity summary'!$D$14="Yes",IF(COUNTBLANK('Capacity summary'!$H128:$BG128)&lt;52,IF('Capacity summary'!M128&lt;&gt;"",IF(LOWER('Capacity summary'!M128)="x",$BI9*M9,VALUE('Capacity summary'!M128)),0),M9*$BI9),M9*$BI9),0)</f>
        <v>1</v>
      </c>
      <c r="BQ9" s="312">
        <f>IF($BI9&lt;&gt;"",IF('Capacity summary'!$D$14="Yes",IF(COUNTBLANK('Capacity summary'!$H128:$BG128)&lt;52,IF('Capacity summary'!N128&lt;&gt;"",IF(LOWER('Capacity summary'!N128)="x",$BI9*N9,VALUE('Capacity summary'!N128)),0),N9*$BI9),N9*$BI9),0)</f>
        <v>1</v>
      </c>
      <c r="BR9" s="312">
        <f>IF($BI9&lt;&gt;"",IF('Capacity summary'!$D$14="Yes",IF(COUNTBLANK('Capacity summary'!$H128:$BG128)&lt;52,IF('Capacity summary'!O128&lt;&gt;"",IF(LOWER('Capacity summary'!O128)="x",$BI9*O9,VALUE('Capacity summary'!O128)),0),O9*$BI9),O9*$BI9),0)</f>
        <v>1</v>
      </c>
      <c r="BS9" s="312">
        <f>IF($BI9&lt;&gt;"",IF('Capacity summary'!$D$14="Yes",IF(COUNTBLANK('Capacity summary'!$H128:$BG128)&lt;52,IF('Capacity summary'!P128&lt;&gt;"",IF(LOWER('Capacity summary'!P128)="x",$BI9*P9,VALUE('Capacity summary'!P128)),0),P9*$BI9),P9*$BI9),0)</f>
        <v>1</v>
      </c>
      <c r="BT9" s="312">
        <f>IF($BI9&lt;&gt;"",IF('Capacity summary'!$D$14="Yes",IF(COUNTBLANK('Capacity summary'!$H128:$BG128)&lt;52,IF('Capacity summary'!Q128&lt;&gt;"",IF(LOWER('Capacity summary'!Q128)="x",$BI9*Q9,VALUE('Capacity summary'!Q128)),0),Q9*$BI9),Q9*$BI9),0)</f>
        <v>1</v>
      </c>
      <c r="BU9" s="312">
        <f>IF($BI9&lt;&gt;"",IF('Capacity summary'!$D$14="Yes",IF(COUNTBLANK('Capacity summary'!$H128:$BG128)&lt;52,IF('Capacity summary'!R128&lt;&gt;"",IF(LOWER('Capacity summary'!R128)="x",$BI9*R9,VALUE('Capacity summary'!R128)),0),R9*$BI9),R9*$BI9),0)</f>
        <v>1</v>
      </c>
      <c r="BV9" s="312">
        <f>IF($BI9&lt;&gt;"",IF('Capacity summary'!$D$14="Yes",IF(COUNTBLANK('Capacity summary'!$H128:$BG128)&lt;52,IF('Capacity summary'!S128&lt;&gt;"",IF(LOWER('Capacity summary'!S128)="x",$BI9*S9,VALUE('Capacity summary'!S128)),0),S9*$BI9),S9*$BI9),0)</f>
        <v>1</v>
      </c>
      <c r="BW9" s="312">
        <f>IF($BI9&lt;&gt;"",IF('Capacity summary'!$D$14="Yes",IF(COUNTBLANK('Capacity summary'!$H128:$BG128)&lt;52,IF('Capacity summary'!T128&lt;&gt;"",IF(LOWER('Capacity summary'!T128)="x",$BI9*T9,VALUE('Capacity summary'!T128)),0),T9*$BI9),T9*$BI9),0)</f>
        <v>1</v>
      </c>
      <c r="BX9" s="312">
        <f>IF($BI9&lt;&gt;"",IF('Capacity summary'!$D$14="Yes",IF(COUNTBLANK('Capacity summary'!$H128:$BG128)&lt;52,IF('Capacity summary'!U128&lt;&gt;"",IF(LOWER('Capacity summary'!U128)="x",$BI9*U9,VALUE('Capacity summary'!U128)),0),U9*$BI9),U9*$BI9),0)</f>
        <v>1</v>
      </c>
      <c r="BY9" s="312">
        <f>IF($BI9&lt;&gt;"",IF('Capacity summary'!$D$14="Yes",IF(COUNTBLANK('Capacity summary'!$H128:$BG128)&lt;52,IF('Capacity summary'!V128&lt;&gt;"",IF(LOWER('Capacity summary'!V128)="x",$BI9*V9,VALUE('Capacity summary'!V128)),0),V9*$BI9),V9*$BI9),0)</f>
        <v>1</v>
      </c>
      <c r="BZ9" s="312">
        <f>IF($BI9&lt;&gt;"",IF('Capacity summary'!$D$14="Yes",IF(COUNTBLANK('Capacity summary'!$H128:$BG128)&lt;52,IF('Capacity summary'!W128&lt;&gt;"",IF(LOWER('Capacity summary'!W128)="x",$BI9*W9,VALUE('Capacity summary'!W128)),0),W9*$BI9),W9*$BI9),0)</f>
        <v>1</v>
      </c>
      <c r="CA9" s="312">
        <f>IF($BI9&lt;&gt;"",IF('Capacity summary'!$D$14="Yes",IF(COUNTBLANK('Capacity summary'!$H128:$BG128)&lt;52,IF('Capacity summary'!X128&lt;&gt;"",IF(LOWER('Capacity summary'!X128)="x",$BI9*X9,VALUE('Capacity summary'!X128)),0),X9*$BI9),X9*$BI9),0)</f>
        <v>1</v>
      </c>
      <c r="CB9" s="312">
        <f>IF($BI9&lt;&gt;"",IF('Capacity summary'!$D$14="Yes",IF(COUNTBLANK('Capacity summary'!$H128:$BG128)&lt;52,IF('Capacity summary'!Y128&lt;&gt;"",IF(LOWER('Capacity summary'!Y128)="x",$BI9*Y9,VALUE('Capacity summary'!Y128)),0),Y9*$BI9),Y9*$BI9),0)</f>
        <v>1</v>
      </c>
      <c r="CC9" s="312">
        <f>IF($BI9&lt;&gt;"",IF('Capacity summary'!$D$14="Yes",IF(COUNTBLANK('Capacity summary'!$H128:$BG128)&lt;52,IF('Capacity summary'!Z128&lt;&gt;"",IF(LOWER('Capacity summary'!Z128)="x",$BI9*Z9,VALUE('Capacity summary'!Z128)),0),Z9*$BI9),Z9*$BI9),0)</f>
        <v>1</v>
      </c>
      <c r="CD9" s="312">
        <f>IF($BI9&lt;&gt;"",IF('Capacity summary'!$D$14="Yes",IF(COUNTBLANK('Capacity summary'!$H128:$BG128)&lt;52,IF('Capacity summary'!AA128&lt;&gt;"",IF(LOWER('Capacity summary'!AA128)="x",$BI9*AA9,VALUE('Capacity summary'!AA128)),0),AA9*$BI9),AA9*$BI9),0)</f>
        <v>1</v>
      </c>
      <c r="CE9" s="312">
        <f>IF($BI9&lt;&gt;"",IF('Capacity summary'!$D$14="Yes",IF(COUNTBLANK('Capacity summary'!$H128:$BG128)&lt;52,IF('Capacity summary'!AB128&lt;&gt;"",IF(LOWER('Capacity summary'!AB128)="x",$BI9*AB9,VALUE('Capacity summary'!AB128)),0),AB9*$BI9),AB9*$BI9),0)</f>
        <v>1</v>
      </c>
      <c r="CF9" s="312">
        <f>IF($BI9&lt;&gt;"",IF('Capacity summary'!$D$14="Yes",IF(COUNTBLANK('Capacity summary'!$H128:$BG128)&lt;52,IF('Capacity summary'!AC128&lt;&gt;"",IF(LOWER('Capacity summary'!AC128)="x",$BI9*AC9,VALUE('Capacity summary'!AC128)),0),AC9*$BI9),AC9*$BI9),0)</f>
        <v>1</v>
      </c>
      <c r="CG9" s="312">
        <f>IF($BI9&lt;&gt;"",IF('Capacity summary'!$D$14="Yes",IF(COUNTBLANK('Capacity summary'!$H128:$BG128)&lt;52,IF('Capacity summary'!AD128&lt;&gt;"",IF(LOWER('Capacity summary'!AD128)="x",$BI9*AD9,VALUE('Capacity summary'!AD128)),0),AD9*$BI9),AD9*$BI9),0)</f>
        <v>1</v>
      </c>
      <c r="CH9" s="312">
        <f>IF($BI9&lt;&gt;"",IF('Capacity summary'!$D$14="Yes",IF(COUNTBLANK('Capacity summary'!$H128:$BG128)&lt;52,IF('Capacity summary'!AE128&lt;&gt;"",IF(LOWER('Capacity summary'!AE128)="x",$BI9*AE9,VALUE('Capacity summary'!AE128)),0),AE9*$BI9),AE9*$BI9),0)</f>
        <v>1</v>
      </c>
      <c r="CI9" s="312">
        <f>IF($BI9&lt;&gt;"",IF('Capacity summary'!$D$14="Yes",IF(COUNTBLANK('Capacity summary'!$H128:$BG128)&lt;52,IF('Capacity summary'!AF128&lt;&gt;"",IF(LOWER('Capacity summary'!AF128)="x",$BI9*AF9,VALUE('Capacity summary'!AF128)),0),AF9*$BI9),AF9*$BI9),0)</f>
        <v>1</v>
      </c>
      <c r="CJ9" s="312">
        <f>IF($BI9&lt;&gt;"",IF('Capacity summary'!$D$14="Yes",IF(COUNTBLANK('Capacity summary'!$H128:$BG128)&lt;52,IF('Capacity summary'!AG128&lt;&gt;"",IF(LOWER('Capacity summary'!AG128)="x",$BI9*AG9,VALUE('Capacity summary'!AG128)),0),AG9*$BI9),AG9*$BI9),0)</f>
        <v>1</v>
      </c>
      <c r="CK9" s="312">
        <f>IF($BI9&lt;&gt;"",IF('Capacity summary'!$D$14="Yes",IF(COUNTBLANK('Capacity summary'!$H128:$BG128)&lt;52,IF('Capacity summary'!AH128&lt;&gt;"",IF(LOWER('Capacity summary'!AH128)="x",$BI9*AH9,VALUE('Capacity summary'!AH128)),0),AH9*$BI9),AH9*$BI9),0)</f>
        <v>1</v>
      </c>
      <c r="CL9" s="312">
        <f>IF($BI9&lt;&gt;"",IF('Capacity summary'!$D$14="Yes",IF(COUNTBLANK('Capacity summary'!$H128:$BG128)&lt;52,IF('Capacity summary'!AI128&lt;&gt;"",IF(LOWER('Capacity summary'!AI128)="x",$BI9*AI9,VALUE('Capacity summary'!AI128)),0),AI9*$BI9),AI9*$BI9),0)</f>
        <v>1</v>
      </c>
      <c r="CM9" s="312">
        <f>IF($BI9&lt;&gt;"",IF('Capacity summary'!$D$14="Yes",IF(COUNTBLANK('Capacity summary'!$H128:$BG128)&lt;52,IF('Capacity summary'!AJ128&lt;&gt;"",IF(LOWER('Capacity summary'!AJ128)="x",$BI9*AJ9,VALUE('Capacity summary'!AJ128)),0),AJ9*$BI9),AJ9*$BI9),0)</f>
        <v>1</v>
      </c>
      <c r="CN9" s="312">
        <f>IF($BI9&lt;&gt;"",IF('Capacity summary'!$D$14="Yes",IF(COUNTBLANK('Capacity summary'!$H128:$BG128)&lt;52,IF('Capacity summary'!AK128&lt;&gt;"",IF(LOWER('Capacity summary'!AK128)="x",$BI9*AK9,VALUE('Capacity summary'!AK128)),0),AK9*$BI9),AK9*$BI9),0)</f>
        <v>1</v>
      </c>
      <c r="CO9" s="312">
        <f>IF($BI9&lt;&gt;"",IF('Capacity summary'!$D$14="Yes",IF(COUNTBLANK('Capacity summary'!$H128:$BG128)&lt;52,IF('Capacity summary'!AL128&lt;&gt;"",IF(LOWER('Capacity summary'!AL128)="x",$BI9*AL9,VALUE('Capacity summary'!AL128)),0),AL9*$BI9),AL9*$BI9),0)</f>
        <v>1</v>
      </c>
      <c r="CP9" s="312">
        <f>IF($BI9&lt;&gt;"",IF('Capacity summary'!$D$14="Yes",IF(COUNTBLANK('Capacity summary'!$H128:$BG128)&lt;52,IF('Capacity summary'!AM128&lt;&gt;"",IF(LOWER('Capacity summary'!AM128)="x",$BI9*AM9,VALUE('Capacity summary'!AM128)),0),AM9*$BI9),AM9*$BI9),0)</f>
        <v>1</v>
      </c>
      <c r="CQ9" s="312">
        <f>IF($BI9&lt;&gt;"",IF('Capacity summary'!$D$14="Yes",IF(COUNTBLANK('Capacity summary'!$H128:$BG128)&lt;52,IF('Capacity summary'!AN128&lt;&gt;"",IF(LOWER('Capacity summary'!AN128)="x",$BI9*AN9,VALUE('Capacity summary'!AN128)),0),AN9*$BI9),AN9*$BI9),0)</f>
        <v>1</v>
      </c>
      <c r="CR9" s="312">
        <f>IF($BI9&lt;&gt;"",IF('Capacity summary'!$D$14="Yes",IF(COUNTBLANK('Capacity summary'!$H128:$BG128)&lt;52,IF('Capacity summary'!AO128&lt;&gt;"",IF(LOWER('Capacity summary'!AO128)="x",$BI9*AO9,VALUE('Capacity summary'!AO128)),0),AO9*$BI9),AO9*$BI9),0)</f>
        <v>1</v>
      </c>
      <c r="CS9" s="312">
        <f>IF($BI9&lt;&gt;"",IF('Capacity summary'!$D$14="Yes",IF(COUNTBLANK('Capacity summary'!$H128:$BG128)&lt;52,IF('Capacity summary'!AP128&lt;&gt;"",IF(LOWER('Capacity summary'!AP128)="x",$BI9*AP9,VALUE('Capacity summary'!AP128)),0),AP9*$BI9),AP9*$BI9),0)</f>
        <v>1</v>
      </c>
      <c r="CT9" s="312">
        <f>IF($BI9&lt;&gt;"",IF('Capacity summary'!$D$14="Yes",IF(COUNTBLANK('Capacity summary'!$H128:$BG128)&lt;52,IF('Capacity summary'!AQ128&lt;&gt;"",IF(LOWER('Capacity summary'!AQ128)="x",$BI9*AQ9,VALUE('Capacity summary'!AQ128)),0),AQ9*$BI9),AQ9*$BI9),0)</f>
        <v>1</v>
      </c>
      <c r="CU9" s="312">
        <f>IF($BI9&lt;&gt;"",IF('Capacity summary'!$D$14="Yes",IF(COUNTBLANK('Capacity summary'!$H128:$BG128)&lt;52,IF('Capacity summary'!AR128&lt;&gt;"",IF(LOWER('Capacity summary'!AR128)="x",$BI9*AR9,VALUE('Capacity summary'!AR128)),0),AR9*$BI9),AR9*$BI9),0)</f>
        <v>1</v>
      </c>
      <c r="CV9" s="312">
        <f>IF($BI9&lt;&gt;"",IF('Capacity summary'!$D$14="Yes",IF(COUNTBLANK('Capacity summary'!$H128:$BG128)&lt;52,IF('Capacity summary'!AS128&lt;&gt;"",IF(LOWER('Capacity summary'!AS128)="x",$BI9*AS9,VALUE('Capacity summary'!AS128)),0),AS9*$BI9),AS9*$BI9),0)</f>
        <v>1</v>
      </c>
      <c r="CW9" s="312">
        <f>IF($BI9&lt;&gt;"",IF('Capacity summary'!$D$14="Yes",IF(COUNTBLANK('Capacity summary'!$H128:$BG128)&lt;52,IF('Capacity summary'!AT128&lt;&gt;"",IF(LOWER('Capacity summary'!AT128)="x",$BI9*AT9,VALUE('Capacity summary'!AT128)),0),AT9*$BI9),AT9*$BI9),0)</f>
        <v>1</v>
      </c>
      <c r="CX9" s="312">
        <f>IF($BI9&lt;&gt;"",IF('Capacity summary'!$D$14="Yes",IF(COUNTBLANK('Capacity summary'!$H128:$BG128)&lt;52,IF('Capacity summary'!AU128&lt;&gt;"",IF(LOWER('Capacity summary'!AU128)="x",$BI9*AU9,VALUE('Capacity summary'!AU128)),0),AU9*$BI9),AU9*$BI9),0)</f>
        <v>1</v>
      </c>
      <c r="CY9" s="312">
        <f>IF($BI9&lt;&gt;"",IF('Capacity summary'!$D$14="Yes",IF(COUNTBLANK('Capacity summary'!$H128:$BG128)&lt;52,IF('Capacity summary'!AV128&lt;&gt;"",IF(LOWER('Capacity summary'!AV128)="x",$BI9*AV9,VALUE('Capacity summary'!AV128)),0),AV9*$BI9),AV9*$BI9),0)</f>
        <v>1</v>
      </c>
      <c r="CZ9" s="312">
        <f>IF($BI9&lt;&gt;"",IF('Capacity summary'!$D$14="Yes",IF(COUNTBLANK('Capacity summary'!$H128:$BG128)&lt;52,IF('Capacity summary'!AW128&lt;&gt;"",IF(LOWER('Capacity summary'!AW128)="x",$BI9*AW9,VALUE('Capacity summary'!AW128)),0),AW9*$BI9),AW9*$BI9),0)</f>
        <v>1</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38</v>
      </c>
      <c r="DL9" s="312">
        <f>Capacity!H21</f>
        <v>15532.758620689656</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46.939655172413801</v>
      </c>
      <c r="BL111" s="5">
        <f t="shared" ref="BL111:DJ111" ca="1" si="5">SUM(BL112:BL211)</f>
        <v>46.939655172413801</v>
      </c>
      <c r="BM111" s="5">
        <f t="shared" ca="1" si="5"/>
        <v>46.939655172413801</v>
      </c>
      <c r="BN111" s="5">
        <f t="shared" ca="1" si="5"/>
        <v>46.939655172413801</v>
      </c>
      <c r="BO111" s="5">
        <f t="shared" ca="1" si="5"/>
        <v>46.939655172413801</v>
      </c>
      <c r="BP111" s="5">
        <f t="shared" ca="1" si="5"/>
        <v>46.939655172413801</v>
      </c>
      <c r="BQ111" s="5">
        <f t="shared" ca="1" si="5"/>
        <v>46.939655172413801</v>
      </c>
      <c r="BR111" s="5">
        <f t="shared" ca="1" si="5"/>
        <v>46.939655172413801</v>
      </c>
      <c r="BS111" s="5">
        <f t="shared" ca="1" si="5"/>
        <v>46.939655172413801</v>
      </c>
      <c r="BT111" s="5">
        <f t="shared" ca="1" si="5"/>
        <v>46.939655172413801</v>
      </c>
      <c r="BU111" s="5">
        <f t="shared" ca="1" si="5"/>
        <v>46.939655172413801</v>
      </c>
      <c r="BV111" s="5">
        <f t="shared" ca="1" si="5"/>
        <v>46.939655172413801</v>
      </c>
      <c r="BW111" s="5">
        <f t="shared" ca="1" si="5"/>
        <v>46.939655172413801</v>
      </c>
      <c r="BX111" s="5">
        <f t="shared" ca="1" si="5"/>
        <v>46.939655172413801</v>
      </c>
      <c r="BY111" s="5">
        <f t="shared" ca="1" si="5"/>
        <v>46.939655172413801</v>
      </c>
      <c r="BZ111" s="5">
        <f t="shared" ca="1" si="5"/>
        <v>46.939655172413801</v>
      </c>
      <c r="CA111" s="5">
        <f t="shared" ca="1" si="5"/>
        <v>46.939655172413801</v>
      </c>
      <c r="CB111" s="5">
        <f t="shared" ca="1" si="5"/>
        <v>46.939655172413801</v>
      </c>
      <c r="CC111" s="5">
        <f t="shared" ca="1" si="5"/>
        <v>46.939655172413801</v>
      </c>
      <c r="CD111" s="5">
        <f t="shared" ca="1" si="5"/>
        <v>46.939655172413801</v>
      </c>
      <c r="CE111" s="5">
        <f t="shared" ca="1" si="5"/>
        <v>46.939655172413801</v>
      </c>
      <c r="CF111" s="5">
        <f t="shared" ca="1" si="5"/>
        <v>46.939655172413801</v>
      </c>
      <c r="CG111" s="5">
        <f t="shared" ca="1" si="5"/>
        <v>46.939655172413801</v>
      </c>
      <c r="CH111" s="5">
        <f t="shared" ca="1" si="5"/>
        <v>46.939655172413801</v>
      </c>
      <c r="CI111" s="5">
        <f t="shared" ca="1" si="5"/>
        <v>46.939655172413801</v>
      </c>
      <c r="CJ111" s="5">
        <f t="shared" ca="1" si="5"/>
        <v>46.939655172413801</v>
      </c>
      <c r="CK111" s="5">
        <f t="shared" ca="1" si="5"/>
        <v>46.939655172413801</v>
      </c>
      <c r="CL111" s="5">
        <f t="shared" ca="1" si="5"/>
        <v>46.939655172413801</v>
      </c>
      <c r="CM111" s="5">
        <f t="shared" ca="1" si="5"/>
        <v>46.939655172413801</v>
      </c>
      <c r="CN111" s="5">
        <f t="shared" ca="1" si="5"/>
        <v>46.939655172413801</v>
      </c>
      <c r="CO111" s="5">
        <f t="shared" ca="1" si="5"/>
        <v>46.939655172413801</v>
      </c>
      <c r="CP111" s="5">
        <f t="shared" ca="1" si="5"/>
        <v>46.939655172413801</v>
      </c>
      <c r="CQ111" s="5">
        <f t="shared" ca="1" si="5"/>
        <v>46.939655172413801</v>
      </c>
      <c r="CR111" s="5">
        <f t="shared" ca="1" si="5"/>
        <v>46.939655172413801</v>
      </c>
      <c r="CS111" s="5">
        <f t="shared" ca="1" si="5"/>
        <v>46.939655172413801</v>
      </c>
      <c r="CT111" s="5">
        <f t="shared" ca="1" si="5"/>
        <v>46.939655172413801</v>
      </c>
      <c r="CU111" s="5">
        <f t="shared" ca="1" si="5"/>
        <v>46.939655172413801</v>
      </c>
      <c r="CV111" s="5">
        <f t="shared" ca="1" si="5"/>
        <v>46.939655172413801</v>
      </c>
      <c r="CW111" s="5">
        <f t="shared" ca="1" si="5"/>
        <v>46.939655172413801</v>
      </c>
      <c r="CX111" s="5">
        <f t="shared" ca="1" si="5"/>
        <v>46.939655172413801</v>
      </c>
      <c r="CY111" s="5">
        <f t="shared" ca="1" si="5"/>
        <v>46.939655172413801</v>
      </c>
      <c r="CZ111" s="5">
        <f t="shared" ca="1" si="5"/>
        <v>46.939655172413801</v>
      </c>
      <c r="DA111" s="5">
        <f t="shared" ca="1" si="5"/>
        <v>46.939655172413801</v>
      </c>
      <c r="DB111" s="5">
        <f t="shared" ca="1" si="5"/>
        <v>46.939655172413801</v>
      </c>
      <c r="DC111" s="5">
        <f t="shared" ca="1" si="5"/>
        <v>46.939655172413801</v>
      </c>
      <c r="DD111" s="5">
        <f t="shared" ca="1" si="5"/>
        <v>46.939655172413801</v>
      </c>
      <c r="DE111" s="5">
        <f t="shared" ca="1" si="5"/>
        <v>46.939655172413801</v>
      </c>
      <c r="DF111" s="5">
        <f t="shared" ca="1" si="5"/>
        <v>46.939655172413801</v>
      </c>
      <c r="DG111" s="5">
        <f t="shared" ca="1" si="5"/>
        <v>46.939655172413801</v>
      </c>
      <c r="DH111" s="5">
        <f t="shared" ca="1" si="5"/>
        <v>46.939655172413801</v>
      </c>
      <c r="DI111" s="5">
        <f t="shared" ca="1" si="5"/>
        <v>46.939655172413801</v>
      </c>
      <c r="DJ111" s="5">
        <f t="shared" ca="1" si="5"/>
        <v>46.939655172413801</v>
      </c>
      <c r="DK111" s="5">
        <f ca="1">SUM(BK111:DJ111)</f>
        <v>2440.8620689655177</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21.336206896551726</v>
      </c>
      <c r="BJ112" s="5"/>
      <c r="BK112" s="5">
        <f ca="1">IF($BI112&lt;&gt;"",IF('Capacity summary'!$C$14="Yes",IF(COUNTBLANK('Capacity summary'!$H24:$BG24)&lt;52,IF('Capacity summary'!H24&lt;&gt;"",IF(LOWER('Capacity summary'!H24)="x",$BI112*H112,VALUE('Capacity summary'!H24)),0),H112*$BI112),H112*$BI112),0)</f>
        <v>21.336206896551726</v>
      </c>
      <c r="BL112" s="5">
        <f ca="1">IF($BI112&lt;&gt;"",IF('Capacity summary'!$C$14="Yes",IF(COUNTBLANK('Capacity summary'!$H24:$BG24)&lt;52,IF('Capacity summary'!I24&lt;&gt;"",IF(LOWER('Capacity summary'!I24)="x",$BI112*I112,VALUE('Capacity summary'!I24)),0),I112*$BI112),I112*$BI112),0)</f>
        <v>21.336206896551726</v>
      </c>
      <c r="BM112" s="5">
        <f ca="1">IF($BI112&lt;&gt;"",IF('Capacity summary'!$C$14="Yes",IF(COUNTBLANK('Capacity summary'!$H24:$BG24)&lt;52,IF('Capacity summary'!J24&lt;&gt;"",IF(LOWER('Capacity summary'!J24)="x",$BI112*J112,VALUE('Capacity summary'!J24)),0),J112*$BI112),J112*$BI112),0)</f>
        <v>21.336206896551726</v>
      </c>
      <c r="BN112" s="5">
        <f ca="1">IF($BI112&lt;&gt;"",IF('Capacity summary'!$C$14="Yes",IF(COUNTBLANK('Capacity summary'!$H24:$BG24)&lt;52,IF('Capacity summary'!K24&lt;&gt;"",IF(LOWER('Capacity summary'!K24)="x",$BI112*K112,VALUE('Capacity summary'!K24)),0),K112*$BI112),K112*$BI112),0)</f>
        <v>21.336206896551726</v>
      </c>
      <c r="BO112" s="5">
        <f ca="1">IF($BI112&lt;&gt;"",IF('Capacity summary'!$C$14="Yes",IF(COUNTBLANK('Capacity summary'!$H24:$BG24)&lt;52,IF('Capacity summary'!L24&lt;&gt;"",IF(LOWER('Capacity summary'!L24)="x",$BI112*L112,VALUE('Capacity summary'!L24)),0),L112*$BI112),L112*$BI112),0)</f>
        <v>21.336206896551726</v>
      </c>
      <c r="BP112" s="5">
        <f ca="1">IF($BI112&lt;&gt;"",IF('Capacity summary'!$C$14="Yes",IF(COUNTBLANK('Capacity summary'!$H24:$BG24)&lt;52,IF('Capacity summary'!M24&lt;&gt;"",IF(LOWER('Capacity summary'!M24)="x",$BI112*M112,VALUE('Capacity summary'!M24)),0),M112*$BI112),M112*$BI112),0)</f>
        <v>21.336206896551726</v>
      </c>
      <c r="BQ112" s="5">
        <f ca="1">IF($BI112&lt;&gt;"",IF('Capacity summary'!$C$14="Yes",IF(COUNTBLANK('Capacity summary'!$H24:$BG24)&lt;52,IF('Capacity summary'!N24&lt;&gt;"",IF(LOWER('Capacity summary'!N24)="x",$BI112*N112,VALUE('Capacity summary'!N24)),0),N112*$BI112),N112*$BI112),0)</f>
        <v>21.336206896551726</v>
      </c>
      <c r="BR112" s="5">
        <f ca="1">IF($BI112&lt;&gt;"",IF('Capacity summary'!$C$14="Yes",IF(COUNTBLANK('Capacity summary'!$H24:$BG24)&lt;52,IF('Capacity summary'!O24&lt;&gt;"",IF(LOWER('Capacity summary'!O24)="x",$BI112*O112,VALUE('Capacity summary'!O24)),0),O112*$BI112),O112*$BI112),0)</f>
        <v>21.336206896551726</v>
      </c>
      <c r="BS112" s="5">
        <f ca="1">IF($BI112&lt;&gt;"",IF('Capacity summary'!$C$14="Yes",IF(COUNTBLANK('Capacity summary'!$H24:$BG24)&lt;52,IF('Capacity summary'!P24&lt;&gt;"",IF(LOWER('Capacity summary'!P24)="x",$BI112*P112,VALUE('Capacity summary'!P24)),0),P112*$BI112),P112*$BI112),0)</f>
        <v>21.336206896551726</v>
      </c>
      <c r="BT112" s="5">
        <f ca="1">IF($BI112&lt;&gt;"",IF('Capacity summary'!$C$14="Yes",IF(COUNTBLANK('Capacity summary'!$H24:$BG24)&lt;52,IF('Capacity summary'!Q24&lt;&gt;"",IF(LOWER('Capacity summary'!Q24)="x",$BI112*Q112,VALUE('Capacity summary'!Q24)),0),Q112*$BI112),Q112*$BI112),0)</f>
        <v>21.336206896551726</v>
      </c>
      <c r="BU112" s="5">
        <f ca="1">IF($BI112&lt;&gt;"",IF('Capacity summary'!$C$14="Yes",IF(COUNTBLANK('Capacity summary'!$H24:$BG24)&lt;52,IF('Capacity summary'!R24&lt;&gt;"",IF(LOWER('Capacity summary'!R24)="x",$BI112*R112,VALUE('Capacity summary'!R24)),0),R112*$BI112),R112*$BI112),0)</f>
        <v>21.336206896551726</v>
      </c>
      <c r="BV112" s="5">
        <f ca="1">IF($BI112&lt;&gt;"",IF('Capacity summary'!$C$14="Yes",IF(COUNTBLANK('Capacity summary'!$H24:$BG24)&lt;52,IF('Capacity summary'!S24&lt;&gt;"",IF(LOWER('Capacity summary'!S24)="x",$BI112*S112,VALUE('Capacity summary'!S24)),0),S112*$BI112),S112*$BI112),0)</f>
        <v>21.336206896551726</v>
      </c>
      <c r="BW112" s="5">
        <f ca="1">IF($BI112&lt;&gt;"",IF('Capacity summary'!$C$14="Yes",IF(COUNTBLANK('Capacity summary'!$H24:$BG24)&lt;52,IF('Capacity summary'!T24&lt;&gt;"",IF(LOWER('Capacity summary'!T24)="x",$BI112*T112,VALUE('Capacity summary'!T24)),0),T112*$BI112),T112*$BI112),0)</f>
        <v>21.336206896551726</v>
      </c>
      <c r="BX112" s="5">
        <f ca="1">IF($BI112&lt;&gt;"",IF('Capacity summary'!$C$14="Yes",IF(COUNTBLANK('Capacity summary'!$H24:$BG24)&lt;52,IF('Capacity summary'!U24&lt;&gt;"",IF(LOWER('Capacity summary'!U24)="x",$BI112*U112,VALUE('Capacity summary'!U24)),0),U112*$BI112),U112*$BI112),0)</f>
        <v>21.336206896551726</v>
      </c>
      <c r="BY112" s="5">
        <f ca="1">IF($BI112&lt;&gt;"",IF('Capacity summary'!$C$14="Yes",IF(COUNTBLANK('Capacity summary'!$H24:$BG24)&lt;52,IF('Capacity summary'!V24&lt;&gt;"",IF(LOWER('Capacity summary'!V24)="x",$BI112*V112,VALUE('Capacity summary'!V24)),0),V112*$BI112),V112*$BI112),0)</f>
        <v>21.336206896551726</v>
      </c>
      <c r="BZ112" s="5">
        <f ca="1">IF($BI112&lt;&gt;"",IF('Capacity summary'!$C$14="Yes",IF(COUNTBLANK('Capacity summary'!$H24:$BG24)&lt;52,IF('Capacity summary'!W24&lt;&gt;"",IF(LOWER('Capacity summary'!W24)="x",$BI112*W112,VALUE('Capacity summary'!W24)),0),W112*$BI112),W112*$BI112),0)</f>
        <v>21.336206896551726</v>
      </c>
      <c r="CA112" s="5">
        <f ca="1">IF($BI112&lt;&gt;"",IF('Capacity summary'!$C$14="Yes",IF(COUNTBLANK('Capacity summary'!$H24:$BG24)&lt;52,IF('Capacity summary'!X24&lt;&gt;"",IF(LOWER('Capacity summary'!X24)="x",$BI112*X112,VALUE('Capacity summary'!X24)),0),X112*$BI112),X112*$BI112),0)</f>
        <v>21.336206896551726</v>
      </c>
      <c r="CB112" s="5">
        <f ca="1">IF($BI112&lt;&gt;"",IF('Capacity summary'!$C$14="Yes",IF(COUNTBLANK('Capacity summary'!$H24:$BG24)&lt;52,IF('Capacity summary'!Y24&lt;&gt;"",IF(LOWER('Capacity summary'!Y24)="x",$BI112*Y112,VALUE('Capacity summary'!Y24)),0),Y112*$BI112),Y112*$BI112),0)</f>
        <v>21.336206896551726</v>
      </c>
      <c r="CC112" s="5">
        <f ca="1">IF($BI112&lt;&gt;"",IF('Capacity summary'!$C$14="Yes",IF(COUNTBLANK('Capacity summary'!$H24:$BG24)&lt;52,IF('Capacity summary'!Z24&lt;&gt;"",IF(LOWER('Capacity summary'!Z24)="x",$BI112*Z112,VALUE('Capacity summary'!Z24)),0),Z112*$BI112),Z112*$BI112),0)</f>
        <v>21.336206896551726</v>
      </c>
      <c r="CD112" s="5">
        <f ca="1">IF($BI112&lt;&gt;"",IF('Capacity summary'!$C$14="Yes",IF(COUNTBLANK('Capacity summary'!$H24:$BG24)&lt;52,IF('Capacity summary'!AA24&lt;&gt;"",IF(LOWER('Capacity summary'!AA24)="x",$BI112*AA112,VALUE('Capacity summary'!AA24)),0),AA112*$BI112),AA112*$BI112),0)</f>
        <v>21.336206896551726</v>
      </c>
      <c r="CE112" s="5">
        <f ca="1">IF($BI112&lt;&gt;"",IF('Capacity summary'!$C$14="Yes",IF(COUNTBLANK('Capacity summary'!$H24:$BG24)&lt;52,IF('Capacity summary'!AB24&lt;&gt;"",IF(LOWER('Capacity summary'!AB24)="x",$BI112*AB112,VALUE('Capacity summary'!AB24)),0),AB112*$BI112),AB112*$BI112),0)</f>
        <v>21.336206896551726</v>
      </c>
      <c r="CF112" s="5">
        <f ca="1">IF($BI112&lt;&gt;"",IF('Capacity summary'!$C$14="Yes",IF(COUNTBLANK('Capacity summary'!$H24:$BG24)&lt;52,IF('Capacity summary'!AC24&lt;&gt;"",IF(LOWER('Capacity summary'!AC24)="x",$BI112*AC112,VALUE('Capacity summary'!AC24)),0),AC112*$BI112),AC112*$BI112),0)</f>
        <v>21.336206896551726</v>
      </c>
      <c r="CG112" s="5">
        <f ca="1">IF($BI112&lt;&gt;"",IF('Capacity summary'!$C$14="Yes",IF(COUNTBLANK('Capacity summary'!$H24:$BG24)&lt;52,IF('Capacity summary'!AD24&lt;&gt;"",IF(LOWER('Capacity summary'!AD24)="x",$BI112*AD112,VALUE('Capacity summary'!AD24)),0),AD112*$BI112),AD112*$BI112),0)</f>
        <v>21.336206896551726</v>
      </c>
      <c r="CH112" s="5">
        <f ca="1">IF($BI112&lt;&gt;"",IF('Capacity summary'!$C$14="Yes",IF(COUNTBLANK('Capacity summary'!$H24:$BG24)&lt;52,IF('Capacity summary'!AE24&lt;&gt;"",IF(LOWER('Capacity summary'!AE24)="x",$BI112*AE112,VALUE('Capacity summary'!AE24)),0),AE112*$BI112),AE112*$BI112),0)</f>
        <v>21.336206896551726</v>
      </c>
      <c r="CI112" s="5">
        <f ca="1">IF($BI112&lt;&gt;"",IF('Capacity summary'!$C$14="Yes",IF(COUNTBLANK('Capacity summary'!$H24:$BG24)&lt;52,IF('Capacity summary'!AF24&lt;&gt;"",IF(LOWER('Capacity summary'!AF24)="x",$BI112*AF112,VALUE('Capacity summary'!AF24)),0),AF112*$BI112),AF112*$BI112),0)</f>
        <v>21.336206896551726</v>
      </c>
      <c r="CJ112" s="5">
        <f ca="1">IF($BI112&lt;&gt;"",IF('Capacity summary'!$C$14="Yes",IF(COUNTBLANK('Capacity summary'!$H24:$BG24)&lt;52,IF('Capacity summary'!AG24&lt;&gt;"",IF(LOWER('Capacity summary'!AG24)="x",$BI112*AG112,VALUE('Capacity summary'!AG24)),0),AG112*$BI112),AG112*$BI112),0)</f>
        <v>21.336206896551726</v>
      </c>
      <c r="CK112" s="5">
        <f ca="1">IF($BI112&lt;&gt;"",IF('Capacity summary'!$C$14="Yes",IF(COUNTBLANK('Capacity summary'!$H24:$BG24)&lt;52,IF('Capacity summary'!AH24&lt;&gt;"",IF(LOWER('Capacity summary'!AH24)="x",$BI112*AH112,VALUE('Capacity summary'!AH24)),0),AH112*$BI112),AH112*$BI112),0)</f>
        <v>21.336206896551726</v>
      </c>
      <c r="CL112" s="5">
        <f ca="1">IF($BI112&lt;&gt;"",IF('Capacity summary'!$C$14="Yes",IF(COUNTBLANK('Capacity summary'!$H24:$BG24)&lt;52,IF('Capacity summary'!AI24&lt;&gt;"",IF(LOWER('Capacity summary'!AI24)="x",$BI112*AI112,VALUE('Capacity summary'!AI24)),0),AI112*$BI112),AI112*$BI112),0)</f>
        <v>21.336206896551726</v>
      </c>
      <c r="CM112" s="5">
        <f ca="1">IF($BI112&lt;&gt;"",IF('Capacity summary'!$C$14="Yes",IF(COUNTBLANK('Capacity summary'!$H24:$BG24)&lt;52,IF('Capacity summary'!AJ24&lt;&gt;"",IF(LOWER('Capacity summary'!AJ24)="x",$BI112*AJ112,VALUE('Capacity summary'!AJ24)),0),AJ112*$BI112),AJ112*$BI112),0)</f>
        <v>21.336206896551726</v>
      </c>
      <c r="CN112" s="5">
        <f ca="1">IF($BI112&lt;&gt;"",IF('Capacity summary'!$C$14="Yes",IF(COUNTBLANK('Capacity summary'!$H24:$BG24)&lt;52,IF('Capacity summary'!AK24&lt;&gt;"",IF(LOWER('Capacity summary'!AK24)="x",$BI112*AK112,VALUE('Capacity summary'!AK24)),0),AK112*$BI112),AK112*$BI112),0)</f>
        <v>21.336206896551726</v>
      </c>
      <c r="CO112" s="5">
        <f ca="1">IF($BI112&lt;&gt;"",IF('Capacity summary'!$C$14="Yes",IF(COUNTBLANK('Capacity summary'!$H24:$BG24)&lt;52,IF('Capacity summary'!AL24&lt;&gt;"",IF(LOWER('Capacity summary'!AL24)="x",$BI112*AL112,VALUE('Capacity summary'!AL24)),0),AL112*$BI112),AL112*$BI112),0)</f>
        <v>21.336206896551726</v>
      </c>
      <c r="CP112" s="5">
        <f ca="1">IF($BI112&lt;&gt;"",IF('Capacity summary'!$C$14="Yes",IF(COUNTBLANK('Capacity summary'!$H24:$BG24)&lt;52,IF('Capacity summary'!AM24&lt;&gt;"",IF(LOWER('Capacity summary'!AM24)="x",$BI112*AM112,VALUE('Capacity summary'!AM24)),0),AM112*$BI112),AM112*$BI112),0)</f>
        <v>21.336206896551726</v>
      </c>
      <c r="CQ112" s="5">
        <f ca="1">IF($BI112&lt;&gt;"",IF('Capacity summary'!$C$14="Yes",IF(COUNTBLANK('Capacity summary'!$H24:$BG24)&lt;52,IF('Capacity summary'!AN24&lt;&gt;"",IF(LOWER('Capacity summary'!AN24)="x",$BI112*AN112,VALUE('Capacity summary'!AN24)),0),AN112*$BI112),AN112*$BI112),0)</f>
        <v>21.336206896551726</v>
      </c>
      <c r="CR112" s="5">
        <f ca="1">IF($BI112&lt;&gt;"",IF('Capacity summary'!$C$14="Yes",IF(COUNTBLANK('Capacity summary'!$H24:$BG24)&lt;52,IF('Capacity summary'!AO24&lt;&gt;"",IF(LOWER('Capacity summary'!AO24)="x",$BI112*AO112,VALUE('Capacity summary'!AO24)),0),AO112*$BI112),AO112*$BI112),0)</f>
        <v>21.336206896551726</v>
      </c>
      <c r="CS112" s="5">
        <f ca="1">IF($BI112&lt;&gt;"",IF('Capacity summary'!$C$14="Yes",IF(COUNTBLANK('Capacity summary'!$H24:$BG24)&lt;52,IF('Capacity summary'!AP24&lt;&gt;"",IF(LOWER('Capacity summary'!AP24)="x",$BI112*AP112,VALUE('Capacity summary'!AP24)),0),AP112*$BI112),AP112*$BI112),0)</f>
        <v>21.336206896551726</v>
      </c>
      <c r="CT112" s="5">
        <f ca="1">IF($BI112&lt;&gt;"",IF('Capacity summary'!$C$14="Yes",IF(COUNTBLANK('Capacity summary'!$H24:$BG24)&lt;52,IF('Capacity summary'!AQ24&lt;&gt;"",IF(LOWER('Capacity summary'!AQ24)="x",$BI112*AQ112,VALUE('Capacity summary'!AQ24)),0),AQ112*$BI112),AQ112*$BI112),0)</f>
        <v>21.336206896551726</v>
      </c>
      <c r="CU112" s="5">
        <f ca="1">IF($BI112&lt;&gt;"",IF('Capacity summary'!$C$14="Yes",IF(COUNTBLANK('Capacity summary'!$H24:$BG24)&lt;52,IF('Capacity summary'!AR24&lt;&gt;"",IF(LOWER('Capacity summary'!AR24)="x",$BI112*AR112,VALUE('Capacity summary'!AR24)),0),AR112*$BI112),AR112*$BI112),0)</f>
        <v>21.336206896551726</v>
      </c>
      <c r="CV112" s="5">
        <f ca="1">IF($BI112&lt;&gt;"",IF('Capacity summary'!$C$14="Yes",IF(COUNTBLANK('Capacity summary'!$H24:$BG24)&lt;52,IF('Capacity summary'!AS24&lt;&gt;"",IF(LOWER('Capacity summary'!AS24)="x",$BI112*AS112,VALUE('Capacity summary'!AS24)),0),AS112*$BI112),AS112*$BI112),0)</f>
        <v>21.336206896551726</v>
      </c>
      <c r="CW112" s="5">
        <f ca="1">IF($BI112&lt;&gt;"",IF('Capacity summary'!$C$14="Yes",IF(COUNTBLANK('Capacity summary'!$H24:$BG24)&lt;52,IF('Capacity summary'!AT24&lt;&gt;"",IF(LOWER('Capacity summary'!AT24)="x",$BI112*AT112,VALUE('Capacity summary'!AT24)),0),AT112*$BI112),AT112*$BI112),0)</f>
        <v>21.336206896551726</v>
      </c>
      <c r="CX112" s="5">
        <f ca="1">IF($BI112&lt;&gt;"",IF('Capacity summary'!$C$14="Yes",IF(COUNTBLANK('Capacity summary'!$H24:$BG24)&lt;52,IF('Capacity summary'!AU24&lt;&gt;"",IF(LOWER('Capacity summary'!AU24)="x",$BI112*AU112,VALUE('Capacity summary'!AU24)),0),AU112*$BI112),AU112*$BI112),0)</f>
        <v>21.336206896551726</v>
      </c>
      <c r="CY112" s="5">
        <f ca="1">IF($BI112&lt;&gt;"",IF('Capacity summary'!$C$14="Yes",IF(COUNTBLANK('Capacity summary'!$H24:$BG24)&lt;52,IF('Capacity summary'!AV24&lt;&gt;"",IF(LOWER('Capacity summary'!AV24)="x",$BI112*AV112,VALUE('Capacity summary'!AV24)),0),AV112*$BI112),AV112*$BI112),0)</f>
        <v>21.336206896551726</v>
      </c>
      <c r="CZ112" s="5">
        <f ca="1">IF($BI112&lt;&gt;"",IF('Capacity summary'!$C$14="Yes",IF(COUNTBLANK('Capacity summary'!$H24:$BG24)&lt;52,IF('Capacity summary'!AW24&lt;&gt;"",IF(LOWER('Capacity summary'!AW24)="x",$BI112*AW112,VALUE('Capacity summary'!AW24)),0),AW112*$BI112),AW112*$BI112),0)</f>
        <v>21.336206896551726</v>
      </c>
      <c r="DA112" s="5">
        <f ca="1">IF($BI112&lt;&gt;"",IF('Capacity summary'!$C$14="Yes",IF(COUNTBLANK('Capacity summary'!$H24:$BG24)&lt;52,IF('Capacity summary'!AX24&lt;&gt;"",IF(LOWER('Capacity summary'!AX24)="x",$BI112*AX112,VALUE('Capacity summary'!AX24)),0),AX112*$BI112),AX112*$BI112),0)</f>
        <v>21.336206896551726</v>
      </c>
      <c r="DB112" s="5">
        <f ca="1">IF($BI112&lt;&gt;"",IF('Capacity summary'!$C$14="Yes",IF(COUNTBLANK('Capacity summary'!$H24:$BG24)&lt;52,IF('Capacity summary'!AY24&lt;&gt;"",IF(LOWER('Capacity summary'!AY24)="x",$BI112*AY112,VALUE('Capacity summary'!AY24)),0),AY112*$BI112),AY112*$BI112),0)</f>
        <v>21.336206896551726</v>
      </c>
      <c r="DC112" s="5">
        <f ca="1">IF($BI112&lt;&gt;"",IF('Capacity summary'!$C$14="Yes",IF(COUNTBLANK('Capacity summary'!$H24:$BG24)&lt;52,IF('Capacity summary'!AZ24&lt;&gt;"",IF(LOWER('Capacity summary'!AZ24)="x",$BI112*AZ112,VALUE('Capacity summary'!AZ24)),0),AZ112*$BI112),AZ112*$BI112),0)</f>
        <v>21.336206896551726</v>
      </c>
      <c r="DD112" s="5">
        <f ca="1">IF($BI112&lt;&gt;"",IF('Capacity summary'!$C$14="Yes",IF(COUNTBLANK('Capacity summary'!$H24:$BG24)&lt;52,IF('Capacity summary'!BA24&lt;&gt;"",IF(LOWER('Capacity summary'!BA24)="x",$BI112*BA112,VALUE('Capacity summary'!BA24)),0),BA112*$BI112),BA112*$BI112),0)</f>
        <v>21.336206896551726</v>
      </c>
      <c r="DE112" s="5">
        <f ca="1">IF($BI112&lt;&gt;"",IF('Capacity summary'!$C$14="Yes",IF(COUNTBLANK('Capacity summary'!$H24:$BG24)&lt;52,IF('Capacity summary'!BB24&lt;&gt;"",IF(LOWER('Capacity summary'!BB24)="x",$BI112*BB112,VALUE('Capacity summary'!BB24)),0),BB112*$BI112),BB112*$BI112),0)</f>
        <v>21.336206896551726</v>
      </c>
      <c r="DF112" s="5">
        <f ca="1">IF($BI112&lt;&gt;"",IF('Capacity summary'!$C$14="Yes",IF(COUNTBLANK('Capacity summary'!$H24:$BG24)&lt;52,IF('Capacity summary'!BC24&lt;&gt;"",IF(LOWER('Capacity summary'!BC24)="x",$BI112*BC112,VALUE('Capacity summary'!BC24)),0),BC112*$BI112),BC112*$BI112),0)</f>
        <v>21.336206896551726</v>
      </c>
      <c r="DG112" s="5">
        <f ca="1">IF($BI112&lt;&gt;"",IF('Capacity summary'!$C$14="Yes",IF(COUNTBLANK('Capacity summary'!$H24:$BG24)&lt;52,IF('Capacity summary'!BD24&lt;&gt;"",IF(LOWER('Capacity summary'!BD24)="x",$BI112*BD112,VALUE('Capacity summary'!BD24)),0),BD112*$BI112),BD112*$BI112),0)</f>
        <v>21.336206896551726</v>
      </c>
      <c r="DH112" s="5">
        <f ca="1">IF($BI112&lt;&gt;"",IF('Capacity summary'!$C$14="Yes",IF(COUNTBLANK('Capacity summary'!$H24:$BG24)&lt;52,IF('Capacity summary'!BE24&lt;&gt;"",IF(LOWER('Capacity summary'!BE24)="x",$BI112*BE112,VALUE('Capacity summary'!BE24)),0),BE112*$BI112),BE112*$BI112),0)</f>
        <v>21.336206896551726</v>
      </c>
      <c r="DI112" s="5">
        <f ca="1">IF($BI112&lt;&gt;"",IF('Capacity summary'!$C$14="Yes",IF(COUNTBLANK('Capacity summary'!$H24:$BG24)&lt;52,IF('Capacity summary'!BF24&lt;&gt;"",IF(LOWER('Capacity summary'!BF24)="x",$BI112*BF112,VALUE('Capacity summary'!BF24)),0),BF112*$BI112),BF112*$BI112),0)</f>
        <v>21.336206896551726</v>
      </c>
      <c r="DJ112" s="5">
        <f ca="1">IF($BI112&lt;&gt;"",IF('Capacity summary'!$C$14="Yes",IF(COUNTBLANK('Capacity summary'!$H24:$BG24)&lt;52,IF('Capacity summary'!BG24&lt;&gt;"",IF(LOWER('Capacity summary'!BG24)="x",$BI112*BG112,VALUE('Capacity summary'!BG24)),0),BG112*$BI112),BG112*$BI112),0)</f>
        <v>21.336206896551726</v>
      </c>
      <c r="DK112" s="5">
        <f t="shared" ref="DK112:DK175" ca="1" si="6">SUM(BK112:DJ112)</f>
        <v>1109.4827586206898</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25.603448275862075</v>
      </c>
      <c r="BJ113" s="5"/>
      <c r="BK113" s="5">
        <f ca="1">IF($BI113&lt;&gt;"",IF('Capacity summary'!$C$14="Yes",IF(COUNTBLANK('Capacity summary'!$H25:$BG25)&lt;52,IF('Capacity summary'!H25&lt;&gt;"",IF(LOWER('Capacity summary'!H25)="x",$BI113*H113,VALUE('Capacity summary'!H25)),0),H113*$BI113),H113*$BI113),0)</f>
        <v>25.603448275862075</v>
      </c>
      <c r="BL113" s="5">
        <f ca="1">IF($BI113&lt;&gt;"",IF('Capacity summary'!$C$14="Yes",IF(COUNTBLANK('Capacity summary'!$H25:$BG25)&lt;52,IF('Capacity summary'!I25&lt;&gt;"",IF(LOWER('Capacity summary'!I25)="x",$BI113*I113,VALUE('Capacity summary'!I25)),0),I113*$BI113),I113*$BI113),0)</f>
        <v>25.603448275862075</v>
      </c>
      <c r="BM113" s="5">
        <f ca="1">IF($BI113&lt;&gt;"",IF('Capacity summary'!$C$14="Yes",IF(COUNTBLANK('Capacity summary'!$H25:$BG25)&lt;52,IF('Capacity summary'!J25&lt;&gt;"",IF(LOWER('Capacity summary'!J25)="x",$BI113*J113,VALUE('Capacity summary'!J25)),0),J113*$BI113),J113*$BI113),0)</f>
        <v>25.603448275862075</v>
      </c>
      <c r="BN113" s="5">
        <f ca="1">IF($BI113&lt;&gt;"",IF('Capacity summary'!$C$14="Yes",IF(COUNTBLANK('Capacity summary'!$H25:$BG25)&lt;52,IF('Capacity summary'!K25&lt;&gt;"",IF(LOWER('Capacity summary'!K25)="x",$BI113*K113,VALUE('Capacity summary'!K25)),0),K113*$BI113),K113*$BI113),0)</f>
        <v>25.603448275862075</v>
      </c>
      <c r="BO113" s="5">
        <f ca="1">IF($BI113&lt;&gt;"",IF('Capacity summary'!$C$14="Yes",IF(COUNTBLANK('Capacity summary'!$H25:$BG25)&lt;52,IF('Capacity summary'!L25&lt;&gt;"",IF(LOWER('Capacity summary'!L25)="x",$BI113*L113,VALUE('Capacity summary'!L25)),0),L113*$BI113),L113*$BI113),0)</f>
        <v>25.603448275862075</v>
      </c>
      <c r="BP113" s="5">
        <f ca="1">IF($BI113&lt;&gt;"",IF('Capacity summary'!$C$14="Yes",IF(COUNTBLANK('Capacity summary'!$H25:$BG25)&lt;52,IF('Capacity summary'!M25&lt;&gt;"",IF(LOWER('Capacity summary'!M25)="x",$BI113*M113,VALUE('Capacity summary'!M25)),0),M113*$BI113),M113*$BI113),0)</f>
        <v>25.603448275862075</v>
      </c>
      <c r="BQ113" s="5">
        <f ca="1">IF($BI113&lt;&gt;"",IF('Capacity summary'!$C$14="Yes",IF(COUNTBLANK('Capacity summary'!$H25:$BG25)&lt;52,IF('Capacity summary'!N25&lt;&gt;"",IF(LOWER('Capacity summary'!N25)="x",$BI113*N113,VALUE('Capacity summary'!N25)),0),N113*$BI113),N113*$BI113),0)</f>
        <v>25.603448275862075</v>
      </c>
      <c r="BR113" s="5">
        <f ca="1">IF($BI113&lt;&gt;"",IF('Capacity summary'!$C$14="Yes",IF(COUNTBLANK('Capacity summary'!$H25:$BG25)&lt;52,IF('Capacity summary'!O25&lt;&gt;"",IF(LOWER('Capacity summary'!O25)="x",$BI113*O113,VALUE('Capacity summary'!O25)),0),O113*$BI113),O113*$BI113),0)</f>
        <v>25.603448275862075</v>
      </c>
      <c r="BS113" s="5">
        <f ca="1">IF($BI113&lt;&gt;"",IF('Capacity summary'!$C$14="Yes",IF(COUNTBLANK('Capacity summary'!$H25:$BG25)&lt;52,IF('Capacity summary'!P25&lt;&gt;"",IF(LOWER('Capacity summary'!P25)="x",$BI113*P113,VALUE('Capacity summary'!P25)),0),P113*$BI113),P113*$BI113),0)</f>
        <v>25.603448275862075</v>
      </c>
      <c r="BT113" s="5">
        <f ca="1">IF($BI113&lt;&gt;"",IF('Capacity summary'!$C$14="Yes",IF(COUNTBLANK('Capacity summary'!$H25:$BG25)&lt;52,IF('Capacity summary'!Q25&lt;&gt;"",IF(LOWER('Capacity summary'!Q25)="x",$BI113*Q113,VALUE('Capacity summary'!Q25)),0),Q113*$BI113),Q113*$BI113),0)</f>
        <v>25.603448275862075</v>
      </c>
      <c r="BU113" s="5">
        <f ca="1">IF($BI113&lt;&gt;"",IF('Capacity summary'!$C$14="Yes",IF(COUNTBLANK('Capacity summary'!$H25:$BG25)&lt;52,IF('Capacity summary'!R25&lt;&gt;"",IF(LOWER('Capacity summary'!R25)="x",$BI113*R113,VALUE('Capacity summary'!R25)),0),R113*$BI113),R113*$BI113),0)</f>
        <v>25.603448275862075</v>
      </c>
      <c r="BV113" s="5">
        <f ca="1">IF($BI113&lt;&gt;"",IF('Capacity summary'!$C$14="Yes",IF(COUNTBLANK('Capacity summary'!$H25:$BG25)&lt;52,IF('Capacity summary'!S25&lt;&gt;"",IF(LOWER('Capacity summary'!S25)="x",$BI113*S113,VALUE('Capacity summary'!S25)),0),S113*$BI113),S113*$BI113),0)</f>
        <v>25.603448275862075</v>
      </c>
      <c r="BW113" s="5">
        <f ca="1">IF($BI113&lt;&gt;"",IF('Capacity summary'!$C$14="Yes",IF(COUNTBLANK('Capacity summary'!$H25:$BG25)&lt;52,IF('Capacity summary'!T25&lt;&gt;"",IF(LOWER('Capacity summary'!T25)="x",$BI113*T113,VALUE('Capacity summary'!T25)),0),T113*$BI113),T113*$BI113),0)</f>
        <v>25.603448275862075</v>
      </c>
      <c r="BX113" s="5">
        <f ca="1">IF($BI113&lt;&gt;"",IF('Capacity summary'!$C$14="Yes",IF(COUNTBLANK('Capacity summary'!$H25:$BG25)&lt;52,IF('Capacity summary'!U25&lt;&gt;"",IF(LOWER('Capacity summary'!U25)="x",$BI113*U113,VALUE('Capacity summary'!U25)),0),U113*$BI113),U113*$BI113),0)</f>
        <v>25.603448275862075</v>
      </c>
      <c r="BY113" s="5">
        <f ca="1">IF($BI113&lt;&gt;"",IF('Capacity summary'!$C$14="Yes",IF(COUNTBLANK('Capacity summary'!$H25:$BG25)&lt;52,IF('Capacity summary'!V25&lt;&gt;"",IF(LOWER('Capacity summary'!V25)="x",$BI113*V113,VALUE('Capacity summary'!V25)),0),V113*$BI113),V113*$BI113),0)</f>
        <v>25.603448275862075</v>
      </c>
      <c r="BZ113" s="5">
        <f ca="1">IF($BI113&lt;&gt;"",IF('Capacity summary'!$C$14="Yes",IF(COUNTBLANK('Capacity summary'!$H25:$BG25)&lt;52,IF('Capacity summary'!W25&lt;&gt;"",IF(LOWER('Capacity summary'!W25)="x",$BI113*W113,VALUE('Capacity summary'!W25)),0),W113*$BI113),W113*$BI113),0)</f>
        <v>25.603448275862075</v>
      </c>
      <c r="CA113" s="5">
        <f ca="1">IF($BI113&lt;&gt;"",IF('Capacity summary'!$C$14="Yes",IF(COUNTBLANK('Capacity summary'!$H25:$BG25)&lt;52,IF('Capacity summary'!X25&lt;&gt;"",IF(LOWER('Capacity summary'!X25)="x",$BI113*X113,VALUE('Capacity summary'!X25)),0),X113*$BI113),X113*$BI113),0)</f>
        <v>25.603448275862075</v>
      </c>
      <c r="CB113" s="5">
        <f ca="1">IF($BI113&lt;&gt;"",IF('Capacity summary'!$C$14="Yes",IF(COUNTBLANK('Capacity summary'!$H25:$BG25)&lt;52,IF('Capacity summary'!Y25&lt;&gt;"",IF(LOWER('Capacity summary'!Y25)="x",$BI113*Y113,VALUE('Capacity summary'!Y25)),0),Y113*$BI113),Y113*$BI113),0)</f>
        <v>25.603448275862075</v>
      </c>
      <c r="CC113" s="5">
        <f ca="1">IF($BI113&lt;&gt;"",IF('Capacity summary'!$C$14="Yes",IF(COUNTBLANK('Capacity summary'!$H25:$BG25)&lt;52,IF('Capacity summary'!Z25&lt;&gt;"",IF(LOWER('Capacity summary'!Z25)="x",$BI113*Z113,VALUE('Capacity summary'!Z25)),0),Z113*$BI113),Z113*$BI113),0)</f>
        <v>25.603448275862075</v>
      </c>
      <c r="CD113" s="5">
        <f ca="1">IF($BI113&lt;&gt;"",IF('Capacity summary'!$C$14="Yes",IF(COUNTBLANK('Capacity summary'!$H25:$BG25)&lt;52,IF('Capacity summary'!AA25&lt;&gt;"",IF(LOWER('Capacity summary'!AA25)="x",$BI113*AA113,VALUE('Capacity summary'!AA25)),0),AA113*$BI113),AA113*$BI113),0)</f>
        <v>25.603448275862075</v>
      </c>
      <c r="CE113" s="5">
        <f ca="1">IF($BI113&lt;&gt;"",IF('Capacity summary'!$C$14="Yes",IF(COUNTBLANK('Capacity summary'!$H25:$BG25)&lt;52,IF('Capacity summary'!AB25&lt;&gt;"",IF(LOWER('Capacity summary'!AB25)="x",$BI113*AB113,VALUE('Capacity summary'!AB25)),0),AB113*$BI113),AB113*$BI113),0)</f>
        <v>25.603448275862075</v>
      </c>
      <c r="CF113" s="5">
        <f ca="1">IF($BI113&lt;&gt;"",IF('Capacity summary'!$C$14="Yes",IF(COUNTBLANK('Capacity summary'!$H25:$BG25)&lt;52,IF('Capacity summary'!AC25&lt;&gt;"",IF(LOWER('Capacity summary'!AC25)="x",$BI113*AC113,VALUE('Capacity summary'!AC25)),0),AC113*$BI113),AC113*$BI113),0)</f>
        <v>25.603448275862075</v>
      </c>
      <c r="CG113" s="5">
        <f ca="1">IF($BI113&lt;&gt;"",IF('Capacity summary'!$C$14="Yes",IF(COUNTBLANK('Capacity summary'!$H25:$BG25)&lt;52,IF('Capacity summary'!AD25&lt;&gt;"",IF(LOWER('Capacity summary'!AD25)="x",$BI113*AD113,VALUE('Capacity summary'!AD25)),0),AD113*$BI113),AD113*$BI113),0)</f>
        <v>25.603448275862075</v>
      </c>
      <c r="CH113" s="5">
        <f ca="1">IF($BI113&lt;&gt;"",IF('Capacity summary'!$C$14="Yes",IF(COUNTBLANK('Capacity summary'!$H25:$BG25)&lt;52,IF('Capacity summary'!AE25&lt;&gt;"",IF(LOWER('Capacity summary'!AE25)="x",$BI113*AE113,VALUE('Capacity summary'!AE25)),0),AE113*$BI113),AE113*$BI113),0)</f>
        <v>25.603448275862075</v>
      </c>
      <c r="CI113" s="5">
        <f ca="1">IF($BI113&lt;&gt;"",IF('Capacity summary'!$C$14="Yes",IF(COUNTBLANK('Capacity summary'!$H25:$BG25)&lt;52,IF('Capacity summary'!AF25&lt;&gt;"",IF(LOWER('Capacity summary'!AF25)="x",$BI113*AF113,VALUE('Capacity summary'!AF25)),0),AF113*$BI113),AF113*$BI113),0)</f>
        <v>25.603448275862075</v>
      </c>
      <c r="CJ113" s="5">
        <f ca="1">IF($BI113&lt;&gt;"",IF('Capacity summary'!$C$14="Yes",IF(COUNTBLANK('Capacity summary'!$H25:$BG25)&lt;52,IF('Capacity summary'!AG25&lt;&gt;"",IF(LOWER('Capacity summary'!AG25)="x",$BI113*AG113,VALUE('Capacity summary'!AG25)),0),AG113*$BI113),AG113*$BI113),0)</f>
        <v>25.603448275862075</v>
      </c>
      <c r="CK113" s="5">
        <f ca="1">IF($BI113&lt;&gt;"",IF('Capacity summary'!$C$14="Yes",IF(COUNTBLANK('Capacity summary'!$H25:$BG25)&lt;52,IF('Capacity summary'!AH25&lt;&gt;"",IF(LOWER('Capacity summary'!AH25)="x",$BI113*AH113,VALUE('Capacity summary'!AH25)),0),AH113*$BI113),AH113*$BI113),0)</f>
        <v>25.603448275862075</v>
      </c>
      <c r="CL113" s="5">
        <f ca="1">IF($BI113&lt;&gt;"",IF('Capacity summary'!$C$14="Yes",IF(COUNTBLANK('Capacity summary'!$H25:$BG25)&lt;52,IF('Capacity summary'!AI25&lt;&gt;"",IF(LOWER('Capacity summary'!AI25)="x",$BI113*AI113,VALUE('Capacity summary'!AI25)),0),AI113*$BI113),AI113*$BI113),0)</f>
        <v>25.603448275862075</v>
      </c>
      <c r="CM113" s="5">
        <f ca="1">IF($BI113&lt;&gt;"",IF('Capacity summary'!$C$14="Yes",IF(COUNTBLANK('Capacity summary'!$H25:$BG25)&lt;52,IF('Capacity summary'!AJ25&lt;&gt;"",IF(LOWER('Capacity summary'!AJ25)="x",$BI113*AJ113,VALUE('Capacity summary'!AJ25)),0),AJ113*$BI113),AJ113*$BI113),0)</f>
        <v>25.603448275862075</v>
      </c>
      <c r="CN113" s="5">
        <f ca="1">IF($BI113&lt;&gt;"",IF('Capacity summary'!$C$14="Yes",IF(COUNTBLANK('Capacity summary'!$H25:$BG25)&lt;52,IF('Capacity summary'!AK25&lt;&gt;"",IF(LOWER('Capacity summary'!AK25)="x",$BI113*AK113,VALUE('Capacity summary'!AK25)),0),AK113*$BI113),AK113*$BI113),0)</f>
        <v>25.603448275862075</v>
      </c>
      <c r="CO113" s="5">
        <f ca="1">IF($BI113&lt;&gt;"",IF('Capacity summary'!$C$14="Yes",IF(COUNTBLANK('Capacity summary'!$H25:$BG25)&lt;52,IF('Capacity summary'!AL25&lt;&gt;"",IF(LOWER('Capacity summary'!AL25)="x",$BI113*AL113,VALUE('Capacity summary'!AL25)),0),AL113*$BI113),AL113*$BI113),0)</f>
        <v>25.603448275862075</v>
      </c>
      <c r="CP113" s="5">
        <f ca="1">IF($BI113&lt;&gt;"",IF('Capacity summary'!$C$14="Yes",IF(COUNTBLANK('Capacity summary'!$H25:$BG25)&lt;52,IF('Capacity summary'!AM25&lt;&gt;"",IF(LOWER('Capacity summary'!AM25)="x",$BI113*AM113,VALUE('Capacity summary'!AM25)),0),AM113*$BI113),AM113*$BI113),0)</f>
        <v>25.603448275862075</v>
      </c>
      <c r="CQ113" s="5">
        <f ca="1">IF($BI113&lt;&gt;"",IF('Capacity summary'!$C$14="Yes",IF(COUNTBLANK('Capacity summary'!$H25:$BG25)&lt;52,IF('Capacity summary'!AN25&lt;&gt;"",IF(LOWER('Capacity summary'!AN25)="x",$BI113*AN113,VALUE('Capacity summary'!AN25)),0),AN113*$BI113),AN113*$BI113),0)</f>
        <v>25.603448275862075</v>
      </c>
      <c r="CR113" s="5">
        <f ca="1">IF($BI113&lt;&gt;"",IF('Capacity summary'!$C$14="Yes",IF(COUNTBLANK('Capacity summary'!$H25:$BG25)&lt;52,IF('Capacity summary'!AO25&lt;&gt;"",IF(LOWER('Capacity summary'!AO25)="x",$BI113*AO113,VALUE('Capacity summary'!AO25)),0),AO113*$BI113),AO113*$BI113),0)</f>
        <v>25.603448275862075</v>
      </c>
      <c r="CS113" s="5">
        <f ca="1">IF($BI113&lt;&gt;"",IF('Capacity summary'!$C$14="Yes",IF(COUNTBLANK('Capacity summary'!$H25:$BG25)&lt;52,IF('Capacity summary'!AP25&lt;&gt;"",IF(LOWER('Capacity summary'!AP25)="x",$BI113*AP113,VALUE('Capacity summary'!AP25)),0),AP113*$BI113),AP113*$BI113),0)</f>
        <v>25.603448275862075</v>
      </c>
      <c r="CT113" s="5">
        <f ca="1">IF($BI113&lt;&gt;"",IF('Capacity summary'!$C$14="Yes",IF(COUNTBLANK('Capacity summary'!$H25:$BG25)&lt;52,IF('Capacity summary'!AQ25&lt;&gt;"",IF(LOWER('Capacity summary'!AQ25)="x",$BI113*AQ113,VALUE('Capacity summary'!AQ25)),0),AQ113*$BI113),AQ113*$BI113),0)</f>
        <v>25.603448275862075</v>
      </c>
      <c r="CU113" s="5">
        <f ca="1">IF($BI113&lt;&gt;"",IF('Capacity summary'!$C$14="Yes",IF(COUNTBLANK('Capacity summary'!$H25:$BG25)&lt;52,IF('Capacity summary'!AR25&lt;&gt;"",IF(LOWER('Capacity summary'!AR25)="x",$BI113*AR113,VALUE('Capacity summary'!AR25)),0),AR113*$BI113),AR113*$BI113),0)</f>
        <v>25.603448275862075</v>
      </c>
      <c r="CV113" s="5">
        <f ca="1">IF($BI113&lt;&gt;"",IF('Capacity summary'!$C$14="Yes",IF(COUNTBLANK('Capacity summary'!$H25:$BG25)&lt;52,IF('Capacity summary'!AS25&lt;&gt;"",IF(LOWER('Capacity summary'!AS25)="x",$BI113*AS113,VALUE('Capacity summary'!AS25)),0),AS113*$BI113),AS113*$BI113),0)</f>
        <v>25.603448275862075</v>
      </c>
      <c r="CW113" s="5">
        <f ca="1">IF($BI113&lt;&gt;"",IF('Capacity summary'!$C$14="Yes",IF(COUNTBLANK('Capacity summary'!$H25:$BG25)&lt;52,IF('Capacity summary'!AT25&lt;&gt;"",IF(LOWER('Capacity summary'!AT25)="x",$BI113*AT113,VALUE('Capacity summary'!AT25)),0),AT113*$BI113),AT113*$BI113),0)</f>
        <v>25.603448275862075</v>
      </c>
      <c r="CX113" s="5">
        <f ca="1">IF($BI113&lt;&gt;"",IF('Capacity summary'!$C$14="Yes",IF(COUNTBLANK('Capacity summary'!$H25:$BG25)&lt;52,IF('Capacity summary'!AU25&lt;&gt;"",IF(LOWER('Capacity summary'!AU25)="x",$BI113*AU113,VALUE('Capacity summary'!AU25)),0),AU113*$BI113),AU113*$BI113),0)</f>
        <v>25.603448275862075</v>
      </c>
      <c r="CY113" s="5">
        <f ca="1">IF($BI113&lt;&gt;"",IF('Capacity summary'!$C$14="Yes",IF(COUNTBLANK('Capacity summary'!$H25:$BG25)&lt;52,IF('Capacity summary'!AV25&lt;&gt;"",IF(LOWER('Capacity summary'!AV25)="x",$BI113*AV113,VALUE('Capacity summary'!AV25)),0),AV113*$BI113),AV113*$BI113),0)</f>
        <v>25.603448275862075</v>
      </c>
      <c r="CZ113" s="5">
        <f ca="1">IF($BI113&lt;&gt;"",IF('Capacity summary'!$C$14="Yes",IF(COUNTBLANK('Capacity summary'!$H25:$BG25)&lt;52,IF('Capacity summary'!AW25&lt;&gt;"",IF(LOWER('Capacity summary'!AW25)="x",$BI113*AW113,VALUE('Capacity summary'!AW25)),0),AW113*$BI113),AW113*$BI113),0)</f>
        <v>25.603448275862075</v>
      </c>
      <c r="DA113" s="5">
        <f ca="1">IF($BI113&lt;&gt;"",IF('Capacity summary'!$C$14="Yes",IF(COUNTBLANK('Capacity summary'!$H25:$BG25)&lt;52,IF('Capacity summary'!AX25&lt;&gt;"",IF(LOWER('Capacity summary'!AX25)="x",$BI113*AX113,VALUE('Capacity summary'!AX25)),0),AX113*$BI113),AX113*$BI113),0)</f>
        <v>25.603448275862075</v>
      </c>
      <c r="DB113" s="5">
        <f ca="1">IF($BI113&lt;&gt;"",IF('Capacity summary'!$C$14="Yes",IF(COUNTBLANK('Capacity summary'!$H25:$BG25)&lt;52,IF('Capacity summary'!AY25&lt;&gt;"",IF(LOWER('Capacity summary'!AY25)="x",$BI113*AY113,VALUE('Capacity summary'!AY25)),0),AY113*$BI113),AY113*$BI113),0)</f>
        <v>25.603448275862075</v>
      </c>
      <c r="DC113" s="5">
        <f ca="1">IF($BI113&lt;&gt;"",IF('Capacity summary'!$C$14="Yes",IF(COUNTBLANK('Capacity summary'!$H25:$BG25)&lt;52,IF('Capacity summary'!AZ25&lt;&gt;"",IF(LOWER('Capacity summary'!AZ25)="x",$BI113*AZ113,VALUE('Capacity summary'!AZ25)),0),AZ113*$BI113),AZ113*$BI113),0)</f>
        <v>25.603448275862075</v>
      </c>
      <c r="DD113" s="5">
        <f ca="1">IF($BI113&lt;&gt;"",IF('Capacity summary'!$C$14="Yes",IF(COUNTBLANK('Capacity summary'!$H25:$BG25)&lt;52,IF('Capacity summary'!BA25&lt;&gt;"",IF(LOWER('Capacity summary'!BA25)="x",$BI113*BA113,VALUE('Capacity summary'!BA25)),0),BA113*$BI113),BA113*$BI113),0)</f>
        <v>25.603448275862075</v>
      </c>
      <c r="DE113" s="5">
        <f ca="1">IF($BI113&lt;&gt;"",IF('Capacity summary'!$C$14="Yes",IF(COUNTBLANK('Capacity summary'!$H25:$BG25)&lt;52,IF('Capacity summary'!BB25&lt;&gt;"",IF(LOWER('Capacity summary'!BB25)="x",$BI113*BB113,VALUE('Capacity summary'!BB25)),0),BB113*$BI113),BB113*$BI113),0)</f>
        <v>25.603448275862075</v>
      </c>
      <c r="DF113" s="5">
        <f ca="1">IF($BI113&lt;&gt;"",IF('Capacity summary'!$C$14="Yes",IF(COUNTBLANK('Capacity summary'!$H25:$BG25)&lt;52,IF('Capacity summary'!BC25&lt;&gt;"",IF(LOWER('Capacity summary'!BC25)="x",$BI113*BC113,VALUE('Capacity summary'!BC25)),0),BC113*$BI113),BC113*$BI113),0)</f>
        <v>25.603448275862075</v>
      </c>
      <c r="DG113" s="5">
        <f ca="1">IF($BI113&lt;&gt;"",IF('Capacity summary'!$C$14="Yes",IF(COUNTBLANK('Capacity summary'!$H25:$BG25)&lt;52,IF('Capacity summary'!BD25&lt;&gt;"",IF(LOWER('Capacity summary'!BD25)="x",$BI113*BD113,VALUE('Capacity summary'!BD25)),0),BD113*$BI113),BD113*$BI113),0)</f>
        <v>25.603448275862075</v>
      </c>
      <c r="DH113" s="5">
        <f ca="1">IF($BI113&lt;&gt;"",IF('Capacity summary'!$C$14="Yes",IF(COUNTBLANK('Capacity summary'!$H25:$BG25)&lt;52,IF('Capacity summary'!BE25&lt;&gt;"",IF(LOWER('Capacity summary'!BE25)="x",$BI113*BE113,VALUE('Capacity summary'!BE25)),0),BE113*$BI113),BE113*$BI113),0)</f>
        <v>25.603448275862075</v>
      </c>
      <c r="DI113" s="5">
        <f ca="1">IF($BI113&lt;&gt;"",IF('Capacity summary'!$C$14="Yes",IF(COUNTBLANK('Capacity summary'!$H25:$BG25)&lt;52,IF('Capacity summary'!BF25&lt;&gt;"",IF(LOWER('Capacity summary'!BF25)="x",$BI113*BF113,VALUE('Capacity summary'!BF25)),0),BF113*$BI113),BF113*$BI113),0)</f>
        <v>25.603448275862075</v>
      </c>
      <c r="DJ113" s="5">
        <f ca="1">IF($BI113&lt;&gt;"",IF('Capacity summary'!$C$14="Yes",IF(COUNTBLANK('Capacity summary'!$H25:$BG25)&lt;52,IF('Capacity summary'!BG25&lt;&gt;"",IF(LOWER('Capacity summary'!BG25)="x",$BI113*BG113,VALUE('Capacity summary'!BG25)),0),BG113*$BI113),BG113*$BI113),0)</f>
        <v>25.603448275862075</v>
      </c>
      <c r="DK113" s="5">
        <f t="shared" ca="1" si="6"/>
        <v>1331.3793103448286</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 ca="1">SUMIFS(BK$112:BK$211,Capacity!$V$17:$V$116,"X")</f>
        <v>46.939655172413801</v>
      </c>
      <c r="BL214" s="67">
        <f ca="1">SUMIFS(BL$112:BL$211,Capacity!$V$17:$V$116,"X")</f>
        <v>46.939655172413801</v>
      </c>
      <c r="BM214" s="67">
        <f ca="1">SUMIFS(BM$112:BM$211,Capacity!$V$17:$V$116,"X")</f>
        <v>46.939655172413801</v>
      </c>
      <c r="BN214" s="67">
        <f ca="1">SUMIFS(BN$112:BN$211,Capacity!$V$17:$V$116,"X")</f>
        <v>46.939655172413801</v>
      </c>
      <c r="BO214" s="67">
        <f ca="1">SUMIFS(BO$112:BO$211,Capacity!$V$17:$V$116,"X")</f>
        <v>46.939655172413801</v>
      </c>
      <c r="BP214" s="67">
        <f ca="1">SUMIFS(BP$112:BP$211,Capacity!$V$17:$V$116,"X")</f>
        <v>46.939655172413801</v>
      </c>
      <c r="BQ214" s="67">
        <f ca="1">SUMIFS(BQ$112:BQ$211,Capacity!$V$17:$V$116,"X")</f>
        <v>46.939655172413801</v>
      </c>
      <c r="BR214" s="67">
        <f ca="1">SUMIFS(BR$112:BR$211,Capacity!$V$17:$V$116,"X")</f>
        <v>46.939655172413801</v>
      </c>
      <c r="BS214" s="67">
        <f ca="1">SUMIFS(BS$112:BS$211,Capacity!$V$17:$V$116,"X")</f>
        <v>46.939655172413801</v>
      </c>
      <c r="BT214" s="67">
        <f ca="1">SUMIFS(BT$112:BT$211,Capacity!$V$17:$V$116,"X")</f>
        <v>46.939655172413801</v>
      </c>
      <c r="BU214" s="67">
        <f ca="1">SUMIFS(BU$112:BU$211,Capacity!$V$17:$V$116,"X")</f>
        <v>46.939655172413801</v>
      </c>
      <c r="BV214" s="67">
        <f ca="1">SUMIFS(BV$112:BV$211,Capacity!$V$17:$V$116,"X")</f>
        <v>46.939655172413801</v>
      </c>
      <c r="BW214" s="67">
        <f ca="1">SUMIFS(BW$112:BW$211,Capacity!$V$17:$V$116,"X")</f>
        <v>46.939655172413801</v>
      </c>
      <c r="BX214" s="67">
        <f ca="1">SUMIFS(BX$112:BX$211,Capacity!$V$17:$V$116,"X")</f>
        <v>46.939655172413801</v>
      </c>
      <c r="BY214" s="67">
        <f ca="1">SUMIFS(BY$112:BY$211,Capacity!$V$17:$V$116,"X")</f>
        <v>46.939655172413801</v>
      </c>
      <c r="BZ214" s="67">
        <f ca="1">SUMIFS(BZ$112:BZ$211,Capacity!$V$17:$V$116,"X")</f>
        <v>46.939655172413801</v>
      </c>
      <c r="CA214" s="67">
        <f ca="1">SUMIFS(CA$112:CA$211,Capacity!$V$17:$V$116,"X")</f>
        <v>46.939655172413801</v>
      </c>
      <c r="CB214" s="67">
        <f ca="1">SUMIFS(CB$112:CB$211,Capacity!$V$17:$V$116,"X")</f>
        <v>46.939655172413801</v>
      </c>
      <c r="CC214" s="67">
        <f ca="1">SUMIFS(CC$112:CC$211,Capacity!$V$17:$V$116,"X")</f>
        <v>46.939655172413801</v>
      </c>
      <c r="CD214" s="67">
        <f ca="1">SUMIFS(CD$112:CD$211,Capacity!$V$17:$V$116,"X")</f>
        <v>46.939655172413801</v>
      </c>
      <c r="CE214" s="67">
        <f ca="1">SUMIFS(CE$112:CE$211,Capacity!$V$17:$V$116,"X")</f>
        <v>46.939655172413801</v>
      </c>
      <c r="CF214" s="67">
        <f ca="1">SUMIFS(CF$112:CF$211,Capacity!$V$17:$V$116,"X")</f>
        <v>46.939655172413801</v>
      </c>
      <c r="CG214" s="67">
        <f ca="1">SUMIFS(CG$112:CG$211,Capacity!$V$17:$V$116,"X")</f>
        <v>46.939655172413801</v>
      </c>
      <c r="CH214" s="67">
        <f ca="1">SUMIFS(CH$112:CH$211,Capacity!$V$17:$V$116,"X")</f>
        <v>46.939655172413801</v>
      </c>
      <c r="CI214" s="67">
        <f ca="1">SUMIFS(CI$112:CI$211,Capacity!$V$17:$V$116,"X")</f>
        <v>46.939655172413801</v>
      </c>
      <c r="CJ214" s="67">
        <f ca="1">SUMIFS(CJ$112:CJ$211,Capacity!$V$17:$V$116,"X")</f>
        <v>46.939655172413801</v>
      </c>
      <c r="CK214" s="67">
        <f ca="1">SUMIFS(CK$112:CK$211,Capacity!$V$17:$V$116,"X")</f>
        <v>46.939655172413801</v>
      </c>
      <c r="CL214" s="67">
        <f ca="1">SUMIFS(CL$112:CL$211,Capacity!$V$17:$V$116,"X")</f>
        <v>46.939655172413801</v>
      </c>
      <c r="CM214" s="67">
        <f ca="1">SUMIFS(CM$112:CM$211,Capacity!$V$17:$V$116,"X")</f>
        <v>46.939655172413801</v>
      </c>
      <c r="CN214" s="67">
        <f ca="1">SUMIFS(CN$112:CN$211,Capacity!$V$17:$V$116,"X")</f>
        <v>46.939655172413801</v>
      </c>
      <c r="CO214" s="67">
        <f ca="1">SUMIFS(CO$112:CO$211,Capacity!$V$17:$V$116,"X")</f>
        <v>46.939655172413801</v>
      </c>
      <c r="CP214" s="67">
        <f ca="1">SUMIFS(CP$112:CP$211,Capacity!$V$17:$V$116,"X")</f>
        <v>46.939655172413801</v>
      </c>
      <c r="CQ214" s="67">
        <f ca="1">SUMIFS(CQ$112:CQ$211,Capacity!$V$17:$V$116,"X")</f>
        <v>46.939655172413801</v>
      </c>
      <c r="CR214" s="67">
        <f ca="1">SUMIFS(CR$112:CR$211,Capacity!$V$17:$V$116,"X")</f>
        <v>46.939655172413801</v>
      </c>
      <c r="CS214" s="67">
        <f ca="1">SUMIFS(CS$112:CS$211,Capacity!$V$17:$V$116,"X")</f>
        <v>46.939655172413801</v>
      </c>
      <c r="CT214" s="67">
        <f ca="1">SUMIFS(CT$112:CT$211,Capacity!$V$17:$V$116,"X")</f>
        <v>46.939655172413801</v>
      </c>
      <c r="CU214" s="67">
        <f ca="1">SUMIFS(CU$112:CU$211,Capacity!$V$17:$V$116,"X")</f>
        <v>46.939655172413801</v>
      </c>
      <c r="CV214" s="67">
        <f ca="1">SUMIFS(CV$112:CV$211,Capacity!$V$17:$V$116,"X")</f>
        <v>46.939655172413801</v>
      </c>
      <c r="CW214" s="67">
        <f ca="1">SUMIFS(CW$112:CW$211,Capacity!$V$17:$V$116,"X")</f>
        <v>46.939655172413801</v>
      </c>
      <c r="CX214" s="67">
        <f ca="1">SUMIFS(CX$112:CX$211,Capacity!$V$17:$V$116,"X")</f>
        <v>46.939655172413801</v>
      </c>
      <c r="CY214" s="67">
        <f ca="1">SUMIFS(CY$112:CY$211,Capacity!$V$17:$V$116,"X")</f>
        <v>46.939655172413801</v>
      </c>
      <c r="CZ214" s="67">
        <f ca="1">SUMIFS(CZ$112:CZ$211,Capacity!$V$17:$V$116,"X")</f>
        <v>46.939655172413801</v>
      </c>
      <c r="DA214" s="67">
        <f ca="1">SUMIFS(DA$112:DA$211,Capacity!$V$17:$V$116,"X")</f>
        <v>46.939655172413801</v>
      </c>
      <c r="DB214" s="67">
        <f ca="1">SUMIFS(DB$112:DB$211,Capacity!$V$17:$V$116,"X")</f>
        <v>46.939655172413801</v>
      </c>
      <c r="DC214" s="67">
        <f ca="1">SUMIFS(DC$112:DC$211,Capacity!$V$17:$V$116,"X")</f>
        <v>46.939655172413801</v>
      </c>
      <c r="DD214" s="67">
        <f ca="1">SUMIFS(DD$112:DD$211,Capacity!$V$17:$V$116,"X")</f>
        <v>46.939655172413801</v>
      </c>
      <c r="DE214" s="67">
        <f ca="1">SUMIFS(DE$112:DE$211,Capacity!$V$17:$V$116,"X")</f>
        <v>46.939655172413801</v>
      </c>
      <c r="DF214" s="67">
        <f ca="1">SUMIFS(DF$112:DF$211,Capacity!$V$17:$V$116,"X")</f>
        <v>46.939655172413801</v>
      </c>
      <c r="DG214" s="67">
        <f ca="1">SUMIFS(DG$112:DG$211,Capacity!$V$17:$V$116,"X")</f>
        <v>46.939655172413801</v>
      </c>
      <c r="DH214" s="67">
        <f ca="1">SUMIFS(DH$112:DH$211,Capacity!$V$17:$V$116,"X")</f>
        <v>46.939655172413801</v>
      </c>
      <c r="DI214" s="67">
        <f ca="1">SUMIFS(DI$112:DI$211,Capacity!$V$17:$V$116,"X")</f>
        <v>46.939655172413801</v>
      </c>
      <c r="DJ214" s="67">
        <f ca="1">SUMIFS(DJ$112:DJ$211,Capacity!$V$17:$V$116,"X")</f>
        <v>46.939655172413801</v>
      </c>
      <c r="DK214" s="67">
        <f ca="1">SUMIFS(DK$112:DK$211,Capacity!$V$17:$V$116,"X")</f>
        <v>2440.8620689655181</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2" t="s">
        <v>87</v>
      </c>
      <c r="D2" s="394"/>
      <c r="F2" s="240" t="str">
        <f ca="1">"On aggregate, 1 patient = "&amp;TEXT('Demand background (hide)'!$BN$16,"#.#")&amp;" "&amp;Setup!$I$17</f>
        <v>On aggregate, 1 patient = 37. Minutes</v>
      </c>
    </row>
    <row r="3" spans="1:15" x14ac:dyDescent="0.25">
      <c r="A3" t="s">
        <v>328</v>
      </c>
      <c r="C3" s="451">
        <v>52</v>
      </c>
      <c r="D3" s="452"/>
      <c r="F3" s="348" t="s">
        <v>326</v>
      </c>
    </row>
    <row r="4" spans="1:15" x14ac:dyDescent="0.25">
      <c r="A4" t="s">
        <v>14</v>
      </c>
      <c r="C4" s="392" t="s">
        <v>19</v>
      </c>
      <c r="D4" s="394"/>
    </row>
    <row r="5" spans="1:15" x14ac:dyDescent="0.25">
      <c r="K5" s="72"/>
    </row>
    <row r="6" spans="1:15" ht="14.55" customHeight="1" thickBot="1" x14ac:dyDescent="0.3">
      <c r="A6" s="102" t="s">
        <v>309</v>
      </c>
      <c r="B6" s="103"/>
      <c r="C6" s="103"/>
      <c r="D6" s="9"/>
      <c r="E6" s="465" t="s">
        <v>346</v>
      </c>
      <c r="F6" s="465"/>
      <c r="G6" s="63" t="s">
        <v>87</v>
      </c>
      <c r="H6" s="9" t="s">
        <v>88</v>
      </c>
      <c r="I6" s="9"/>
      <c r="K6" s="72"/>
    </row>
    <row r="7" spans="1:15" ht="15" thickBot="1" x14ac:dyDescent="0.35">
      <c r="A7" s="10"/>
      <c r="B7" s="11"/>
      <c r="C7" s="11"/>
      <c r="D7" s="9"/>
      <c r="E7" s="466" t="s">
        <v>214</v>
      </c>
      <c r="F7" s="460"/>
      <c r="G7" s="448">
        <v>1.0999999999999999E-2</v>
      </c>
      <c r="H7" s="435">
        <f ca="1">'Parameters calculator (hide)'!B25</f>
        <v>7.6559999999999997</v>
      </c>
      <c r="I7" s="9"/>
    </row>
    <row r="8" spans="1:15" ht="14.4" thickBot="1" x14ac:dyDescent="0.3">
      <c r="A8" s="11"/>
      <c r="B8" s="11"/>
      <c r="C8" s="11"/>
      <c r="D8" s="12"/>
      <c r="E8" s="13"/>
      <c r="F8" s="14"/>
      <c r="G8" s="449"/>
      <c r="H8" s="436"/>
      <c r="I8" s="9"/>
    </row>
    <row r="9" spans="1:15" ht="14.4" thickBot="1" x14ac:dyDescent="0.3">
      <c r="A9" s="85" t="s">
        <v>338</v>
      </c>
      <c r="B9" s="455" t="str">
        <f ca="1">TEXT('Parameters calculator (hide)'!B19,"#,#")</f>
        <v>696</v>
      </c>
      <c r="C9" s="11"/>
      <c r="D9" s="12"/>
      <c r="E9" s="9"/>
      <c r="F9" s="9"/>
      <c r="G9" s="9"/>
      <c r="H9" s="9"/>
      <c r="I9" s="9"/>
    </row>
    <row r="10" spans="1:15" ht="14.4" thickBot="1" x14ac:dyDescent="0.3">
      <c r="A10" s="242" t="str">
        <f>"("&amp;$C$4&amp;")"</f>
        <v>(Patients)</v>
      </c>
      <c r="B10" s="456"/>
      <c r="C10" s="15"/>
      <c r="D10" s="16"/>
      <c r="E10" s="457" t="s">
        <v>348</v>
      </c>
      <c r="F10" s="458"/>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59" t="s">
        <v>89</v>
      </c>
      <c r="F11" s="460"/>
      <c r="G11" s="461">
        <v>0.11348300821985031</v>
      </c>
      <c r="H11" s="435">
        <f ca="1">'Parameters calculator (hide)'!C25</f>
        <v>78.115347810084643</v>
      </c>
      <c r="I11" s="9"/>
      <c r="O11" s="380"/>
    </row>
    <row r="12" spans="1:15" ht="14.4" thickBot="1" x14ac:dyDescent="0.3">
      <c r="A12" s="91" t="str">
        <f ca="1">"normalised to "&amp;TEXT('Parameters calculator (hide)'!$B$18,"#")&amp;" wks"</f>
        <v>normalised to 52 wks</v>
      </c>
      <c r="B12" s="11"/>
      <c r="C12" s="17"/>
      <c r="D12" s="9"/>
      <c r="E12" s="18"/>
      <c r="F12" s="14"/>
      <c r="G12" s="462"/>
      <c r="H12" s="436"/>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3" t="s">
        <v>373</v>
      </c>
      <c r="D15" s="464"/>
      <c r="E15" s="20"/>
      <c r="F15" s="434" t="s">
        <v>399</v>
      </c>
      <c r="G15" s="434"/>
      <c r="H15" s="20"/>
      <c r="I15" s="64" t="s">
        <v>87</v>
      </c>
      <c r="J15" s="20" t="s">
        <v>88</v>
      </c>
      <c r="K15" s="20"/>
      <c r="L15" s="20"/>
    </row>
    <row r="16" spans="1:15" ht="14.4" thickBot="1" x14ac:dyDescent="0.3">
      <c r="B16" s="20"/>
      <c r="C16" s="437">
        <f ca="1">IF(B9-H7-H11+J16&lt;0, 0, B9-H7-H11+J16)</f>
        <v>626.74890818991548</v>
      </c>
      <c r="D16" s="438"/>
      <c r="E16" s="20"/>
      <c r="F16" s="20" t="s">
        <v>92</v>
      </c>
      <c r="G16" s="20"/>
      <c r="H16" s="20"/>
      <c r="I16" s="441">
        <f>'Parameters calculator (hide)'!$H$24</f>
        <v>0.8</v>
      </c>
      <c r="J16" s="443">
        <f ca="1">'Parameters calculator (hide)'!H25</f>
        <v>16.520255999999996</v>
      </c>
      <c r="K16" s="20"/>
      <c r="L16" s="20"/>
    </row>
    <row r="17" spans="1:13" ht="14.4" thickBot="1" x14ac:dyDescent="0.3">
      <c r="B17" s="20"/>
      <c r="C17" s="439"/>
      <c r="D17" s="440"/>
      <c r="E17" s="22"/>
      <c r="F17" s="23"/>
      <c r="G17" s="23"/>
      <c r="H17" s="23"/>
      <c r="I17" s="442"/>
      <c r="J17" s="444"/>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5" t="s">
        <v>347</v>
      </c>
      <c r="F20" s="445"/>
      <c r="G20" s="64" t="s">
        <v>87</v>
      </c>
      <c r="H20" s="25" t="s">
        <v>88</v>
      </c>
      <c r="I20" s="25"/>
      <c r="J20" s="25"/>
      <c r="K20" s="26"/>
      <c r="L20" s="20"/>
    </row>
    <row r="21" spans="1:13" ht="14.4" thickBot="1" x14ac:dyDescent="0.3">
      <c r="B21" s="20"/>
      <c r="C21" s="20"/>
      <c r="D21" s="28"/>
      <c r="E21" s="446" t="s">
        <v>93</v>
      </c>
      <c r="F21" s="447"/>
      <c r="G21" s="448">
        <v>0.03</v>
      </c>
      <c r="H21" s="435">
        <f ca="1">'Parameters calculator (hide)'!E25</f>
        <v>20.650319999999997</v>
      </c>
      <c r="I21" s="29"/>
      <c r="J21" s="29"/>
      <c r="K21" s="21"/>
      <c r="L21" s="20"/>
    </row>
    <row r="22" spans="1:13" ht="14.4" thickBot="1" x14ac:dyDescent="0.3">
      <c r="B22" s="90"/>
      <c r="C22" s="26"/>
      <c r="D22" s="23"/>
      <c r="E22" s="23"/>
      <c r="F22" s="24"/>
      <c r="G22" s="449"/>
      <c r="H22" s="436"/>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50" t="s">
        <v>372</v>
      </c>
      <c r="B25" s="31"/>
      <c r="C25" s="32"/>
      <c r="D25" s="31"/>
      <c r="E25" s="31"/>
      <c r="F25" s="31"/>
      <c r="G25" s="31"/>
      <c r="H25" s="31"/>
      <c r="I25" s="32"/>
      <c r="J25" s="31"/>
      <c r="K25" s="31"/>
    </row>
    <row r="26" spans="1:13" ht="14.4" thickBot="1" x14ac:dyDescent="0.3">
      <c r="A26" s="450"/>
      <c r="B26" s="453">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4"/>
      <c r="C27" s="31"/>
      <c r="D27" s="31"/>
      <c r="E27" s="31"/>
      <c r="F27" s="83" t="s">
        <v>400</v>
      </c>
      <c r="G27" s="92"/>
      <c r="H27" s="31"/>
      <c r="I27" s="448">
        <v>0.2</v>
      </c>
      <c r="J27" s="435">
        <f ca="1">'Parameters calculator (hide)'!F25</f>
        <v>4.130064</v>
      </c>
      <c r="K27" s="31"/>
    </row>
    <row r="28" spans="1:13" ht="14.4" thickBot="1" x14ac:dyDescent="0.3">
      <c r="A28" s="83"/>
      <c r="B28" s="31"/>
      <c r="C28" s="31"/>
      <c r="D28" s="31"/>
      <c r="E28" s="31"/>
      <c r="F28" s="31" t="s">
        <v>95</v>
      </c>
      <c r="G28" s="31"/>
      <c r="H28" s="31"/>
      <c r="I28" s="449"/>
      <c r="J28" s="436"/>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oVIGDZt/rX7+UWqAwowwDT/R8Jyo53zIelGhBwf5YczYI8w11jUaN9CW/v1pFjljBMyYz0C9RmezlVKmiGcKA==" saltValue="VGuBkip3Ina5rXAhm3j8/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workbookViewId="0">
      <selection activeCell="EA2" sqref="EA2:EA3"/>
    </sheetView>
  </sheetViews>
  <sheetFormatPr defaultRowHeight="13.8" x14ac:dyDescent="0.25"/>
  <cols>
    <col min="7" max="7" width="8.69921875" style="67"/>
    <col min="13" max="13" width="8.69921875" style="67"/>
    <col min="65" max="65" width="8.69921875" style="67"/>
  </cols>
  <sheetData>
    <row r="1" spans="1:131" x14ac:dyDescent="0.25">
      <c r="A1">
        <v>0</v>
      </c>
      <c r="B1" t="s">
        <v>1263</v>
      </c>
      <c r="G1" s="67" t="s">
        <v>1265</v>
      </c>
      <c r="H1" t="s">
        <v>1264</v>
      </c>
      <c r="M1" s="67" t="s">
        <v>1265</v>
      </c>
      <c r="N1" t="s">
        <v>1263</v>
      </c>
      <c r="BN1" t="s">
        <v>1264</v>
      </c>
      <c r="EA1" t="s">
        <v>1288</v>
      </c>
    </row>
    <row r="2" spans="1:131" x14ac:dyDescent="0.25">
      <c r="G2"/>
      <c r="M2"/>
      <c r="BM2"/>
    </row>
    <row r="3" spans="1:131" x14ac:dyDescent="0.25">
      <c r="G3"/>
      <c r="M3"/>
      <c r="BM3"/>
    </row>
    <row r="4" spans="1:131" x14ac:dyDescent="0.25">
      <c r="G4"/>
      <c r="M4"/>
      <c r="BM4"/>
    </row>
    <row r="5" spans="1:131" x14ac:dyDescent="0.25">
      <c r="G5"/>
      <c r="M5"/>
      <c r="BM5"/>
    </row>
    <row r="6" spans="1:131" x14ac:dyDescent="0.25">
      <c r="G6"/>
      <c r="M6"/>
      <c r="BM6"/>
    </row>
    <row r="7" spans="1:131" x14ac:dyDescent="0.25">
      <c r="G7"/>
      <c r="M7"/>
      <c r="BM7"/>
    </row>
    <row r="8" spans="1:131" x14ac:dyDescent="0.25">
      <c r="G8"/>
      <c r="M8"/>
      <c r="BM8"/>
    </row>
    <row r="9" spans="1:131" x14ac:dyDescent="0.25">
      <c r="G9"/>
      <c r="M9"/>
      <c r="BM9"/>
    </row>
    <row r="10" spans="1:131" x14ac:dyDescent="0.25">
      <c r="G10"/>
      <c r="M10"/>
      <c r="BM10"/>
    </row>
    <row r="11" spans="1:131" x14ac:dyDescent="0.25">
      <c r="G11"/>
      <c r="M11"/>
      <c r="BM11"/>
    </row>
    <row r="12" spans="1:131" x14ac:dyDescent="0.25">
      <c r="G12"/>
      <c r="M12"/>
      <c r="BM12"/>
    </row>
    <row r="13" spans="1:131" x14ac:dyDescent="0.25">
      <c r="G13"/>
      <c r="M13"/>
      <c r="BM13"/>
    </row>
    <row r="14" spans="1:131" x14ac:dyDescent="0.25">
      <c r="G14"/>
      <c r="M14"/>
      <c r="BM14"/>
    </row>
    <row r="15" spans="1:131" x14ac:dyDescent="0.25">
      <c r="G15"/>
      <c r="M15"/>
      <c r="BM15"/>
    </row>
    <row r="16" spans="1:131" x14ac:dyDescent="0.25">
      <c r="G16"/>
      <c r="M16"/>
      <c r="BM16"/>
    </row>
    <row r="17" spans="7:65" x14ac:dyDescent="0.25">
      <c r="G17"/>
      <c r="M17"/>
      <c r="BM17"/>
    </row>
    <row r="18" spans="7:65" x14ac:dyDescent="0.25">
      <c r="G18"/>
      <c r="M18"/>
      <c r="BM18"/>
    </row>
    <row r="19" spans="7:65" x14ac:dyDescent="0.25">
      <c r="G19"/>
      <c r="M19"/>
      <c r="BM19"/>
    </row>
    <row r="20" spans="7:65" x14ac:dyDescent="0.25">
      <c r="G20"/>
      <c r="M20"/>
      <c r="BM20"/>
    </row>
    <row r="21" spans="7:65" x14ac:dyDescent="0.25">
      <c r="G21"/>
      <c r="M21"/>
      <c r="BM21"/>
    </row>
    <row r="22" spans="7:65" x14ac:dyDescent="0.25">
      <c r="G22"/>
      <c r="M22"/>
      <c r="BM22"/>
    </row>
    <row r="23" spans="7:65" x14ac:dyDescent="0.25">
      <c r="G23"/>
      <c r="M23"/>
      <c r="BM23"/>
    </row>
    <row r="24" spans="7:65" x14ac:dyDescent="0.25">
      <c r="G24"/>
      <c r="M24"/>
      <c r="BM24"/>
    </row>
    <row r="25" spans="7:65" x14ac:dyDescent="0.25">
      <c r="G25"/>
      <c r="M25"/>
      <c r="BM25"/>
    </row>
    <row r="26" spans="7:65" x14ac:dyDescent="0.25">
      <c r="G26"/>
      <c r="M26"/>
      <c r="BM26"/>
    </row>
    <row r="27" spans="7:65" x14ac:dyDescent="0.25">
      <c r="G27"/>
      <c r="M27"/>
      <c r="BM27"/>
    </row>
    <row r="28" spans="7:65" x14ac:dyDescent="0.25">
      <c r="G28"/>
      <c r="M28"/>
      <c r="BM28"/>
    </row>
    <row r="29" spans="7:65" x14ac:dyDescent="0.25">
      <c r="G29"/>
      <c r="M29"/>
      <c r="BM29"/>
    </row>
    <row r="30" spans="7:65" x14ac:dyDescent="0.25">
      <c r="G30"/>
      <c r="M30"/>
      <c r="BM30"/>
    </row>
    <row r="31" spans="7:65" x14ac:dyDescent="0.25">
      <c r="G31"/>
      <c r="M31"/>
      <c r="BM31"/>
    </row>
    <row r="32" spans="7:65" x14ac:dyDescent="0.25">
      <c r="G32"/>
      <c r="M32"/>
      <c r="BM32"/>
    </row>
    <row r="33" spans="7:65" x14ac:dyDescent="0.25">
      <c r="G33"/>
      <c r="M33"/>
      <c r="BM33"/>
    </row>
    <row r="34" spans="7:65" x14ac:dyDescent="0.25">
      <c r="G34"/>
      <c r="M34"/>
      <c r="BM34"/>
    </row>
    <row r="35" spans="7:65" x14ac:dyDescent="0.25">
      <c r="G35"/>
      <c r="M35"/>
      <c r="BM35"/>
    </row>
    <row r="36" spans="7:65" x14ac:dyDescent="0.25">
      <c r="G36"/>
      <c r="M36"/>
      <c r="BM36"/>
    </row>
    <row r="37" spans="7:65" x14ac:dyDescent="0.25">
      <c r="G37"/>
      <c r="M37"/>
      <c r="BM37"/>
    </row>
    <row r="38" spans="7:65" x14ac:dyDescent="0.25">
      <c r="G38"/>
      <c r="M38"/>
      <c r="BM38"/>
    </row>
    <row r="39" spans="7:65" x14ac:dyDescent="0.25">
      <c r="G39"/>
      <c r="M39"/>
      <c r="BM39"/>
    </row>
    <row r="40" spans="7:65" x14ac:dyDescent="0.25">
      <c r="G40"/>
      <c r="M40"/>
      <c r="BM40"/>
    </row>
    <row r="41" spans="7:65" x14ac:dyDescent="0.25">
      <c r="G41"/>
      <c r="M41"/>
      <c r="BM41"/>
    </row>
    <row r="42" spans="7:65" x14ac:dyDescent="0.25">
      <c r="G42"/>
      <c r="M42"/>
      <c r="BM42"/>
    </row>
    <row r="43" spans="7:65" x14ac:dyDescent="0.25">
      <c r="G43"/>
      <c r="M43"/>
      <c r="BM43"/>
    </row>
    <row r="44" spans="7:65" x14ac:dyDescent="0.25">
      <c r="G44"/>
      <c r="M44"/>
      <c r="BM44"/>
    </row>
    <row r="45" spans="7:65" x14ac:dyDescent="0.25">
      <c r="G45"/>
      <c r="M45"/>
      <c r="BM45"/>
    </row>
    <row r="46" spans="7:65" x14ac:dyDescent="0.25">
      <c r="G46"/>
      <c r="M46"/>
      <c r="BM46"/>
    </row>
    <row r="47" spans="7:65" x14ac:dyDescent="0.25">
      <c r="G47"/>
      <c r="M47"/>
      <c r="BM47"/>
    </row>
    <row r="48" spans="7:65" x14ac:dyDescent="0.25">
      <c r="G48"/>
      <c r="M48"/>
      <c r="BM48"/>
    </row>
    <row r="49" spans="7:65" x14ac:dyDescent="0.25">
      <c r="G49"/>
      <c r="M49"/>
      <c r="BM49"/>
    </row>
    <row r="50" spans="7:65" x14ac:dyDescent="0.25">
      <c r="G50"/>
      <c r="M50"/>
      <c r="BM50"/>
    </row>
    <row r="51" spans="7:65" x14ac:dyDescent="0.25">
      <c r="G51"/>
      <c r="M51"/>
      <c r="BM51"/>
    </row>
    <row r="52" spans="7:65" x14ac:dyDescent="0.25">
      <c r="G52"/>
      <c r="M52"/>
      <c r="BM52"/>
    </row>
    <row r="53" spans="7:65" x14ac:dyDescent="0.25">
      <c r="G53"/>
      <c r="M53"/>
      <c r="BM53"/>
    </row>
    <row r="54" spans="7:65" x14ac:dyDescent="0.25">
      <c r="G54"/>
      <c r="M54"/>
      <c r="BM54"/>
    </row>
    <row r="55" spans="7:65" x14ac:dyDescent="0.25">
      <c r="G55"/>
      <c r="M55"/>
      <c r="BM55"/>
    </row>
    <row r="56" spans="7:65" x14ac:dyDescent="0.25">
      <c r="G56"/>
      <c r="M56"/>
      <c r="BM56"/>
    </row>
    <row r="57" spans="7:65" x14ac:dyDescent="0.25">
      <c r="G57"/>
      <c r="M57"/>
      <c r="BM57"/>
    </row>
    <row r="58" spans="7:65" x14ac:dyDescent="0.25">
      <c r="G58"/>
      <c r="M58"/>
      <c r="BM58"/>
    </row>
    <row r="59" spans="7:65" x14ac:dyDescent="0.25">
      <c r="G59"/>
      <c r="M59"/>
      <c r="BM59"/>
    </row>
    <row r="60" spans="7:65" x14ac:dyDescent="0.25">
      <c r="G60"/>
      <c r="M60"/>
      <c r="BM60"/>
    </row>
    <row r="61" spans="7:65" x14ac:dyDescent="0.25">
      <c r="G61"/>
      <c r="M61"/>
      <c r="BM61"/>
    </row>
    <row r="62" spans="7:65" x14ac:dyDescent="0.25">
      <c r="G62"/>
      <c r="M62"/>
      <c r="BM62"/>
    </row>
    <row r="63" spans="7:65" x14ac:dyDescent="0.25">
      <c r="G63"/>
      <c r="M63"/>
      <c r="BM63"/>
    </row>
    <row r="64" spans="7:65" x14ac:dyDescent="0.25">
      <c r="G64"/>
      <c r="M64"/>
      <c r="BM64"/>
    </row>
    <row r="65" spans="7:65" x14ac:dyDescent="0.25">
      <c r="G65"/>
      <c r="M65"/>
      <c r="BM65"/>
    </row>
    <row r="66" spans="7:65" x14ac:dyDescent="0.25">
      <c r="G66"/>
      <c r="M66"/>
      <c r="BM66"/>
    </row>
    <row r="67" spans="7:65" x14ac:dyDescent="0.25">
      <c r="G67"/>
      <c r="M67"/>
      <c r="BM67"/>
    </row>
    <row r="68" spans="7:65" x14ac:dyDescent="0.25">
      <c r="G68"/>
      <c r="M68"/>
      <c r="BM68"/>
    </row>
    <row r="69" spans="7:65" x14ac:dyDescent="0.25">
      <c r="G69"/>
      <c r="M69"/>
      <c r="BM69"/>
    </row>
    <row r="70" spans="7:65" x14ac:dyDescent="0.25">
      <c r="G70"/>
      <c r="M70"/>
      <c r="BM70"/>
    </row>
    <row r="71" spans="7:65" x14ac:dyDescent="0.25">
      <c r="G71"/>
      <c r="M71"/>
      <c r="BM71"/>
    </row>
    <row r="72" spans="7:65" x14ac:dyDescent="0.25">
      <c r="G72"/>
      <c r="M72"/>
      <c r="BM72"/>
    </row>
    <row r="73" spans="7:65" x14ac:dyDescent="0.25">
      <c r="G73"/>
      <c r="M73"/>
      <c r="BM73"/>
    </row>
    <row r="74" spans="7:65" x14ac:dyDescent="0.25">
      <c r="G74"/>
      <c r="M74"/>
      <c r="BM74"/>
    </row>
    <row r="75" spans="7:65" x14ac:dyDescent="0.25">
      <c r="G75"/>
      <c r="M75"/>
      <c r="BM75"/>
    </row>
    <row r="76" spans="7:65" x14ac:dyDescent="0.25">
      <c r="G76"/>
      <c r="M76"/>
      <c r="BM76"/>
    </row>
    <row r="77" spans="7:65" x14ac:dyDescent="0.25">
      <c r="G77"/>
      <c r="M77"/>
      <c r="BM77"/>
    </row>
    <row r="78" spans="7:65" x14ac:dyDescent="0.25">
      <c r="G78"/>
      <c r="M78"/>
      <c r="BM78"/>
    </row>
    <row r="79" spans="7:65" x14ac:dyDescent="0.25">
      <c r="G79"/>
      <c r="M79"/>
      <c r="BM79"/>
    </row>
    <row r="80" spans="7:65" x14ac:dyDescent="0.25">
      <c r="G80"/>
      <c r="M80"/>
      <c r="BM80"/>
    </row>
    <row r="81" spans="7:65" x14ac:dyDescent="0.25">
      <c r="G81"/>
      <c r="M81"/>
      <c r="BM81"/>
    </row>
    <row r="82" spans="7:65" x14ac:dyDescent="0.25">
      <c r="G82"/>
      <c r="M82"/>
      <c r="BM82"/>
    </row>
    <row r="83" spans="7:65" x14ac:dyDescent="0.25">
      <c r="G83"/>
      <c r="M83"/>
      <c r="BM83"/>
    </row>
    <row r="84" spans="7:65" x14ac:dyDescent="0.25">
      <c r="G84"/>
      <c r="M84"/>
      <c r="BM84"/>
    </row>
    <row r="85" spans="7:65" x14ac:dyDescent="0.25">
      <c r="G85"/>
      <c r="M85"/>
      <c r="BM85"/>
    </row>
    <row r="86" spans="7:65" x14ac:dyDescent="0.25">
      <c r="G86"/>
      <c r="M86"/>
      <c r="BM86"/>
    </row>
    <row r="87" spans="7:65" x14ac:dyDescent="0.25">
      <c r="G87"/>
      <c r="M87"/>
      <c r="BM87"/>
    </row>
    <row r="88" spans="7:65" x14ac:dyDescent="0.25">
      <c r="G88"/>
      <c r="M88"/>
      <c r="BM88"/>
    </row>
    <row r="89" spans="7:65" x14ac:dyDescent="0.25">
      <c r="G89"/>
      <c r="M89"/>
      <c r="BM89"/>
    </row>
    <row r="90" spans="7:65" x14ac:dyDescent="0.25">
      <c r="G90"/>
      <c r="M90"/>
      <c r="BM90"/>
    </row>
    <row r="91" spans="7:65" x14ac:dyDescent="0.25">
      <c r="G91"/>
      <c r="M91"/>
      <c r="BM91"/>
    </row>
    <row r="92" spans="7:65" x14ac:dyDescent="0.25">
      <c r="G92"/>
      <c r="M92"/>
      <c r="BM92"/>
    </row>
    <row r="93" spans="7:65" x14ac:dyDescent="0.25">
      <c r="G93"/>
      <c r="M93"/>
      <c r="BM93"/>
    </row>
    <row r="94" spans="7:65" x14ac:dyDescent="0.25">
      <c r="G94"/>
      <c r="M94"/>
      <c r="BM94"/>
    </row>
    <row r="95" spans="7:65" x14ac:dyDescent="0.25">
      <c r="G95"/>
      <c r="M95"/>
      <c r="BM95"/>
    </row>
    <row r="96" spans="7:65" x14ac:dyDescent="0.25">
      <c r="G96"/>
      <c r="M96"/>
      <c r="BM96"/>
    </row>
    <row r="97" spans="7:65" x14ac:dyDescent="0.25">
      <c r="G97"/>
      <c r="M97"/>
      <c r="BM97"/>
    </row>
    <row r="98" spans="7:65" x14ac:dyDescent="0.25">
      <c r="G98"/>
      <c r="M98"/>
      <c r="BM98"/>
    </row>
    <row r="99" spans="7:65" x14ac:dyDescent="0.25">
      <c r="G99"/>
      <c r="M99"/>
      <c r="BM99"/>
    </row>
    <row r="100" spans="7:65" x14ac:dyDescent="0.25">
      <c r="G100"/>
      <c r="M100"/>
      <c r="BM100"/>
    </row>
    <row r="101" spans="7:65" x14ac:dyDescent="0.25">
      <c r="G101"/>
      <c r="M101"/>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E6" sqref="E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9"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C17" sqref="C17"/>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18" width="9" customWidth="1"/>
    <col min="19" max="19" width="6.3984375" customWidth="1"/>
    <col min="20" max="20" width="10.39843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G2" s="388" t="s">
        <v>1290</v>
      </c>
    </row>
    <row r="3" spans="2:21" x14ac:dyDescent="0.25">
      <c r="G3" s="388" t="s">
        <v>1283</v>
      </c>
      <c r="H3" s="388" t="s">
        <v>1284</v>
      </c>
      <c r="I3" s="388"/>
      <c r="J3" s="388" t="s">
        <v>1285</v>
      </c>
      <c r="K3" s="388"/>
      <c r="L3" s="388" t="s">
        <v>1291</v>
      </c>
      <c r="M3" s="388"/>
      <c r="N3" s="388" t="s">
        <v>1289</v>
      </c>
      <c r="O3" s="388"/>
      <c r="P3" s="388" t="s">
        <v>1292</v>
      </c>
    </row>
    <row r="4" spans="2:21" x14ac:dyDescent="0.25">
      <c r="B4" s="474" t="s">
        <v>884</v>
      </c>
      <c r="C4" s="474"/>
      <c r="D4" s="474"/>
      <c r="E4" s="474"/>
      <c r="G4" s="488" t="str">
        <f>C15</f>
        <v>Test</v>
      </c>
      <c r="H4" s="489">
        <f>Planning!C11</f>
        <v>0.2</v>
      </c>
      <c r="I4" s="488"/>
      <c r="J4" s="490">
        <f>Planning!C15</f>
        <v>0.05</v>
      </c>
      <c r="K4" s="488"/>
      <c r="L4" s="490">
        <f>Planning!C16</f>
        <v>0.12</v>
      </c>
      <c r="M4" s="488"/>
      <c r="N4" s="490">
        <f>Planning!C17</f>
        <v>0.05</v>
      </c>
      <c r="O4" s="488"/>
      <c r="P4" s="490">
        <f>Planning!C18</f>
        <v>0.25</v>
      </c>
      <c r="Q4" s="488"/>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3">
        <f>Capacity!C3</f>
        <v>43969</v>
      </c>
    </row>
    <row r="14" spans="2:21" x14ac:dyDescent="0.25">
      <c r="B14" s="371" t="s">
        <v>1266</v>
      </c>
    </row>
    <row r="15" spans="2:21" s="67" customFormat="1" ht="40.799999999999997" customHeight="1" x14ac:dyDescent="0.25">
      <c r="B15" s="382">
        <v>0</v>
      </c>
      <c r="C15" s="382" t="s">
        <v>1287</v>
      </c>
    </row>
    <row r="16" spans="2:21" s="67" customFormat="1" ht="51" customHeight="1" x14ac:dyDescent="0.25">
      <c r="B16" s="381" t="s">
        <v>1282</v>
      </c>
      <c r="C16" s="370"/>
    </row>
    <row r="17" spans="2:16" x14ac:dyDescent="0.25">
      <c r="B17" s="372" t="s">
        <v>945</v>
      </c>
    </row>
    <row r="18" spans="2:16" ht="17.55" customHeight="1" x14ac:dyDescent="0.25">
      <c r="B18" s="330" t="s">
        <v>22</v>
      </c>
    </row>
    <row r="19" spans="2:16" s="82" customFormat="1" hidden="1" x14ac:dyDescent="0.25">
      <c r="B19" s="329"/>
    </row>
    <row r="20" spans="2:16" hidden="1" x14ac:dyDescent="0.25">
      <c r="B20" s="329"/>
      <c r="C20" s="329"/>
      <c r="D20" s="329"/>
      <c r="E20" s="329"/>
      <c r="F20" s="329"/>
      <c r="G20" s="329"/>
    </row>
    <row r="21" spans="2:16" ht="13.95" hidden="1" customHeight="1" x14ac:dyDescent="0.25">
      <c r="B21" s="329"/>
      <c r="C21" s="329"/>
      <c r="D21" s="329"/>
      <c r="E21" s="329"/>
      <c r="F21" s="329"/>
      <c r="G21" s="329"/>
    </row>
    <row r="22" spans="2:16" hidden="1" x14ac:dyDescent="0.25"/>
    <row r="23" spans="2:16" x14ac:dyDescent="0.25">
      <c r="B23" s="2" t="s">
        <v>493</v>
      </c>
    </row>
    <row r="24" spans="2:16" x14ac:dyDescent="0.25">
      <c r="B24" s="161" t="s">
        <v>20</v>
      </c>
      <c r="D24" s="467" t="str">
        <f ca="1">"On aggregate, 1 patient = "&amp;TEXT('Demand background (hide)'!$BN$16,"#.#")&amp;" "&amp;Setup!$I$17</f>
        <v>On aggregate, 1 patient = 37. Minutes</v>
      </c>
      <c r="E24" s="467"/>
      <c r="F24" s="467"/>
      <c r="G24" s="467"/>
      <c r="H24" s="467"/>
      <c r="I24" s="467"/>
      <c r="J24" s="467"/>
      <c r="K24" s="467"/>
      <c r="P24" s="170" t="s">
        <v>500</v>
      </c>
    </row>
    <row r="26" spans="2:16" s="67" customFormat="1" x14ac:dyDescent="0.25">
      <c r="B26" s="67" t="s">
        <v>1277</v>
      </c>
    </row>
    <row r="27" spans="2:16" s="67" customFormat="1" x14ac:dyDescent="0.25">
      <c r="B27" s="475" t="s">
        <v>1278</v>
      </c>
      <c r="C27" s="475"/>
      <c r="D27" s="280" t="s">
        <v>497</v>
      </c>
      <c r="E27" s="280" t="s">
        <v>128</v>
      </c>
    </row>
    <row r="28" spans="2:16" s="67" customFormat="1" x14ac:dyDescent="0.25">
      <c r="B28" s="476" t="s">
        <v>1234</v>
      </c>
      <c r="C28" s="477"/>
      <c r="D28" s="378">
        <f ca="1">IFERROR('Summary Calculations (hide)'!N70,"")</f>
        <v>506.09872392791715</v>
      </c>
      <c r="E28" s="379"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264 minutes to meet the 85th percentile of demand. It may be advisable to review your capacity if you have an urgent, or very variable service.</v>
      </c>
    </row>
    <row r="29" spans="2:16" s="67" customFormat="1" x14ac:dyDescent="0.25">
      <c r="B29" s="478" t="s">
        <v>1235</v>
      </c>
      <c r="C29" s="479"/>
      <c r="D29" s="275">
        <f ca="1">IFERROR('Summary Calculations (hide)'!M70,"")</f>
        <v>480.179577879237</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238 minutes to meet the 65th percentile of demand. Your waiting list size is likely to increase over time.</v>
      </c>
    </row>
    <row r="30" spans="2:16" s="67" customFormat="1" x14ac:dyDescent="0.25">
      <c r="B30" s="480" t="s">
        <v>503</v>
      </c>
      <c r="C30" s="481"/>
      <c r="D30" s="349">
        <f ca="1">IFERROR('Summary Calculations (hide)'!X70,"")</f>
        <v>445.7481459109307</v>
      </c>
      <c r="E30" s="349">
        <f ca="1">IFERROR('Summary Calculations (hide)'!X71,"")</f>
        <v>23624.651733279326</v>
      </c>
    </row>
    <row r="31" spans="2:16" s="67" customFormat="1" x14ac:dyDescent="0.25">
      <c r="B31" s="144" t="s">
        <v>303</v>
      </c>
      <c r="C31" s="142"/>
    </row>
    <row r="32" spans="2:16" s="67" customFormat="1" x14ac:dyDescent="0.25">
      <c r="B32" s="478" t="s">
        <v>495</v>
      </c>
      <c r="C32" s="479"/>
      <c r="D32" s="275">
        <f ca="1">IFERROR('Summary Calculations (hide)'!R70,"")</f>
        <v>195.59344502277168</v>
      </c>
      <c r="E32" s="275">
        <f ca="1">IFERROR('Summary Calculations (hide)'!R71,"")</f>
        <v>10366.452586206899</v>
      </c>
      <c r="H32" s="5"/>
    </row>
    <row r="33" spans="2:21" s="67" customFormat="1" x14ac:dyDescent="0.25">
      <c r="B33" s="478" t="s">
        <v>496</v>
      </c>
      <c r="C33" s="479"/>
      <c r="D33" s="275">
        <f ca="1">IFERROR('Summary Calculations (hide)'!S70,"")</f>
        <v>46.939655172413801</v>
      </c>
      <c r="E33" s="275">
        <f ca="1">IFERROR('Summary Calculations (hide)'!S71,"")</f>
        <v>2487.8017241379316</v>
      </c>
    </row>
    <row r="34" spans="2:21" s="67" customFormat="1" x14ac:dyDescent="0.25">
      <c r="B34" s="144" t="s">
        <v>928</v>
      </c>
    </row>
    <row r="35" spans="2:21" s="67" customFormat="1" x14ac:dyDescent="0.25">
      <c r="B35" s="478" t="s">
        <v>927</v>
      </c>
      <c r="C35" s="479"/>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74" t="str">
        <f>"Current waiting list vs Estimated sustainable waiting list ("&amp;C8&amp;")"</f>
        <v>Current waiting list vs Estimated sustainable waiting list (Minutes)</v>
      </c>
      <c r="C38" s="474"/>
      <c r="D38" s="474"/>
      <c r="E38" s="474"/>
      <c r="F38" s="474"/>
      <c r="G38" s="474"/>
      <c r="H38" s="474"/>
    </row>
    <row r="40" spans="2:21" x14ac:dyDescent="0.25">
      <c r="B40" s="472" t="s">
        <v>489</v>
      </c>
      <c r="C40" s="473"/>
      <c r="D40" s="392" t="s">
        <v>249</v>
      </c>
      <c r="E40" s="394"/>
    </row>
    <row r="41" spans="2:21" x14ac:dyDescent="0.25">
      <c r="B41" s="346" t="str">
        <f>IF(AND(LEFT(Demand!C8,1)="H",'Demand adjustments for Covid'!F9="No"),"","WL predictions are disabled when forecast demand or Covid adjustments are enabled.")</f>
        <v>WL predictions are disabled when forecast demand or Covid adjustments are enabled.</v>
      </c>
    </row>
    <row r="42" spans="2:21" x14ac:dyDescent="0.25">
      <c r="B42" s="470" t="s">
        <v>1139</v>
      </c>
      <c r="C42" s="471"/>
      <c r="D42" s="331">
        <v>0</v>
      </c>
    </row>
    <row r="43" spans="2:21" x14ac:dyDescent="0.25">
      <c r="B43" s="470" t="s">
        <v>1140</v>
      </c>
      <c r="C43" s="471"/>
      <c r="D43" s="331">
        <v>0</v>
      </c>
    </row>
    <row r="49" spans="2:4" x14ac:dyDescent="0.25">
      <c r="B49" s="137" t="s">
        <v>305</v>
      </c>
      <c r="C49" s="468">
        <f ca="1">'Parameters calculator (hide)'!H67</f>
        <v>2100</v>
      </c>
      <c r="D49" s="468"/>
    </row>
    <row r="50" spans="2:4" x14ac:dyDescent="0.25">
      <c r="B50" s="138" t="s">
        <v>306</v>
      </c>
      <c r="C50" s="469" t="str">
        <f ca="1">IFERROR(TEXT('Parameters calculator (hide)'!H66,"#,#")&amp;" - "&amp;TEXT('Parameters calculator (hide)'!I66,"#,#"),"")</f>
        <v>1,574 - 1,740</v>
      </c>
      <c r="D50" s="469"/>
    </row>
    <row r="53" spans="2:4" x14ac:dyDescent="0.25">
      <c r="B53" s="20" t="s">
        <v>307</v>
      </c>
      <c r="C53" s="469" t="str">
        <f ca="1">IFERROR('Parameters calculator (hide)'!H69,"")</f>
        <v>0 - 526</v>
      </c>
      <c r="D53" s="469"/>
    </row>
    <row r="55" spans="2:4" x14ac:dyDescent="0.25">
      <c r="B55" t="s">
        <v>929</v>
      </c>
    </row>
    <row r="57" spans="2:4" x14ac:dyDescent="0.25">
      <c r="B57" t="s">
        <v>930</v>
      </c>
    </row>
    <row r="58" spans="2:4" x14ac:dyDescent="0.25">
      <c r="B58" s="283"/>
      <c r="C58" t="s">
        <v>402</v>
      </c>
    </row>
    <row r="60" spans="2:4" x14ac:dyDescent="0.25">
      <c r="B60" t="s">
        <v>931</v>
      </c>
    </row>
    <row r="61" spans="2:4" x14ac:dyDescent="0.25">
      <c r="B61" s="281" t="str">
        <f ca="1">IF(OR(C53=0,B58=0,C53=""),"--",TEXT('Parameters calculator (hide)'!I71/B58,"#")&amp;" - "&amp;TEXT('Parameters calculator (hide)'!H71/B58,"#"))</f>
        <v>--</v>
      </c>
      <c r="C61" t="str">
        <f>LOWER(C8)&amp;" per week to clear in the time specified"</f>
        <v>minutes per week to clear in the time specified</v>
      </c>
    </row>
  </sheetData>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conditionalFormatting sqref="G2:Q4">
    <cfRule type="expression" dxfId="5" priority="2">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15240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5"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4"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1" id="{BEB16611-1774-40E6-B674-07AEDE8F0DB5}">
            <xm:f>IF(OR(Setup!$I$13="Yes",Setup!$I$15="Yes"),FALSE,TRUE)</xm:f>
            <x14:dxf>
              <font>
                <color theme="0"/>
              </font>
              <border>
                <left/>
                <right/>
                <top/>
                <bottom/>
                <vertical/>
                <horizontal/>
              </border>
            </x14:dxf>
          </x14:cfRule>
          <xm:sqref>B20:G21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D15"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IF(Planning!C15="",'Summary Calculations (hide)'!I4,Planning!C15)</f>
        <v>0.05</v>
      </c>
      <c r="L4" s="67">
        <f>(1-J4)*(1-J5+(J6*J7))</f>
        <v>0.87162499999999998</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IF(Planning!C16="",'Summary Calculations (hide)'!I5,Planning!C16)</f>
        <v>0.12</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IF(Planning!C17="",'Summary Calculations (hide)'!I6,Planning!C17)</f>
        <v>0.05</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IF(Planning!C18="",'Summary Calculations (hide)'!I7,1-Planning!C18)</f>
        <v>0.75</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194.1594827586207</v>
      </c>
      <c r="J15" s="5">
        <f ca="1">HLOOKUP(D15,'Capacity calculation (hide)'!$BK$110:$DJ$111,2,0)</f>
        <v>46.939655172413801</v>
      </c>
      <c r="K15" s="5">
        <f ca="1">IF(I15-IF(AND(Setup!$I$15="Yes",OR('Demand adjustments for Covid'!$F$9="No",'Demand adjustments for Covid'!$F$20="No")),$G15,0)-IF(Setup!$I$13="Yes",$H15,0)&lt;0,0,I15-IF(AND(Setup!$I$15="Yes",OR('Demand adjustments for Covid'!$F$9="No",'Demand adjustments for Covid'!$F$20="No")),$G15,0)-IF(Setup!$I$13="Yes",$H15,0))</f>
        <v>194.1594827586207</v>
      </c>
      <c r="L15" s="5">
        <f ca="1">J15</f>
        <v>46.939655172413801</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194.1594827586207</v>
      </c>
      <c r="Q15" s="5">
        <f ca="1">J15</f>
        <v>46.939655172413801</v>
      </c>
      <c r="R15" s="5">
        <f ca="1">IF(P15-V15&lt;0,0,P15-V15)</f>
        <v>194.1594827586207</v>
      </c>
      <c r="S15" s="5">
        <f ca="1">IF(R15=0,IF(P15+Q15-V15&lt;0,0,P15+Q15-V15),Q15)</f>
        <v>46.939655172413801</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194.1594827586207</v>
      </c>
      <c r="J16" s="5">
        <f ca="1">HLOOKUP(D16,'Capacity calculation (hide)'!$BK$110:$DJ$111,2,0)</f>
        <v>46.939655172413801</v>
      </c>
      <c r="K16" s="5">
        <f ca="1">IF(I16-IF(Setup!$I$15="Yes",$G16,0)-IF(Setup!$I$13="Yes",$H16,0)&lt;0,0,I16-IF(Setup!$I$15="Yes",$G16,0)-IF(Setup!$I$13="Yes",$H16,0))</f>
        <v>194.1594827586207</v>
      </c>
      <c r="L16" s="5">
        <f t="shared" ref="L16:L66" ca="1" si="2">J16</f>
        <v>46.939655172413801</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194.1594827586207</v>
      </c>
      <c r="Q16" s="5">
        <f t="shared" ref="Q16:Q66" ca="1" si="4">J16</f>
        <v>46.939655172413801</v>
      </c>
      <c r="R16" s="5">
        <f t="shared" ref="R16:R66" ca="1" si="5">IF(P16-V16&lt;0,0,P16-V16)</f>
        <v>194.1594827586207</v>
      </c>
      <c r="S16" s="5">
        <f t="shared" ref="S16:S66" ca="1" si="6">IF(R16=0,IF(P16+Q16-V16&lt;0,0,P16+Q16-V16),Q16)</f>
        <v>46.939655172413801</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194.1594827586207</v>
      </c>
      <c r="J17" s="5">
        <f ca="1">HLOOKUP(D17,'Capacity calculation (hide)'!$BK$110:$DJ$111,2,0)</f>
        <v>46.939655172413801</v>
      </c>
      <c r="K17" s="5">
        <f ca="1">IF(I17-IF(Setup!$I$15="Yes",$G17,0)-IF(Setup!$I$13="Yes",$H17,0)&lt;0,0,I17-IF(Setup!$I$15="Yes",$G17,0)-IF(Setup!$I$13="Yes",$H17,0))</f>
        <v>194.1594827586207</v>
      </c>
      <c r="L17" s="5">
        <f t="shared" ca="1" si="2"/>
        <v>46.939655172413801</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194.1594827586207</v>
      </c>
      <c r="Q17" s="5">
        <f t="shared" ca="1" si="4"/>
        <v>46.939655172413801</v>
      </c>
      <c r="R17" s="5">
        <f t="shared" ca="1" si="5"/>
        <v>194.1594827586207</v>
      </c>
      <c r="S17" s="5">
        <f t="shared" ca="1" si="6"/>
        <v>46.939655172413801</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194.1594827586207</v>
      </c>
      <c r="J18" s="5">
        <f ca="1">HLOOKUP(D18,'Capacity calculation (hide)'!$BK$110:$DJ$111,2,0)</f>
        <v>46.939655172413801</v>
      </c>
      <c r="K18" s="5">
        <f ca="1">IF(I18-IF(Setup!$I$15="Yes",$G18,0)-IF(Setup!$I$13="Yes",$H18,0)&lt;0,0,I18-IF(Setup!$I$15="Yes",$G18,0)-IF(Setup!$I$13="Yes",$H18,0))</f>
        <v>194.1594827586207</v>
      </c>
      <c r="L18" s="5">
        <f t="shared" ca="1" si="2"/>
        <v>46.939655172413801</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194.1594827586207</v>
      </c>
      <c r="Q18" s="5">
        <f t="shared" ca="1" si="4"/>
        <v>46.939655172413801</v>
      </c>
      <c r="R18" s="5">
        <f t="shared" ca="1" si="5"/>
        <v>194.1594827586207</v>
      </c>
      <c r="S18" s="5">
        <f t="shared" ca="1" si="6"/>
        <v>46.939655172413801</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195.1594827586207</v>
      </c>
      <c r="J19" s="5">
        <f ca="1">HLOOKUP(D19,'Capacity calculation (hide)'!$BK$110:$DJ$111,2,0)</f>
        <v>46.939655172413801</v>
      </c>
      <c r="K19" s="5">
        <f ca="1">IF(I19-IF(Setup!$I$15="Yes",$G19,0)-IF(Setup!$I$13="Yes",$H19,0)&lt;0,0,I19-IF(Setup!$I$15="Yes",$G19,0)-IF(Setup!$I$13="Yes",$H19,0))</f>
        <v>195.1594827586207</v>
      </c>
      <c r="L19" s="5">
        <f t="shared" ca="1" si="2"/>
        <v>46.939655172413801</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195.1594827586207</v>
      </c>
      <c r="Q19" s="5">
        <f t="shared" ca="1" si="4"/>
        <v>46.939655172413801</v>
      </c>
      <c r="R19" s="5">
        <f t="shared" ca="1" si="5"/>
        <v>195.1594827586207</v>
      </c>
      <c r="S19" s="5">
        <f t="shared" ca="1" si="6"/>
        <v>46.939655172413801</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195.1594827586207</v>
      </c>
      <c r="J20" s="5">
        <f ca="1">HLOOKUP(D20,'Capacity calculation (hide)'!$BK$110:$DJ$111,2,0)</f>
        <v>46.939655172413801</v>
      </c>
      <c r="K20" s="5">
        <f ca="1">IF(I20-IF(Setup!$I$15="Yes",$G20,0)-IF(Setup!$I$13="Yes",$H20,0)&lt;0,0,I20-IF(Setup!$I$15="Yes",$G20,0)-IF(Setup!$I$13="Yes",$H20,0))</f>
        <v>195.1594827586207</v>
      </c>
      <c r="L20" s="5">
        <f t="shared" ca="1" si="2"/>
        <v>46.939655172413801</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195.1594827586207</v>
      </c>
      <c r="Q20" s="5">
        <f t="shared" ca="1" si="4"/>
        <v>46.939655172413801</v>
      </c>
      <c r="R20" s="5">
        <f t="shared" ca="1" si="5"/>
        <v>195.1594827586207</v>
      </c>
      <c r="S20" s="5">
        <f t="shared" ca="1" si="6"/>
        <v>46.939655172413801</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195.1594827586207</v>
      </c>
      <c r="J21" s="5">
        <f ca="1">HLOOKUP(D21,'Capacity calculation (hide)'!$BK$110:$DJ$111,2,0)</f>
        <v>46.939655172413801</v>
      </c>
      <c r="K21" s="5">
        <f ca="1">IF(I21-IF(Setup!$I$15="Yes",$G21,0)-IF(Setup!$I$13="Yes",$H21,0)&lt;0,0,I21-IF(Setup!$I$15="Yes",$G21,0)-IF(Setup!$I$13="Yes",$H21,0))</f>
        <v>195.1594827586207</v>
      </c>
      <c r="L21" s="5">
        <f t="shared" ca="1" si="2"/>
        <v>46.939655172413801</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195.1594827586207</v>
      </c>
      <c r="Q21" s="5">
        <f t="shared" ca="1" si="4"/>
        <v>46.939655172413801</v>
      </c>
      <c r="R21" s="5">
        <f t="shared" ca="1" si="5"/>
        <v>195.1594827586207</v>
      </c>
      <c r="S21" s="5">
        <f t="shared" ca="1" si="6"/>
        <v>46.939655172413801</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195.1594827586207</v>
      </c>
      <c r="J22" s="5">
        <f ca="1">HLOOKUP(D22,'Capacity calculation (hide)'!$BK$110:$DJ$111,2,0)</f>
        <v>46.939655172413801</v>
      </c>
      <c r="K22" s="5">
        <f ca="1">IF(I22-IF(Setup!$I$15="Yes",$G22,0)-IF(Setup!$I$13="Yes",$H22,0)&lt;0,0,I22-IF(Setup!$I$15="Yes",$G22,0)-IF(Setup!$I$13="Yes",$H22,0))</f>
        <v>195.1594827586207</v>
      </c>
      <c r="L22" s="5">
        <f t="shared" ca="1" si="2"/>
        <v>46.939655172413801</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195.1594827586207</v>
      </c>
      <c r="Q22" s="5">
        <f t="shared" ca="1" si="4"/>
        <v>46.939655172413801</v>
      </c>
      <c r="R22" s="5">
        <f t="shared" ca="1" si="5"/>
        <v>195.1594827586207</v>
      </c>
      <c r="S22" s="5">
        <f t="shared" ca="1" si="6"/>
        <v>46.939655172413801</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195.1594827586207</v>
      </c>
      <c r="J23" s="5">
        <f ca="1">HLOOKUP(D23,'Capacity calculation (hide)'!$BK$110:$DJ$111,2,0)</f>
        <v>46.939655172413801</v>
      </c>
      <c r="K23" s="5">
        <f ca="1">IF(I23-IF(Setup!$I$15="Yes",$G23,0)-IF(Setup!$I$13="Yes",$H23,0)&lt;0,0,I23-IF(Setup!$I$15="Yes",$G23,0)-IF(Setup!$I$13="Yes",$H23,0))</f>
        <v>195.1594827586207</v>
      </c>
      <c r="L23" s="5">
        <f t="shared" ca="1" si="2"/>
        <v>46.939655172413801</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195.1594827586207</v>
      </c>
      <c r="Q23" s="5">
        <f t="shared" ca="1" si="4"/>
        <v>46.939655172413801</v>
      </c>
      <c r="R23" s="5">
        <f t="shared" ca="1" si="5"/>
        <v>195.1594827586207</v>
      </c>
      <c r="S23" s="5">
        <f t="shared" ca="1" si="6"/>
        <v>46.939655172413801</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195.1594827586207</v>
      </c>
      <c r="J24" s="5">
        <f ca="1">HLOOKUP(D24,'Capacity calculation (hide)'!$BK$110:$DJ$111,2,0)</f>
        <v>46.939655172413801</v>
      </c>
      <c r="K24" s="5">
        <f ca="1">IF(I24-IF(Setup!$I$15="Yes",$G24,0)-IF(Setup!$I$13="Yes",$H24,0)&lt;0,0,I24-IF(Setup!$I$15="Yes",$G24,0)-IF(Setup!$I$13="Yes",$H24,0))</f>
        <v>195.1594827586207</v>
      </c>
      <c r="L24" s="5">
        <f t="shared" ca="1" si="2"/>
        <v>46.939655172413801</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195.1594827586207</v>
      </c>
      <c r="Q24" s="5">
        <f t="shared" ca="1" si="4"/>
        <v>46.939655172413801</v>
      </c>
      <c r="R24" s="5">
        <f t="shared" ca="1" si="5"/>
        <v>195.1594827586207</v>
      </c>
      <c r="S24" s="5">
        <f t="shared" ca="1" si="6"/>
        <v>46.939655172413801</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195.1594827586207</v>
      </c>
      <c r="J25" s="5">
        <f ca="1">HLOOKUP(D25,'Capacity calculation (hide)'!$BK$110:$DJ$111,2,0)</f>
        <v>46.939655172413801</v>
      </c>
      <c r="K25" s="5">
        <f ca="1">IF(I25-IF(Setup!$I$15="Yes",$G25,0)-IF(Setup!$I$13="Yes",$H25,0)&lt;0,0,I25-IF(Setup!$I$15="Yes",$G25,0)-IF(Setup!$I$13="Yes",$H25,0))</f>
        <v>195.1594827586207</v>
      </c>
      <c r="L25" s="5">
        <f t="shared" ca="1" si="2"/>
        <v>46.939655172413801</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195.1594827586207</v>
      </c>
      <c r="Q25" s="5">
        <f t="shared" ca="1" si="4"/>
        <v>46.939655172413801</v>
      </c>
      <c r="R25" s="5">
        <f t="shared" ca="1" si="5"/>
        <v>195.1594827586207</v>
      </c>
      <c r="S25" s="5">
        <f t="shared" ca="1" si="6"/>
        <v>46.939655172413801</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195.1594827586207</v>
      </c>
      <c r="J26" s="5">
        <f ca="1">HLOOKUP(D26,'Capacity calculation (hide)'!$BK$110:$DJ$111,2,0)</f>
        <v>46.939655172413801</v>
      </c>
      <c r="K26" s="5">
        <f ca="1">IF(I26-IF(Setup!$I$15="Yes",$G26,0)-IF(Setup!$I$13="Yes",$H26,0)&lt;0,0,I26-IF(Setup!$I$15="Yes",$G26,0)-IF(Setup!$I$13="Yes",$H26,0))</f>
        <v>195.1594827586207</v>
      </c>
      <c r="L26" s="5">
        <f t="shared" ca="1" si="2"/>
        <v>46.939655172413801</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195.1594827586207</v>
      </c>
      <c r="Q26" s="5">
        <f t="shared" ca="1" si="4"/>
        <v>46.939655172413801</v>
      </c>
      <c r="R26" s="5">
        <f t="shared" ca="1" si="5"/>
        <v>195.1594827586207</v>
      </c>
      <c r="S26" s="5">
        <f t="shared" ca="1" si="6"/>
        <v>46.939655172413801</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195.1594827586207</v>
      </c>
      <c r="J27" s="5">
        <f ca="1">HLOOKUP(D27,'Capacity calculation (hide)'!$BK$110:$DJ$111,2,0)</f>
        <v>46.939655172413801</v>
      </c>
      <c r="K27" s="5">
        <f ca="1">IF(I27-IF(Setup!$I$15="Yes",$G27,0)-IF(Setup!$I$13="Yes",$H27,0)&lt;0,0,I27-IF(Setup!$I$15="Yes",$G27,0)-IF(Setup!$I$13="Yes",$H27,0))</f>
        <v>195.1594827586207</v>
      </c>
      <c r="L27" s="5">
        <f t="shared" ca="1" si="2"/>
        <v>46.939655172413801</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195.1594827586207</v>
      </c>
      <c r="Q27" s="5">
        <f t="shared" ca="1" si="4"/>
        <v>46.939655172413801</v>
      </c>
      <c r="R27" s="5">
        <f t="shared" ca="1" si="5"/>
        <v>195.1594827586207</v>
      </c>
      <c r="S27" s="5">
        <f t="shared" ca="1" si="6"/>
        <v>46.939655172413801</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195.1594827586207</v>
      </c>
      <c r="J28" s="5">
        <f ca="1">HLOOKUP(D28,'Capacity calculation (hide)'!$BK$110:$DJ$111,2,0)</f>
        <v>46.939655172413801</v>
      </c>
      <c r="K28" s="5">
        <f ca="1">IF(I28-IF(Setup!$I$15="Yes",$G28,0)-IF(Setup!$I$13="Yes",$H28,0)&lt;0,0,I28-IF(Setup!$I$15="Yes",$G28,0)-IF(Setup!$I$13="Yes",$H28,0))</f>
        <v>195.1594827586207</v>
      </c>
      <c r="L28" s="5">
        <f t="shared" ca="1" si="2"/>
        <v>46.939655172413801</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195.1594827586207</v>
      </c>
      <c r="Q28" s="5">
        <f t="shared" ca="1" si="4"/>
        <v>46.939655172413801</v>
      </c>
      <c r="R28" s="5">
        <f t="shared" ca="1" si="5"/>
        <v>195.1594827586207</v>
      </c>
      <c r="S28" s="5">
        <f t="shared" ca="1" si="6"/>
        <v>46.939655172413801</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195.1594827586207</v>
      </c>
      <c r="J29" s="5">
        <f ca="1">HLOOKUP(D29,'Capacity calculation (hide)'!$BK$110:$DJ$111,2,0)</f>
        <v>46.939655172413801</v>
      </c>
      <c r="K29" s="5">
        <f ca="1">IF(I29-IF(Setup!$I$15="Yes",$G29,0)-IF(Setup!$I$13="Yes",$H29,0)&lt;0,0,I29-IF(Setup!$I$15="Yes",$G29,0)-IF(Setup!$I$13="Yes",$H29,0))</f>
        <v>195.1594827586207</v>
      </c>
      <c r="L29" s="5">
        <f t="shared" ca="1" si="2"/>
        <v>46.939655172413801</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195.1594827586207</v>
      </c>
      <c r="Q29" s="5">
        <f t="shared" ca="1" si="4"/>
        <v>46.939655172413801</v>
      </c>
      <c r="R29" s="5">
        <f t="shared" ca="1" si="5"/>
        <v>195.1594827586207</v>
      </c>
      <c r="S29" s="5">
        <f t="shared" ca="1" si="6"/>
        <v>46.939655172413801</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195.1594827586207</v>
      </c>
      <c r="J30" s="5">
        <f ca="1">HLOOKUP(D30,'Capacity calculation (hide)'!$BK$110:$DJ$111,2,0)</f>
        <v>46.939655172413801</v>
      </c>
      <c r="K30" s="5">
        <f ca="1">IF(I30-IF(Setup!$I$15="Yes",$G30,0)-IF(Setup!$I$13="Yes",$H30,0)&lt;0,0,I30-IF(Setup!$I$15="Yes",$G30,0)-IF(Setup!$I$13="Yes",$H30,0))</f>
        <v>195.1594827586207</v>
      </c>
      <c r="L30" s="5">
        <f t="shared" ca="1" si="2"/>
        <v>46.939655172413801</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195.1594827586207</v>
      </c>
      <c r="Q30" s="5">
        <f t="shared" ca="1" si="4"/>
        <v>46.939655172413801</v>
      </c>
      <c r="R30" s="5">
        <f t="shared" ca="1" si="5"/>
        <v>195.1594827586207</v>
      </c>
      <c r="S30" s="5">
        <f t="shared" ca="1" si="6"/>
        <v>46.939655172413801</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195.1594827586207</v>
      </c>
      <c r="J31" s="5">
        <f ca="1">HLOOKUP(D31,'Capacity calculation (hide)'!$BK$110:$DJ$111,2,0)</f>
        <v>46.939655172413801</v>
      </c>
      <c r="K31" s="5">
        <f ca="1">IF(I31-IF(Setup!$I$15="Yes",$G31,0)-IF(Setup!$I$13="Yes",$H31,0)&lt;0,0,I31-IF(Setup!$I$15="Yes",$G31,0)-IF(Setup!$I$13="Yes",$H31,0))</f>
        <v>195.1594827586207</v>
      </c>
      <c r="L31" s="5">
        <f t="shared" ca="1" si="2"/>
        <v>46.939655172413801</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195.1594827586207</v>
      </c>
      <c r="Q31" s="5">
        <f t="shared" ca="1" si="4"/>
        <v>46.939655172413801</v>
      </c>
      <c r="R31" s="5">
        <f t="shared" ca="1" si="5"/>
        <v>195.1594827586207</v>
      </c>
      <c r="S31" s="5">
        <f t="shared" ca="1" si="6"/>
        <v>46.939655172413801</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195.1594827586207</v>
      </c>
      <c r="J32" s="5">
        <f ca="1">HLOOKUP(D32,'Capacity calculation (hide)'!$BK$110:$DJ$111,2,0)</f>
        <v>46.939655172413801</v>
      </c>
      <c r="K32" s="5">
        <f ca="1">IF(I32-IF(Setup!$I$15="Yes",$G32,0)-IF(Setup!$I$13="Yes",$H32,0)&lt;0,0,I32-IF(Setup!$I$15="Yes",$G32,0)-IF(Setup!$I$13="Yes",$H32,0))</f>
        <v>195.1594827586207</v>
      </c>
      <c r="L32" s="5">
        <f t="shared" ca="1" si="2"/>
        <v>46.939655172413801</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195.1594827586207</v>
      </c>
      <c r="Q32" s="5">
        <f t="shared" ca="1" si="4"/>
        <v>46.939655172413801</v>
      </c>
      <c r="R32" s="5">
        <f t="shared" ca="1" si="5"/>
        <v>195.1594827586207</v>
      </c>
      <c r="S32" s="5">
        <f t="shared" ca="1" si="6"/>
        <v>46.939655172413801</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195.1594827586207</v>
      </c>
      <c r="J33" s="5">
        <f ca="1">HLOOKUP(D33,'Capacity calculation (hide)'!$BK$110:$DJ$111,2,0)</f>
        <v>46.939655172413801</v>
      </c>
      <c r="K33" s="5">
        <f ca="1">IF(I33-IF(Setup!$I$15="Yes",$G33,0)-IF(Setup!$I$13="Yes",$H33,0)&lt;0,0,I33-IF(Setup!$I$15="Yes",$G33,0)-IF(Setup!$I$13="Yes",$H33,0))</f>
        <v>195.1594827586207</v>
      </c>
      <c r="L33" s="5">
        <f t="shared" ca="1" si="2"/>
        <v>46.939655172413801</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195.1594827586207</v>
      </c>
      <c r="Q33" s="5">
        <f t="shared" ca="1" si="4"/>
        <v>46.939655172413801</v>
      </c>
      <c r="R33" s="5">
        <f t="shared" ca="1" si="5"/>
        <v>195.1594827586207</v>
      </c>
      <c r="S33" s="5">
        <f t="shared" ca="1" si="6"/>
        <v>46.939655172413801</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195.1594827586207</v>
      </c>
      <c r="J34" s="5">
        <f ca="1">HLOOKUP(D34,'Capacity calculation (hide)'!$BK$110:$DJ$111,2,0)</f>
        <v>46.939655172413801</v>
      </c>
      <c r="K34" s="5">
        <f ca="1">IF(I34-IF(Setup!$I$15="Yes",$G34,0)-IF(Setup!$I$13="Yes",$H34,0)&lt;0,0,I34-IF(Setup!$I$15="Yes",$G34,0)-IF(Setup!$I$13="Yes",$H34,0))</f>
        <v>195.1594827586207</v>
      </c>
      <c r="L34" s="5">
        <f t="shared" ca="1" si="2"/>
        <v>46.939655172413801</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195.1594827586207</v>
      </c>
      <c r="Q34" s="5">
        <f t="shared" ca="1" si="4"/>
        <v>46.939655172413801</v>
      </c>
      <c r="R34" s="5">
        <f t="shared" ca="1" si="5"/>
        <v>195.1594827586207</v>
      </c>
      <c r="S34" s="5">
        <f t="shared" ca="1" si="6"/>
        <v>46.939655172413801</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195.1594827586207</v>
      </c>
      <c r="J35" s="5">
        <f ca="1">HLOOKUP(D35,'Capacity calculation (hide)'!$BK$110:$DJ$111,2,0)</f>
        <v>46.939655172413801</v>
      </c>
      <c r="K35" s="5">
        <f ca="1">IF(I35-IF(Setup!$I$15="Yes",$G35,0)-IF(Setup!$I$13="Yes",$H35,0)&lt;0,0,I35-IF(Setup!$I$15="Yes",$G35,0)-IF(Setup!$I$13="Yes",$H35,0))</f>
        <v>195.1594827586207</v>
      </c>
      <c r="L35" s="5">
        <f t="shared" ca="1" si="2"/>
        <v>46.939655172413801</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195.1594827586207</v>
      </c>
      <c r="Q35" s="5">
        <f t="shared" ca="1" si="4"/>
        <v>46.939655172413801</v>
      </c>
      <c r="R35" s="5">
        <f t="shared" ca="1" si="5"/>
        <v>195.1594827586207</v>
      </c>
      <c r="S35" s="5">
        <f t="shared" ca="1" si="6"/>
        <v>46.939655172413801</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195.1594827586207</v>
      </c>
      <c r="J36" s="5">
        <f ca="1">HLOOKUP(D36,'Capacity calculation (hide)'!$BK$110:$DJ$111,2,0)</f>
        <v>46.939655172413801</v>
      </c>
      <c r="K36" s="5">
        <f ca="1">IF(I36-IF(Setup!$I$15="Yes",$G36,0)-IF(Setup!$I$13="Yes",$H36,0)&lt;0,0,I36-IF(Setup!$I$15="Yes",$G36,0)-IF(Setup!$I$13="Yes",$H36,0))</f>
        <v>195.1594827586207</v>
      </c>
      <c r="L36" s="5">
        <f t="shared" ca="1" si="2"/>
        <v>46.939655172413801</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195.1594827586207</v>
      </c>
      <c r="Q36" s="5">
        <f t="shared" ca="1" si="4"/>
        <v>46.939655172413801</v>
      </c>
      <c r="R36" s="5">
        <f t="shared" ca="1" si="5"/>
        <v>195.1594827586207</v>
      </c>
      <c r="S36" s="5">
        <f t="shared" ca="1" si="6"/>
        <v>46.939655172413801</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195.1594827586207</v>
      </c>
      <c r="J37" s="5">
        <f ca="1">HLOOKUP(D37,'Capacity calculation (hide)'!$BK$110:$DJ$111,2,0)</f>
        <v>46.939655172413801</v>
      </c>
      <c r="K37" s="5">
        <f ca="1">IF(I37-IF(Setup!$I$15="Yes",$G37,0)-IF(Setup!$I$13="Yes",$H37,0)&lt;0,0,I37-IF(Setup!$I$15="Yes",$G37,0)-IF(Setup!$I$13="Yes",$H37,0))</f>
        <v>195.1594827586207</v>
      </c>
      <c r="L37" s="5">
        <f t="shared" ca="1" si="2"/>
        <v>46.939655172413801</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195.1594827586207</v>
      </c>
      <c r="Q37" s="5">
        <f t="shared" ca="1" si="4"/>
        <v>46.939655172413801</v>
      </c>
      <c r="R37" s="5">
        <f t="shared" ca="1" si="5"/>
        <v>195.1594827586207</v>
      </c>
      <c r="S37" s="5">
        <f t="shared" ca="1" si="6"/>
        <v>46.939655172413801</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197.1594827586207</v>
      </c>
      <c r="J38" s="5">
        <f ca="1">HLOOKUP(D38,'Capacity calculation (hide)'!$BK$110:$DJ$111,2,0)</f>
        <v>46.939655172413801</v>
      </c>
      <c r="K38" s="5">
        <f ca="1">IF(I38-IF(Setup!$I$15="Yes",$G38,0)-IF(Setup!$I$13="Yes",$H38,0)&lt;0,0,I38-IF(Setup!$I$15="Yes",$G38,0)-IF(Setup!$I$13="Yes",$H38,0))</f>
        <v>197.1594827586207</v>
      </c>
      <c r="L38" s="5">
        <f t="shared" ca="1" si="2"/>
        <v>46.939655172413801</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197.1594827586207</v>
      </c>
      <c r="Q38" s="5">
        <f t="shared" ca="1" si="4"/>
        <v>46.939655172413801</v>
      </c>
      <c r="R38" s="5">
        <f t="shared" ca="1" si="5"/>
        <v>197.1594827586207</v>
      </c>
      <c r="S38" s="5">
        <f t="shared" ca="1" si="6"/>
        <v>46.939655172413801</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197.1594827586207</v>
      </c>
      <c r="J39" s="5">
        <f ca="1">HLOOKUP(D39,'Capacity calculation (hide)'!$BK$110:$DJ$111,2,0)</f>
        <v>46.939655172413801</v>
      </c>
      <c r="K39" s="5">
        <f ca="1">IF(I39-IF(Setup!$I$15="Yes",$G39,0)-IF(Setup!$I$13="Yes",$H39,0)&lt;0,0,I39-IF(Setup!$I$15="Yes",$G39,0)-IF(Setup!$I$13="Yes",$H39,0))</f>
        <v>197.1594827586207</v>
      </c>
      <c r="L39" s="5">
        <f t="shared" ca="1" si="2"/>
        <v>46.939655172413801</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197.1594827586207</v>
      </c>
      <c r="Q39" s="5">
        <f t="shared" ca="1" si="4"/>
        <v>46.939655172413801</v>
      </c>
      <c r="R39" s="5">
        <f t="shared" ca="1" si="5"/>
        <v>197.1594827586207</v>
      </c>
      <c r="S39" s="5">
        <f t="shared" ca="1" si="6"/>
        <v>46.939655172413801</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197.1594827586207</v>
      </c>
      <c r="J40" s="5">
        <f ca="1">HLOOKUP(D40,'Capacity calculation (hide)'!$BK$110:$DJ$111,2,0)</f>
        <v>46.939655172413801</v>
      </c>
      <c r="K40" s="5">
        <f ca="1">IF(I40-IF(Setup!$I$15="Yes",$G40,0)-IF(Setup!$I$13="Yes",$H40,0)&lt;0,0,I40-IF(Setup!$I$15="Yes",$G40,0)-IF(Setup!$I$13="Yes",$H40,0))</f>
        <v>197.1594827586207</v>
      </c>
      <c r="L40" s="5">
        <f t="shared" ca="1" si="2"/>
        <v>46.939655172413801</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197.1594827586207</v>
      </c>
      <c r="Q40" s="5">
        <f t="shared" ca="1" si="4"/>
        <v>46.939655172413801</v>
      </c>
      <c r="R40" s="5">
        <f t="shared" ca="1" si="5"/>
        <v>197.1594827586207</v>
      </c>
      <c r="S40" s="5">
        <f t="shared" ca="1" si="6"/>
        <v>46.939655172413801</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197.1594827586207</v>
      </c>
      <c r="J41" s="5">
        <f ca="1">HLOOKUP(D41,'Capacity calculation (hide)'!$BK$110:$DJ$111,2,0)</f>
        <v>46.939655172413801</v>
      </c>
      <c r="K41" s="5">
        <f ca="1">IF(I41-IF(Setup!$I$15="Yes",$G41,0)-IF(Setup!$I$13="Yes",$H41,0)&lt;0,0,I41-IF(Setup!$I$15="Yes",$G41,0)-IF(Setup!$I$13="Yes",$H41,0))</f>
        <v>197.1594827586207</v>
      </c>
      <c r="L41" s="5">
        <f t="shared" ca="1" si="2"/>
        <v>46.939655172413801</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197.1594827586207</v>
      </c>
      <c r="Q41" s="5">
        <f t="shared" ca="1" si="4"/>
        <v>46.939655172413801</v>
      </c>
      <c r="R41" s="5">
        <f t="shared" ca="1" si="5"/>
        <v>197.1594827586207</v>
      </c>
      <c r="S41" s="5">
        <f t="shared" ca="1" si="6"/>
        <v>46.939655172413801</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197.1594827586207</v>
      </c>
      <c r="J42" s="5">
        <f ca="1">HLOOKUP(D42,'Capacity calculation (hide)'!$BK$110:$DJ$111,2,0)</f>
        <v>46.939655172413801</v>
      </c>
      <c r="K42" s="5">
        <f ca="1">IF(I42-IF(Setup!$I$15="Yes",$G42,0)-IF(Setup!$I$13="Yes",$H42,0)&lt;0,0,I42-IF(Setup!$I$15="Yes",$G42,0)-IF(Setup!$I$13="Yes",$H42,0))</f>
        <v>197.1594827586207</v>
      </c>
      <c r="L42" s="5">
        <f t="shared" ca="1" si="2"/>
        <v>46.939655172413801</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197.1594827586207</v>
      </c>
      <c r="Q42" s="5">
        <f t="shared" ca="1" si="4"/>
        <v>46.939655172413801</v>
      </c>
      <c r="R42" s="5">
        <f t="shared" ca="1" si="5"/>
        <v>197.1594827586207</v>
      </c>
      <c r="S42" s="5">
        <f t="shared" ca="1" si="6"/>
        <v>46.939655172413801</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197.1594827586207</v>
      </c>
      <c r="J43" s="5">
        <f ca="1">HLOOKUP(D43,'Capacity calculation (hide)'!$BK$110:$DJ$111,2,0)</f>
        <v>46.939655172413801</v>
      </c>
      <c r="K43" s="5">
        <f ca="1">IF(I43-IF(Setup!$I$15="Yes",$G43,0)-IF(Setup!$I$13="Yes",$H43,0)&lt;0,0,I43-IF(Setup!$I$15="Yes",$G43,0)-IF(Setup!$I$13="Yes",$H43,0))</f>
        <v>197.1594827586207</v>
      </c>
      <c r="L43" s="5">
        <f t="shared" ca="1" si="2"/>
        <v>46.939655172413801</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197.1594827586207</v>
      </c>
      <c r="Q43" s="5">
        <f t="shared" ca="1" si="4"/>
        <v>46.939655172413801</v>
      </c>
      <c r="R43" s="5">
        <f t="shared" ca="1" si="5"/>
        <v>197.1594827586207</v>
      </c>
      <c r="S43" s="5">
        <f t="shared" ca="1" si="6"/>
        <v>46.939655172413801</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197.1594827586207</v>
      </c>
      <c r="J44" s="5">
        <f ca="1">HLOOKUP(D44,'Capacity calculation (hide)'!$BK$110:$DJ$111,2,0)</f>
        <v>46.939655172413801</v>
      </c>
      <c r="K44" s="5">
        <f ca="1">IF(I44-IF(Setup!$I$15="Yes",$G44,0)-IF(Setup!$I$13="Yes",$H44,0)&lt;0,0,I44-IF(Setup!$I$15="Yes",$G44,0)-IF(Setup!$I$13="Yes",$H44,0))</f>
        <v>197.1594827586207</v>
      </c>
      <c r="L44" s="5">
        <f t="shared" ca="1" si="2"/>
        <v>46.939655172413801</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197.1594827586207</v>
      </c>
      <c r="Q44" s="5">
        <f t="shared" ca="1" si="4"/>
        <v>46.939655172413801</v>
      </c>
      <c r="R44" s="5">
        <f t="shared" ca="1" si="5"/>
        <v>197.1594827586207</v>
      </c>
      <c r="S44" s="5">
        <f t="shared" ca="1" si="6"/>
        <v>46.939655172413801</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197.1594827586207</v>
      </c>
      <c r="J45" s="5">
        <f ca="1">HLOOKUP(D45,'Capacity calculation (hide)'!$BK$110:$DJ$111,2,0)</f>
        <v>46.939655172413801</v>
      </c>
      <c r="K45" s="5">
        <f ca="1">IF(I45-IF(Setup!$I$15="Yes",$G45,0)-IF(Setup!$I$13="Yes",$H45,0)&lt;0,0,I45-IF(Setup!$I$15="Yes",$G45,0)-IF(Setup!$I$13="Yes",$H45,0))</f>
        <v>197.1594827586207</v>
      </c>
      <c r="L45" s="5">
        <f t="shared" ca="1" si="2"/>
        <v>46.939655172413801</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197.1594827586207</v>
      </c>
      <c r="Q45" s="5">
        <f t="shared" ca="1" si="4"/>
        <v>46.939655172413801</v>
      </c>
      <c r="R45" s="5">
        <f t="shared" ca="1" si="5"/>
        <v>197.1594827586207</v>
      </c>
      <c r="S45" s="5">
        <f t="shared" ca="1" si="6"/>
        <v>46.939655172413801</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197.1594827586207</v>
      </c>
      <c r="J46" s="5">
        <f ca="1">HLOOKUP(D46,'Capacity calculation (hide)'!$BK$110:$DJ$111,2,0)</f>
        <v>46.939655172413801</v>
      </c>
      <c r="K46" s="5">
        <f ca="1">IF(I46-IF(Setup!$I$15="Yes",$G46,0)-IF(Setup!$I$13="Yes",$H46,0)&lt;0,0,I46-IF(Setup!$I$15="Yes",$G46,0)-IF(Setup!$I$13="Yes",$H46,0))</f>
        <v>197.1594827586207</v>
      </c>
      <c r="L46" s="5">
        <f t="shared" ca="1" si="2"/>
        <v>46.939655172413801</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197.1594827586207</v>
      </c>
      <c r="Q46" s="5">
        <f t="shared" ca="1" si="4"/>
        <v>46.939655172413801</v>
      </c>
      <c r="R46" s="5">
        <f t="shared" ca="1" si="5"/>
        <v>197.1594827586207</v>
      </c>
      <c r="S46" s="5">
        <f t="shared" ca="1" si="6"/>
        <v>46.939655172413801</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197.1594827586207</v>
      </c>
      <c r="J47" s="5">
        <f ca="1">HLOOKUP(D47,'Capacity calculation (hide)'!$BK$110:$DJ$111,2,0)</f>
        <v>46.939655172413801</v>
      </c>
      <c r="K47" s="5">
        <f ca="1">IF(I47-IF(Setup!$I$15="Yes",$G47,0)-IF(Setup!$I$13="Yes",$H47,0)&lt;0,0,I47-IF(Setup!$I$15="Yes",$G47,0)-IF(Setup!$I$13="Yes",$H47,0))</f>
        <v>197.1594827586207</v>
      </c>
      <c r="L47" s="5">
        <f t="shared" ca="1" si="2"/>
        <v>46.939655172413801</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197.1594827586207</v>
      </c>
      <c r="Q47" s="5">
        <f t="shared" ca="1" si="4"/>
        <v>46.939655172413801</v>
      </c>
      <c r="R47" s="5">
        <f t="shared" ca="1" si="5"/>
        <v>197.1594827586207</v>
      </c>
      <c r="S47" s="5">
        <f t="shared" ca="1" si="6"/>
        <v>46.939655172413801</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197.1594827586207</v>
      </c>
      <c r="J48" s="5">
        <f ca="1">HLOOKUP(D48,'Capacity calculation (hide)'!$BK$110:$DJ$111,2,0)</f>
        <v>46.939655172413801</v>
      </c>
      <c r="K48" s="5">
        <f ca="1">IF(I48-IF(Setup!$I$15="Yes",$G48,0)-IF(Setup!$I$13="Yes",$H48,0)&lt;0,0,I48-IF(Setup!$I$15="Yes",$G48,0)-IF(Setup!$I$13="Yes",$H48,0))</f>
        <v>197.1594827586207</v>
      </c>
      <c r="L48" s="5">
        <f t="shared" ca="1" si="2"/>
        <v>46.939655172413801</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197.1594827586207</v>
      </c>
      <c r="Q48" s="5">
        <f t="shared" ca="1" si="4"/>
        <v>46.939655172413801</v>
      </c>
      <c r="R48" s="5">
        <f t="shared" ca="1" si="5"/>
        <v>197.1594827586207</v>
      </c>
      <c r="S48" s="5">
        <f t="shared" ca="1" si="6"/>
        <v>46.939655172413801</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197.1594827586207</v>
      </c>
      <c r="J49" s="5">
        <f ca="1">HLOOKUP(D49,'Capacity calculation (hide)'!$BK$110:$DJ$111,2,0)</f>
        <v>46.939655172413801</v>
      </c>
      <c r="K49" s="5">
        <f ca="1">IF(I49-IF(Setup!$I$15="Yes",$G49,0)-IF(Setup!$I$13="Yes",$H49,0)&lt;0,0,I49-IF(Setup!$I$15="Yes",$G49,0)-IF(Setup!$I$13="Yes",$H49,0))</f>
        <v>197.1594827586207</v>
      </c>
      <c r="L49" s="5">
        <f t="shared" ca="1" si="2"/>
        <v>46.939655172413801</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197.1594827586207</v>
      </c>
      <c r="Q49" s="5">
        <f t="shared" ca="1" si="4"/>
        <v>46.939655172413801</v>
      </c>
      <c r="R49" s="5">
        <f t="shared" ca="1" si="5"/>
        <v>197.1594827586207</v>
      </c>
      <c r="S49" s="5">
        <f t="shared" ca="1" si="6"/>
        <v>46.939655172413801</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197.1594827586207</v>
      </c>
      <c r="J50" s="5">
        <f ca="1">HLOOKUP(D50,'Capacity calculation (hide)'!$BK$110:$DJ$111,2,0)</f>
        <v>46.939655172413801</v>
      </c>
      <c r="K50" s="5">
        <f ca="1">IF(I50-IF(Setup!$I$15="Yes",$G50,0)-IF(Setup!$I$13="Yes",$H50,0)&lt;0,0,I50-IF(Setup!$I$15="Yes",$G50,0)-IF(Setup!$I$13="Yes",$H50,0))</f>
        <v>197.1594827586207</v>
      </c>
      <c r="L50" s="5">
        <f t="shared" ca="1" si="2"/>
        <v>46.939655172413801</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197.1594827586207</v>
      </c>
      <c r="Q50" s="5">
        <f t="shared" ca="1" si="4"/>
        <v>46.939655172413801</v>
      </c>
      <c r="R50" s="5">
        <f t="shared" ca="1" si="5"/>
        <v>197.1594827586207</v>
      </c>
      <c r="S50" s="5">
        <f t="shared" ca="1" si="6"/>
        <v>46.939655172413801</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197.1594827586207</v>
      </c>
      <c r="J51" s="5">
        <f ca="1">HLOOKUP(D51,'Capacity calculation (hide)'!$BK$110:$DJ$111,2,0)</f>
        <v>46.939655172413801</v>
      </c>
      <c r="K51" s="5">
        <f ca="1">IF(I51-IF(Setup!$I$15="Yes",$G51,0)-IF(Setup!$I$13="Yes",$H51,0)&lt;0,0,I51-IF(Setup!$I$15="Yes",$G51,0)-IF(Setup!$I$13="Yes",$H51,0))</f>
        <v>197.1594827586207</v>
      </c>
      <c r="L51" s="5">
        <f t="shared" ca="1" si="2"/>
        <v>46.939655172413801</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197.1594827586207</v>
      </c>
      <c r="Q51" s="5">
        <f t="shared" ca="1" si="4"/>
        <v>46.939655172413801</v>
      </c>
      <c r="R51" s="5">
        <f t="shared" ca="1" si="5"/>
        <v>197.1594827586207</v>
      </c>
      <c r="S51" s="5">
        <f t="shared" ca="1" si="6"/>
        <v>46.939655172413801</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197.1594827586207</v>
      </c>
      <c r="J52" s="5">
        <f ca="1">HLOOKUP(D52,'Capacity calculation (hide)'!$BK$110:$DJ$111,2,0)</f>
        <v>46.939655172413801</v>
      </c>
      <c r="K52" s="5">
        <f ca="1">IF(I52-IF(Setup!$I$15="Yes",$G52,0)-IF(Setup!$I$13="Yes",$H52,0)&lt;0,0,I52-IF(Setup!$I$15="Yes",$G52,0)-IF(Setup!$I$13="Yes",$H52,0))</f>
        <v>197.1594827586207</v>
      </c>
      <c r="L52" s="5">
        <f t="shared" ca="1" si="2"/>
        <v>46.939655172413801</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197.1594827586207</v>
      </c>
      <c r="Q52" s="5">
        <f t="shared" ca="1" si="4"/>
        <v>46.939655172413801</v>
      </c>
      <c r="R52" s="5">
        <f t="shared" ca="1" si="5"/>
        <v>197.1594827586207</v>
      </c>
      <c r="S52" s="5">
        <f t="shared" ca="1" si="6"/>
        <v>46.939655172413801</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197.1594827586207</v>
      </c>
      <c r="J53" s="5">
        <f ca="1">HLOOKUP(D53,'Capacity calculation (hide)'!$BK$110:$DJ$111,2,0)</f>
        <v>46.939655172413801</v>
      </c>
      <c r="K53" s="5">
        <f ca="1">IF(I53-IF(Setup!$I$15="Yes",$G53,0)-IF(Setup!$I$13="Yes",$H53,0)&lt;0,0,I53-IF(Setup!$I$15="Yes",$G53,0)-IF(Setup!$I$13="Yes",$H53,0))</f>
        <v>197.1594827586207</v>
      </c>
      <c r="L53" s="5">
        <f t="shared" ca="1" si="2"/>
        <v>46.939655172413801</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197.1594827586207</v>
      </c>
      <c r="Q53" s="5">
        <f t="shared" ca="1" si="4"/>
        <v>46.939655172413801</v>
      </c>
      <c r="R53" s="5">
        <f t="shared" ca="1" si="5"/>
        <v>197.1594827586207</v>
      </c>
      <c r="S53" s="5">
        <f t="shared" ca="1" si="6"/>
        <v>46.939655172413801</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197.1594827586207</v>
      </c>
      <c r="J54" s="5">
        <f ca="1">HLOOKUP(D54,'Capacity calculation (hide)'!$BK$110:$DJ$111,2,0)</f>
        <v>46.939655172413801</v>
      </c>
      <c r="K54" s="5">
        <f ca="1">IF(I54-IF(Setup!$I$15="Yes",$G54,0)-IF(Setup!$I$13="Yes",$H54,0)&lt;0,0,I54-IF(Setup!$I$15="Yes",$G54,0)-IF(Setup!$I$13="Yes",$H54,0))</f>
        <v>197.1594827586207</v>
      </c>
      <c r="L54" s="5">
        <f t="shared" ca="1" si="2"/>
        <v>46.939655172413801</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197.1594827586207</v>
      </c>
      <c r="Q54" s="5">
        <f t="shared" ca="1" si="4"/>
        <v>46.939655172413801</v>
      </c>
      <c r="R54" s="5">
        <f t="shared" ca="1" si="5"/>
        <v>197.1594827586207</v>
      </c>
      <c r="S54" s="5">
        <f t="shared" ca="1" si="6"/>
        <v>46.939655172413801</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197.1594827586207</v>
      </c>
      <c r="J55" s="5">
        <f ca="1">HLOOKUP(D55,'Capacity calculation (hide)'!$BK$110:$DJ$111,2,0)</f>
        <v>46.939655172413801</v>
      </c>
      <c r="K55" s="5">
        <f ca="1">IF(I55-IF(Setup!$I$15="Yes",$G55,0)-IF(Setup!$I$13="Yes",$H55,0)&lt;0,0,I55-IF(Setup!$I$15="Yes",$G55,0)-IF(Setup!$I$13="Yes",$H55,0))</f>
        <v>197.1594827586207</v>
      </c>
      <c r="L55" s="5">
        <f t="shared" ca="1" si="2"/>
        <v>46.939655172413801</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197.1594827586207</v>
      </c>
      <c r="Q55" s="5">
        <f t="shared" ca="1" si="4"/>
        <v>46.939655172413801</v>
      </c>
      <c r="R55" s="5">
        <f t="shared" ca="1" si="5"/>
        <v>197.1594827586207</v>
      </c>
      <c r="S55" s="5">
        <f t="shared" ca="1" si="6"/>
        <v>46.939655172413801</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197.1594827586207</v>
      </c>
      <c r="J56" s="5">
        <f ca="1">HLOOKUP(D56,'Capacity calculation (hide)'!$BK$110:$DJ$111,2,0)</f>
        <v>46.939655172413801</v>
      </c>
      <c r="K56" s="5">
        <f ca="1">IF(I56-IF(Setup!$I$15="Yes",$G56,0)-IF(Setup!$I$13="Yes",$H56,0)&lt;0,0,I56-IF(Setup!$I$15="Yes",$G56,0)-IF(Setup!$I$13="Yes",$H56,0))</f>
        <v>197.1594827586207</v>
      </c>
      <c r="L56" s="5">
        <f t="shared" ca="1" si="2"/>
        <v>46.939655172413801</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197.1594827586207</v>
      </c>
      <c r="Q56" s="5">
        <f t="shared" ca="1" si="4"/>
        <v>46.939655172413801</v>
      </c>
      <c r="R56" s="5">
        <f t="shared" ca="1" si="5"/>
        <v>197.1594827586207</v>
      </c>
      <c r="S56" s="5">
        <f t="shared" ca="1" si="6"/>
        <v>46.939655172413801</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194.1594827586207</v>
      </c>
      <c r="J57" s="5">
        <f ca="1">HLOOKUP(D57,'Capacity calculation (hide)'!$BK$110:$DJ$111,2,0)</f>
        <v>46.939655172413801</v>
      </c>
      <c r="K57" s="5">
        <f ca="1">IF(I57-IF(Setup!$I$15="Yes",$G57,0)-IF(Setup!$I$13="Yes",$H57,0)&lt;0,0,I57-IF(Setup!$I$15="Yes",$G57,0)-IF(Setup!$I$13="Yes",$H57,0))</f>
        <v>194.1594827586207</v>
      </c>
      <c r="L57" s="5">
        <f t="shared" ca="1" si="2"/>
        <v>46.939655172413801</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194.1594827586207</v>
      </c>
      <c r="Q57" s="5">
        <f t="shared" ca="1" si="4"/>
        <v>46.939655172413801</v>
      </c>
      <c r="R57" s="5">
        <f t="shared" ca="1" si="5"/>
        <v>194.1594827586207</v>
      </c>
      <c r="S57" s="5">
        <f t="shared" ca="1" si="6"/>
        <v>46.939655172413801</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194.1594827586207</v>
      </c>
      <c r="J58" s="5">
        <f ca="1">HLOOKUP(D58,'Capacity calculation (hide)'!$BK$110:$DJ$111,2,0)</f>
        <v>46.939655172413801</v>
      </c>
      <c r="K58" s="5">
        <f ca="1">IF(I58-IF(Setup!$I$15="Yes",$G58,0)-IF(Setup!$I$13="Yes",$H58,0)&lt;0,0,I58-IF(Setup!$I$15="Yes",$G58,0)-IF(Setup!$I$13="Yes",$H58,0))</f>
        <v>194.1594827586207</v>
      </c>
      <c r="L58" s="5">
        <f t="shared" ca="1" si="2"/>
        <v>46.939655172413801</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194.1594827586207</v>
      </c>
      <c r="Q58" s="5">
        <f t="shared" ca="1" si="4"/>
        <v>46.939655172413801</v>
      </c>
      <c r="R58" s="5">
        <f t="shared" ca="1" si="5"/>
        <v>194.1594827586207</v>
      </c>
      <c r="S58" s="5">
        <f t="shared" ca="1" si="6"/>
        <v>46.939655172413801</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194.1594827586207</v>
      </c>
      <c r="J59" s="5">
        <f ca="1">HLOOKUP(D59,'Capacity calculation (hide)'!$BK$110:$DJ$111,2,0)</f>
        <v>46.939655172413801</v>
      </c>
      <c r="K59" s="5">
        <f ca="1">IF(I59-IF(Setup!$I$15="Yes",$G59,0)-IF(Setup!$I$13="Yes",$H59,0)&lt;0,0,I59-IF(Setup!$I$15="Yes",$G59,0)-IF(Setup!$I$13="Yes",$H59,0))</f>
        <v>194.1594827586207</v>
      </c>
      <c r="L59" s="5">
        <f t="shared" ca="1" si="2"/>
        <v>46.939655172413801</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194.1594827586207</v>
      </c>
      <c r="Q59" s="5">
        <f t="shared" ca="1" si="4"/>
        <v>46.939655172413801</v>
      </c>
      <c r="R59" s="5">
        <f t="shared" ca="1" si="5"/>
        <v>194.1594827586207</v>
      </c>
      <c r="S59" s="5">
        <f t="shared" ca="1" si="6"/>
        <v>46.939655172413801</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194.1594827586207</v>
      </c>
      <c r="J60" s="5">
        <f ca="1">HLOOKUP(D60,'Capacity calculation (hide)'!$BK$110:$DJ$111,2,0)</f>
        <v>46.939655172413801</v>
      </c>
      <c r="K60" s="5">
        <f ca="1">IF(I60-IF(Setup!$I$15="Yes",$G60,0)-IF(Setup!$I$13="Yes",$H60,0)&lt;0,0,I60-IF(Setup!$I$15="Yes",$G60,0)-IF(Setup!$I$13="Yes",$H60,0))</f>
        <v>194.1594827586207</v>
      </c>
      <c r="L60" s="5">
        <f t="shared" ca="1" si="2"/>
        <v>46.939655172413801</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194.1594827586207</v>
      </c>
      <c r="Q60" s="5">
        <f t="shared" ca="1" si="4"/>
        <v>46.939655172413801</v>
      </c>
      <c r="R60" s="5">
        <f t="shared" ca="1" si="5"/>
        <v>194.1594827586207</v>
      </c>
      <c r="S60" s="5">
        <f t="shared" ca="1" si="6"/>
        <v>46.939655172413801</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194.1594827586207</v>
      </c>
      <c r="J61" s="5">
        <f ca="1">HLOOKUP(D61,'Capacity calculation (hide)'!$BK$110:$DJ$111,2,0)</f>
        <v>46.939655172413801</v>
      </c>
      <c r="K61" s="5">
        <f ca="1">IF(I61-IF(Setup!$I$15="Yes",$G61,0)-IF(Setup!$I$13="Yes",$H61,0)&lt;0,0,I61-IF(Setup!$I$15="Yes",$G61,0)-IF(Setup!$I$13="Yes",$H61,0))</f>
        <v>194.1594827586207</v>
      </c>
      <c r="L61" s="5">
        <f t="shared" ca="1" si="2"/>
        <v>46.939655172413801</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194.1594827586207</v>
      </c>
      <c r="Q61" s="5">
        <f t="shared" ca="1" si="4"/>
        <v>46.939655172413801</v>
      </c>
      <c r="R61" s="5">
        <f t="shared" ca="1" si="5"/>
        <v>194.1594827586207</v>
      </c>
      <c r="S61" s="5">
        <f t="shared" ca="1" si="6"/>
        <v>46.939655172413801</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194.1594827586207</v>
      </c>
      <c r="J62" s="5">
        <f ca="1">HLOOKUP(D62,'Capacity calculation (hide)'!$BK$110:$DJ$111,2,0)</f>
        <v>46.939655172413801</v>
      </c>
      <c r="K62" s="5">
        <f ca="1">IF(I62-IF(Setup!$I$15="Yes",$G62,0)-IF(Setup!$I$13="Yes",$H62,0)&lt;0,0,I62-IF(Setup!$I$15="Yes",$G62,0)-IF(Setup!$I$13="Yes",$H62,0))</f>
        <v>194.1594827586207</v>
      </c>
      <c r="L62" s="5">
        <f t="shared" ca="1" si="2"/>
        <v>46.939655172413801</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194.1594827586207</v>
      </c>
      <c r="Q62" s="5">
        <f t="shared" ca="1" si="4"/>
        <v>46.939655172413801</v>
      </c>
      <c r="R62" s="5">
        <f t="shared" ca="1" si="5"/>
        <v>194.1594827586207</v>
      </c>
      <c r="S62" s="5">
        <f t="shared" ca="1" si="6"/>
        <v>46.939655172413801</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194.1594827586207</v>
      </c>
      <c r="J63" s="5">
        <f ca="1">HLOOKUP(D63,'Capacity calculation (hide)'!$BK$110:$DJ$111,2,0)</f>
        <v>46.939655172413801</v>
      </c>
      <c r="K63" s="5">
        <f ca="1">IF(I63-IF(Setup!$I$15="Yes",$G63,0)-IF(Setup!$I$13="Yes",$H63,0)&lt;0,0,I63-IF(Setup!$I$15="Yes",$G63,0)-IF(Setup!$I$13="Yes",$H63,0))</f>
        <v>194.1594827586207</v>
      </c>
      <c r="L63" s="5">
        <f t="shared" ca="1" si="2"/>
        <v>46.939655172413801</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194.1594827586207</v>
      </c>
      <c r="Q63" s="5">
        <f t="shared" ca="1" si="4"/>
        <v>46.939655172413801</v>
      </c>
      <c r="R63" s="5">
        <f t="shared" ca="1" si="5"/>
        <v>194.1594827586207</v>
      </c>
      <c r="S63" s="5">
        <f t="shared" ca="1" si="6"/>
        <v>46.939655172413801</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194.1594827586207</v>
      </c>
      <c r="J64" s="5">
        <f ca="1">HLOOKUP(D64,'Capacity calculation (hide)'!$BK$110:$DJ$111,2,0)</f>
        <v>46.939655172413801</v>
      </c>
      <c r="K64" s="5">
        <f ca="1">IF(I64-IF(Setup!$I$15="Yes",$G64,0)-IF(Setup!$I$13="Yes",$H64,0)&lt;0,0,I64-IF(Setup!$I$15="Yes",$G64,0)-IF(Setup!$I$13="Yes",$H64,0))</f>
        <v>194.1594827586207</v>
      </c>
      <c r="L64" s="5">
        <f t="shared" ca="1" si="2"/>
        <v>46.939655172413801</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194.1594827586207</v>
      </c>
      <c r="Q64" s="5">
        <f t="shared" ca="1" si="4"/>
        <v>46.939655172413801</v>
      </c>
      <c r="R64" s="5">
        <f t="shared" ca="1" si="5"/>
        <v>194.1594827586207</v>
      </c>
      <c r="S64" s="5">
        <f t="shared" ca="1" si="6"/>
        <v>46.939655172413801</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194.1594827586207</v>
      </c>
      <c r="J65" s="5">
        <f ca="1">HLOOKUP(D65,'Capacity calculation (hide)'!$BK$110:$DJ$111,2,0)</f>
        <v>46.939655172413801</v>
      </c>
      <c r="K65" s="5">
        <f ca="1">IF(I65-IF(Setup!$I$15="Yes",$G65,0)-IF(Setup!$I$13="Yes",$H65,0)&lt;0,0,I65-IF(Setup!$I$15="Yes",$G65,0)-IF(Setup!$I$13="Yes",$H65,0))</f>
        <v>194.1594827586207</v>
      </c>
      <c r="L65" s="5">
        <f t="shared" ca="1" si="2"/>
        <v>46.939655172413801</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194.1594827586207</v>
      </c>
      <c r="Q65" s="5">
        <f t="shared" ca="1" si="4"/>
        <v>46.939655172413801</v>
      </c>
      <c r="R65" s="5">
        <f t="shared" ca="1" si="5"/>
        <v>194.1594827586207</v>
      </c>
      <c r="S65" s="5">
        <f t="shared" ca="1" si="6"/>
        <v>46.939655172413801</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194.1594827586207</v>
      </c>
      <c r="J66" s="5">
        <f ca="1">HLOOKUP(D66,'Capacity calculation (hide)'!$BK$110:$DJ$111,2,0)</f>
        <v>46.939655172413801</v>
      </c>
      <c r="K66" s="5">
        <f ca="1">IF(I66-IF(Setup!$I$15="Yes",$G66,0)-IF(Setup!$I$13="Yes",$H66,0)&lt;0,0,I66-IF(Setup!$I$15="Yes",$G66,0)-IF(Setup!$I$13="Yes",$H66,0))</f>
        <v>194.1594827586207</v>
      </c>
      <c r="L66" s="5">
        <f t="shared" ca="1" si="2"/>
        <v>46.939655172413801</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194.1594827586207</v>
      </c>
      <c r="Q66" s="5">
        <f t="shared" ca="1" si="4"/>
        <v>46.939655172413801</v>
      </c>
      <c r="R66" s="5">
        <f t="shared" ca="1" si="5"/>
        <v>194.1594827586207</v>
      </c>
      <c r="S66" s="5">
        <f t="shared" ca="1" si="6"/>
        <v>46.939655172413801</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194.1594827586207</v>
      </c>
      <c r="J67" s="299">
        <f ca="1">IF(D67=53,HLOOKUP(52,'Capacity calculation (hide)'!$BK$110:$DJ$111,2,0),J66)</f>
        <v>46.939655172413801</v>
      </c>
      <c r="K67" s="5">
        <f ca="1">IF(I67-IF(Setup!$I$15="Yes",$G67,0)-IF(Setup!$I$13="Yes",$H67,0)&lt;0,0,I67-IF(Setup!$I$15="Yes",$G67,0)-IF(Setup!$I$13="Yes",$H67,0))</f>
        <v>194.1594827586207</v>
      </c>
      <c r="L67" s="5">
        <f t="shared" ref="L67" ca="1" si="13">J67</f>
        <v>46.939655172413801</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194.1594827586207</v>
      </c>
      <c r="Q67" s="5">
        <f t="shared" ref="Q67" ca="1" si="15">J67</f>
        <v>46.939655172413801</v>
      </c>
      <c r="R67" s="5">
        <f t="shared" ref="R67" ca="1" si="16">IF(P67-V67&lt;0,0,P67-V67)</f>
        <v>194.1594827586207</v>
      </c>
      <c r="S67" s="5">
        <f t="shared" ref="S67" ca="1" si="17">IF(R67=0,IF(P67+Q67-V67&lt;0,0,P67+Q67-V67),Q67)</f>
        <v>46.939655172413801</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195.59344502277168</v>
      </c>
      <c r="J70" s="5">
        <f ca="1">AVERAGE(J15:J67)</f>
        <v>46.939655172413801</v>
      </c>
      <c r="K70" s="5">
        <f ca="1">AVERAGE(K15:K67)</f>
        <v>195.59344502277168</v>
      </c>
      <c r="L70" s="5">
        <f ca="1">AVERAGE(L15:L67)</f>
        <v>46.939655172413801</v>
      </c>
      <c r="M70" s="104">
        <f ca="1">AVERAGE(M15:M67)/IF(Summary!$C$8&lt;&gt;"Patients",1,$I$9)</f>
        <v>480.179577879237</v>
      </c>
      <c r="N70" s="104">
        <f ca="1">AVERAGE(N15:N67)/IF(Summary!$C$8&lt;&gt;"Patients",1,$I$9)</f>
        <v>506.09872392791715</v>
      </c>
      <c r="R70" s="5">
        <f ca="1">AVERAGE(R15:R67)</f>
        <v>195.59344502277168</v>
      </c>
      <c r="S70" s="5">
        <f ca="1">AVERAGE(S15:S67)</f>
        <v>46.939655172413801</v>
      </c>
      <c r="V70" s="104">
        <f>IF(AND(Setup!$I$13="No",Setup!$I$15="No"),0,IF(H70&lt;&gt;"",H70,0)+IF(G70&lt;&gt;"",G70,0))</f>
        <v>0</v>
      </c>
      <c r="X70" s="5">
        <f ca="1">AVERAGE(X15:X67)</f>
        <v>445.7481459109307</v>
      </c>
    </row>
    <row r="71" spans="1:24" x14ac:dyDescent="0.25">
      <c r="E71" s="60"/>
      <c r="I71" t="s">
        <v>308</v>
      </c>
      <c r="K71" s="104">
        <f ca="1">(K70)/IF(Summary!$C$8&lt;&gt;"Patients",1,$I$9)</f>
        <v>195.59344502277168</v>
      </c>
      <c r="L71" s="104">
        <f ca="1">(L70)/IF(Summary!$C$8&lt;&gt;"Patients",1,$I$9)</f>
        <v>46.939655172413801</v>
      </c>
      <c r="M71" s="5"/>
      <c r="N71" s="5">
        <f ca="1">N70-M70</f>
        <v>25.919146048680147</v>
      </c>
      <c r="R71" s="5">
        <f ca="1">SUM(R15:R67)</f>
        <v>10366.452586206899</v>
      </c>
      <c r="S71" s="5">
        <f ca="1">SUM(S15:S67)</f>
        <v>2487.8017241379316</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Summary!$D$42</f>
        <v>0</v>
      </c>
      <c r="H3" t="s">
        <v>153</v>
      </c>
      <c r="I3" t="s">
        <v>148</v>
      </c>
      <c r="J3" t="s">
        <v>149</v>
      </c>
      <c r="K3" t="s">
        <v>156</v>
      </c>
      <c r="L3" t="s">
        <v>1126</v>
      </c>
      <c r="M3" t="s">
        <v>531</v>
      </c>
      <c r="N3" t="s">
        <v>1127</v>
      </c>
    </row>
    <row r="4" spans="1:29" x14ac:dyDescent="0.25">
      <c r="A4" t="s">
        <v>1115</v>
      </c>
      <c r="B4" s="302">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241.09913793103451</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241.09913793103451</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241.09913793103451</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241.09913793103451</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242.09913793103451</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242.09913793103451</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242.09913793103451</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242.09913793103451</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242.09913793103451</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242.09913793103451</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242.09913793103451</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242.09913793103451</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242.09913793103451</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242.09913793103451</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242.09913793103451</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242.09913793103451</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242.09913793103451</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242.09913793103451</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242.09913793103451</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242.09913793103451</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242.09913793103451</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242.09913793103451</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242.09913793103451</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244.09913793103451</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244.09913793103451</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244.09913793103451</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244.09913793103451</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244.09913793103451</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244.09913793103451</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244.09913793103451</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244.09913793103451</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244.09913793103451</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244.09913793103451</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244.09913793103451</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244.09913793103451</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244.09913793103451</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244.09913793103451</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244.09913793103451</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244.09913793103451</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244.09913793103451</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244.09913793103451</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244.09913793103451</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241.09913793103451</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241.09913793103451</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241.09913793103451</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241.09913793103451</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241.09913793103451</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241.09913793103451</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241.09913793103451</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241.09913793103451</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241.09913793103451</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241.09913793103451</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D7" sqref="D7"/>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4">
        <v>44039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486">
        <v>0.2</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New value</v>
      </c>
      <c r="D13" s="347">
        <f ca="1">IF(OR(C11="",C11=1),"",D12*(1+C11))</f>
        <v>534.89777509311682</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487">
        <v>0.05</v>
      </c>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487">
        <v>0.12</v>
      </c>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487">
        <v>0.05</v>
      </c>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487">
        <v>0.25</v>
      </c>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29" t="s">
        <v>512</v>
      </c>
      <c r="C22" s="484" t="s">
        <v>511</v>
      </c>
      <c r="D22" s="484"/>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2"/>
      <c r="C23" s="485"/>
      <c r="D23" s="48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3"/>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YRipqpuWG5AQ+jiaLA7ulO5x6Yyv+bRGqIHcmPC+LIjNJmYuxT0NqpxL56T2J4LFSDuG1QqwI0v0AqcliDt8mQ==" saltValue="e1CulP4I2V/IkBdwXQwGN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1286</v>
      </c>
      <c r="B1" s="67">
        <v>0</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c r="B4"/>
      <c r="C4"/>
      <c r="D4"/>
      <c r="E4"/>
      <c r="F4"/>
      <c r="G4"/>
      <c r="H4"/>
      <c r="I4"/>
      <c r="J4"/>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C5" sqref="C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44039</v>
      </c>
      <c r="B4">
        <f ca="1">IF(WEEKNUM(A4)=53,1,WEEKNUM(A4))</f>
        <v>31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209.19</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3.137849999999986</v>
      </c>
      <c r="E4" s="5">
        <f ca="1">VLOOKUP($B4,'Summary Calculations (hide)'!$D$15:$U$67,15,0)</f>
        <v>195.1594827586207</v>
      </c>
      <c r="F4" s="5">
        <f ca="1">VLOOKUP($B4,'Summary Calculations (hide)'!$D$15:$U$67,16,0)</f>
        <v>46.939655172413801</v>
      </c>
      <c r="G4" s="5">
        <f ca="1">SUM(E4:F4)</f>
        <v>242.09913793103451</v>
      </c>
      <c r="H4" s="5">
        <f ca="1">IF(G4+SUM(I4:AC4)&lt;0,0,G4+SUM(I4:AC4))</f>
        <v>242.09913793103451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248.53836014427677</v>
      </c>
      <c r="AE4" s="67">
        <f ca="1">VLOOKUP($B4,'Summary Calculations (hide)'!$D$15:$U$67,18,0)</f>
        <v>2.7015039146116919</v>
      </c>
    </row>
    <row r="5" spans="1:31" x14ac:dyDescent="0.25">
      <c r="A5" s="87">
        <f ca="1">A4+7</f>
        <v>44046</v>
      </c>
      <c r="B5" s="67">
        <f t="shared" ref="B5:B55" ca="1" si="0">IF(WEEKNUM(A5)=53,1,WEEKNUM(A5))</f>
        <v>32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209.19</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3.137849999999986</v>
      </c>
      <c r="E5" s="5">
        <f ca="1">VLOOKUP($B5,'Summary Calculations (hide)'!$D$15:$U$67,15,0)</f>
        <v>195.1594827586207</v>
      </c>
      <c r="F5" s="5">
        <f ca="1">VLOOKUP($B5,'Summary Calculations (hide)'!$D$15:$U$67,16,0)</f>
        <v>46.939655172413801</v>
      </c>
      <c r="G5" s="5">
        <f t="shared" ref="G5:G55" ca="1" si="1">SUM(E5:F5)</f>
        <v>242.09913793103451</v>
      </c>
      <c r="H5" s="5">
        <f t="shared" ref="H5:H55" ca="1" si="2">IF(G5+SUM(I5:AC5)&lt;0,0,G5+SUM(I5:AC5))</f>
        <v>242.09913793103451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265.64788493681755</v>
      </c>
      <c r="AE5" s="67">
        <f ca="1">VLOOKUP($B5,'Summary Calculations (hide)'!$D$15:$U$67,18,0)</f>
        <v>2.7015039146116919</v>
      </c>
    </row>
    <row r="6" spans="1:31" x14ac:dyDescent="0.25">
      <c r="A6" s="87">
        <f t="shared" ref="A6:A55" ca="1" si="3">A5+7</f>
        <v>44053</v>
      </c>
      <c r="B6" s="67">
        <f t="shared" ca="1" si="0"/>
        <v>33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209.19</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3.137849999999986</v>
      </c>
      <c r="E6" s="5">
        <f ca="1">VLOOKUP($B6,'Summary Calculations (hide)'!$D$15:$U$67,15,0)</f>
        <v>195.1594827586207</v>
      </c>
      <c r="F6" s="5">
        <f ca="1">VLOOKUP($B6,'Summary Calculations (hide)'!$D$15:$U$67,16,0)</f>
        <v>46.939655172413801</v>
      </c>
      <c r="G6" s="5">
        <f t="shared" ca="1" si="1"/>
        <v>242.09913793103451</v>
      </c>
      <c r="H6" s="5">
        <f t="shared" ca="1" si="2"/>
        <v>242.09913793103451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282.75740972935836</v>
      </c>
      <c r="AE6" s="67">
        <f ca="1">VLOOKUP($B6,'Summary Calculations (hide)'!$D$15:$U$67,18,0)</f>
        <v>2.7015039146116919</v>
      </c>
    </row>
    <row r="7" spans="1:31" x14ac:dyDescent="0.25">
      <c r="A7" s="87">
        <f t="shared" ca="1" si="3"/>
        <v>44060</v>
      </c>
      <c r="B7" s="67">
        <f t="shared" ca="1" si="0"/>
        <v>34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209.19</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3.137849999999986</v>
      </c>
      <c r="E7" s="5">
        <f ca="1">VLOOKUP($B7,'Summary Calculations (hide)'!$D$15:$U$67,15,0)</f>
        <v>195.1594827586207</v>
      </c>
      <c r="F7" s="5">
        <f ca="1">VLOOKUP($B7,'Summary Calculations (hide)'!$D$15:$U$67,16,0)</f>
        <v>46.939655172413801</v>
      </c>
      <c r="G7" s="5">
        <f t="shared" ca="1" si="1"/>
        <v>242.09913793103451</v>
      </c>
      <c r="H7" s="5">
        <f t="shared" ca="1" si="2"/>
        <v>242.09913793103451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299.86693452189917</v>
      </c>
      <c r="AE7" s="67">
        <f ca="1">VLOOKUP($B7,'Summary Calculations (hide)'!$D$15:$U$67,18,0)</f>
        <v>2.7015039146116351</v>
      </c>
    </row>
    <row r="8" spans="1:31" x14ac:dyDescent="0.25">
      <c r="A8" s="87">
        <f t="shared" ca="1" si="3"/>
        <v>44067</v>
      </c>
      <c r="B8" s="67">
        <f t="shared" ca="1" si="0"/>
        <v>35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209.19</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3.137849999999986</v>
      </c>
      <c r="E8" s="5">
        <f ca="1">VLOOKUP($B8,'Summary Calculations (hide)'!$D$15:$U$67,15,0)</f>
        <v>195.1594827586207</v>
      </c>
      <c r="F8" s="5">
        <f ca="1">VLOOKUP($B8,'Summary Calculations (hide)'!$D$15:$U$67,16,0)</f>
        <v>46.939655172413801</v>
      </c>
      <c r="G8" s="5">
        <f t="shared" ca="1" si="1"/>
        <v>242.09913793103451</v>
      </c>
      <c r="H8" s="5">
        <f t="shared" ca="1" si="2"/>
        <v>242.09913793103451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316.97645931443992</v>
      </c>
      <c r="AE8" s="67">
        <f ca="1">VLOOKUP($B8,'Summary Calculations (hide)'!$D$15:$U$67,18,0)</f>
        <v>2.7015039146116919</v>
      </c>
    </row>
    <row r="9" spans="1:31" x14ac:dyDescent="0.25">
      <c r="A9" s="87">
        <f t="shared" ca="1" si="3"/>
        <v>44074</v>
      </c>
      <c r="B9" s="67">
        <f t="shared" ca="1" si="0"/>
        <v>36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209.19</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3.137849999999986</v>
      </c>
      <c r="E9" s="5">
        <f ca="1">VLOOKUP($B9,'Summary Calculations (hide)'!$D$15:$U$67,15,0)</f>
        <v>195.1594827586207</v>
      </c>
      <c r="F9" s="5">
        <f ca="1">VLOOKUP($B9,'Summary Calculations (hide)'!$D$15:$U$67,16,0)</f>
        <v>46.939655172413801</v>
      </c>
      <c r="G9" s="5">
        <f t="shared" ca="1" si="1"/>
        <v>242.09913793103451</v>
      </c>
      <c r="H9" s="5">
        <f t="shared" ca="1" si="2"/>
        <v>242.09913793103451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334.08598410698073</v>
      </c>
      <c r="AE9" s="67">
        <f ca="1">VLOOKUP($B9,'Summary Calculations (hide)'!$D$15:$U$67,18,0)</f>
        <v>2.7015039146117488</v>
      </c>
    </row>
    <row r="10" spans="1:31" x14ac:dyDescent="0.25">
      <c r="A10" s="87">
        <f t="shared" ca="1" si="3"/>
        <v>44081</v>
      </c>
      <c r="B10" s="67">
        <f t="shared" ca="1" si="0"/>
        <v>37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209.19</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3.137849999999986</v>
      </c>
      <c r="E10" s="5">
        <f ca="1">VLOOKUP($B10,'Summary Calculations (hide)'!$D$15:$U$67,15,0)</f>
        <v>195.1594827586207</v>
      </c>
      <c r="F10" s="5">
        <f ca="1">VLOOKUP($B10,'Summary Calculations (hide)'!$D$15:$U$67,16,0)</f>
        <v>46.939655172413801</v>
      </c>
      <c r="G10" s="5">
        <f t="shared" ca="1" si="1"/>
        <v>242.09913793103451</v>
      </c>
      <c r="H10" s="5">
        <f t="shared" ca="1" si="2"/>
        <v>4016.0991379310344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351.19550889952149</v>
      </c>
      <c r="AE10" s="67">
        <f ca="1">VLOOKUP($B10,'Summary Calculations (hide)'!$D$15:$U$67,18,0)</f>
        <v>2.7015039146117488</v>
      </c>
    </row>
    <row r="11" spans="1:31" x14ac:dyDescent="0.25">
      <c r="A11" s="87">
        <f t="shared" ca="1" si="3"/>
        <v>44088</v>
      </c>
      <c r="B11" s="67">
        <f t="shared" ca="1" si="0"/>
        <v>38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229.06305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3.1378499999999576</v>
      </c>
      <c r="E11" s="5">
        <f ca="1">VLOOKUP($B11,'Summary Calculations (hide)'!$D$15:$U$67,15,0)</f>
        <v>195.1594827586207</v>
      </c>
      <c r="F11" s="5">
        <f ca="1">VLOOKUP($B11,'Summary Calculations (hide)'!$D$15:$U$67,16,0)</f>
        <v>46.939655172413801</v>
      </c>
      <c r="G11" s="5">
        <f t="shared" ca="1" si="1"/>
        <v>242.09913793103451</v>
      </c>
      <c r="H11" s="5">
        <f t="shared" ca="1" si="2"/>
        <v>242.09913793103451</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368.3050336920623</v>
      </c>
      <c r="AE11" s="67">
        <f ca="1">VLOOKUP($B11,'Summary Calculations (hide)'!$D$15:$U$67,18,0)</f>
        <v>2.7015039146117488</v>
      </c>
    </row>
    <row r="12" spans="1:31" x14ac:dyDescent="0.25">
      <c r="A12" s="87">
        <f t="shared" ca="1" si="3"/>
        <v>44095</v>
      </c>
      <c r="B12" s="67">
        <f t="shared" ca="1" si="0"/>
        <v>39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248.93609999999995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3.1378500000000429</v>
      </c>
      <c r="E12" s="5">
        <f ca="1">VLOOKUP($B12,'Summary Calculations (hide)'!$D$15:$U$67,15,0)</f>
        <v>195.1594827586207</v>
      </c>
      <c r="F12" s="5">
        <f ca="1">VLOOKUP($B12,'Summary Calculations (hide)'!$D$15:$U$67,16,0)</f>
        <v>46.939655172413801</v>
      </c>
      <c r="G12" s="5">
        <f t="shared" ca="1" si="1"/>
        <v>242.09913793103451</v>
      </c>
      <c r="H12" s="5">
        <f t="shared" ca="1" si="2"/>
        <v>4016.0991379310344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385.41455848460311</v>
      </c>
      <c r="AE12" s="67">
        <f ca="1">VLOOKUP($B12,'Summary Calculations (hide)'!$D$15:$U$67,18,0)</f>
        <v>2.7015039146117488</v>
      </c>
    </row>
    <row r="13" spans="1:31" x14ac:dyDescent="0.25">
      <c r="A13" s="87">
        <f t="shared" ca="1" si="3"/>
        <v>44102</v>
      </c>
      <c r="B13" s="67">
        <f t="shared" ca="1" si="0"/>
        <v>40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268.80914999999999</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3.1378500000000145</v>
      </c>
      <c r="E13" s="5">
        <f ca="1">VLOOKUP($B13,'Summary Calculations (hide)'!$D$15:$U$67,15,0)</f>
        <v>195.1594827586207</v>
      </c>
      <c r="F13" s="5">
        <f ca="1">VLOOKUP($B13,'Summary Calculations (hide)'!$D$15:$U$67,16,0)</f>
        <v>46.939655172413801</v>
      </c>
      <c r="G13" s="5">
        <f t="shared" ca="1" si="1"/>
        <v>242.09913793103451</v>
      </c>
      <c r="H13" s="5">
        <f t="shared" ca="1" si="2"/>
        <v>3387.0991379310344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402.52408327714386</v>
      </c>
      <c r="AE13" s="67">
        <f ca="1">VLOOKUP($B13,'Summary Calculations (hide)'!$D$15:$U$67,18,0)</f>
        <v>2.7015039146117488</v>
      </c>
    </row>
    <row r="14" spans="1:31" x14ac:dyDescent="0.25">
      <c r="A14" s="87">
        <f t="shared" ca="1" si="3"/>
        <v>44109</v>
      </c>
      <c r="B14" s="67">
        <f t="shared" ca="1" si="0"/>
        <v>41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288.68219999999997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3.1378500000000145</v>
      </c>
      <c r="E14" s="5">
        <f ca="1">VLOOKUP($B14,'Summary Calculations (hide)'!$D$15:$U$67,15,0)</f>
        <v>195.1594827586207</v>
      </c>
      <c r="F14" s="5">
        <f ca="1">VLOOKUP($B14,'Summary Calculations (hide)'!$D$15:$U$67,16,0)</f>
        <v>46.939655172413801</v>
      </c>
      <c r="G14" s="5">
        <f t="shared" ca="1" si="1"/>
        <v>242.09913793103451</v>
      </c>
      <c r="H14" s="5">
        <f t="shared" ca="1" si="2"/>
        <v>242.09913793103451</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419.63360806968473</v>
      </c>
      <c r="AE14" s="67">
        <f ca="1">VLOOKUP($B14,'Summary Calculations (hide)'!$D$15:$U$67,18,0)</f>
        <v>2.7015039146116919</v>
      </c>
    </row>
    <row r="15" spans="1:31" x14ac:dyDescent="0.25">
      <c r="A15" s="87">
        <f t="shared" ca="1" si="3"/>
        <v>44116</v>
      </c>
      <c r="B15" s="67">
        <f t="shared" ca="1" si="0"/>
        <v>42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308.55525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3.1378499999999576</v>
      </c>
      <c r="E15" s="5">
        <f ca="1">VLOOKUP($B15,'Summary Calculations (hide)'!$D$15:$U$67,15,0)</f>
        <v>195.1594827586207</v>
      </c>
      <c r="F15" s="5">
        <f ca="1">VLOOKUP($B15,'Summary Calculations (hide)'!$D$15:$U$67,16,0)</f>
        <v>46.939655172413801</v>
      </c>
      <c r="G15" s="5">
        <f t="shared" ca="1" si="1"/>
        <v>242.09913793103451</v>
      </c>
      <c r="H15" s="5">
        <f t="shared" ca="1" si="2"/>
        <v>242.09913793103451</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436.74313286222548</v>
      </c>
      <c r="AE15" s="67">
        <f ca="1">VLOOKUP($B15,'Summary Calculations (hide)'!$D$15:$U$67,18,0)</f>
        <v>2.7015039146116919</v>
      </c>
    </row>
    <row r="16" spans="1:31" x14ac:dyDescent="0.25">
      <c r="A16" s="87">
        <f t="shared" ca="1" si="3"/>
        <v>44123</v>
      </c>
      <c r="B16" s="67">
        <f t="shared" ca="1" si="0"/>
        <v>43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328.42829999999998</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3.1378500000000145</v>
      </c>
      <c r="E16" s="5">
        <f ca="1">VLOOKUP($B16,'Summary Calculations (hide)'!$D$15:$U$67,15,0)</f>
        <v>195.1594827586207</v>
      </c>
      <c r="F16" s="5">
        <f ca="1">VLOOKUP($B16,'Summary Calculations (hide)'!$D$15:$U$67,16,0)</f>
        <v>46.939655172413801</v>
      </c>
      <c r="G16" s="5">
        <f t="shared" ca="1" si="1"/>
        <v>242.09913793103451</v>
      </c>
      <c r="H16" s="5">
        <f t="shared" ca="1" si="2"/>
        <v>4016.0991379310344</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453.85265765476629</v>
      </c>
      <c r="AE16" s="67">
        <f ca="1">VLOOKUP($B16,'Summary Calculations (hide)'!$D$15:$U$67,18,0)</f>
        <v>2.7015039146116919</v>
      </c>
    </row>
    <row r="17" spans="1:31" x14ac:dyDescent="0.25">
      <c r="A17" s="87">
        <f t="shared" ca="1" si="3"/>
        <v>44130</v>
      </c>
      <c r="B17" s="67">
        <f t="shared" ca="1" si="0"/>
        <v>44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348.30134999999996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3.1378500000000145</v>
      </c>
      <c r="E17" s="5">
        <f ca="1">VLOOKUP($B17,'Summary Calculations (hide)'!$D$15:$U$67,15,0)</f>
        <v>197.1594827586207</v>
      </c>
      <c r="F17" s="5">
        <f ca="1">VLOOKUP($B17,'Summary Calculations (hide)'!$D$15:$U$67,16,0)</f>
        <v>46.939655172413801</v>
      </c>
      <c r="G17" s="5">
        <f t="shared" ca="1" si="1"/>
        <v>244.09913793103451</v>
      </c>
      <c r="H17" s="5">
        <f t="shared" ca="1" si="2"/>
        <v>244.09913793103451</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470.96218244730704</v>
      </c>
      <c r="AE17" s="67">
        <f ca="1">VLOOKUP($B17,'Summary Calculations (hide)'!$D$15:$U$67,18,0)</f>
        <v>2.7015039146116919</v>
      </c>
    </row>
    <row r="18" spans="1:31" x14ac:dyDescent="0.25">
      <c r="A18" s="87">
        <f t="shared" ca="1" si="3"/>
        <v>44137</v>
      </c>
      <c r="B18" s="67">
        <f t="shared" ca="1" si="0"/>
        <v>45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368.17439999999999</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3.1378500000000145</v>
      </c>
      <c r="E18" s="5">
        <f ca="1">VLOOKUP($B18,'Summary Calculations (hide)'!$D$15:$U$67,15,0)</f>
        <v>197.1594827586207</v>
      </c>
      <c r="F18" s="5">
        <f ca="1">VLOOKUP($B18,'Summary Calculations (hide)'!$D$15:$U$67,16,0)</f>
        <v>46.939655172413801</v>
      </c>
      <c r="G18" s="5">
        <f t="shared" ca="1" si="1"/>
        <v>244.09913793103451</v>
      </c>
      <c r="H18" s="5">
        <f t="shared" ca="1" si="2"/>
        <v>244.09913793103451</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488.07170723984785</v>
      </c>
      <c r="AE18" s="67">
        <f ca="1">VLOOKUP($B18,'Summary Calculations (hide)'!$D$15:$U$67,18,0)</f>
        <v>2.7015039146116919</v>
      </c>
    </row>
    <row r="19" spans="1:31" x14ac:dyDescent="0.25">
      <c r="A19" s="87">
        <f t="shared" ca="1" si="3"/>
        <v>44144</v>
      </c>
      <c r="B19" s="67">
        <f t="shared" ca="1" si="0"/>
        <v>46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388.04744999999997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3.1378500000000145</v>
      </c>
      <c r="E19" s="5">
        <f ca="1">VLOOKUP($B19,'Summary Calculations (hide)'!$D$15:$U$67,15,0)</f>
        <v>197.1594827586207</v>
      </c>
      <c r="F19" s="5">
        <f ca="1">VLOOKUP($B19,'Summary Calculations (hide)'!$D$15:$U$67,16,0)</f>
        <v>46.939655172413801</v>
      </c>
      <c r="G19" s="5">
        <f t="shared" ca="1" si="1"/>
        <v>244.09913793103451</v>
      </c>
      <c r="H19" s="5">
        <f t="shared" ca="1" si="2"/>
        <v>3389.0991379310344</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505.18123203238861</v>
      </c>
      <c r="AE19" s="67">
        <f ca="1">VLOOKUP($B19,'Summary Calculations (hide)'!$D$15:$U$67,18,0)</f>
        <v>2.7015039146118056</v>
      </c>
    </row>
    <row r="20" spans="1:31" x14ac:dyDescent="0.25">
      <c r="A20" s="87">
        <f t="shared" ca="1" si="3"/>
        <v>44151</v>
      </c>
      <c r="B20" s="67">
        <f t="shared" ca="1" si="0"/>
        <v>47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407.9205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3.1378499999999576</v>
      </c>
      <c r="E20" s="5">
        <f ca="1">VLOOKUP($B20,'Summary Calculations (hide)'!$D$15:$U$67,15,0)</f>
        <v>197.1594827586207</v>
      </c>
      <c r="F20" s="5">
        <f ca="1">VLOOKUP($B20,'Summary Calculations (hide)'!$D$15:$U$67,16,0)</f>
        <v>46.939655172413801</v>
      </c>
      <c r="G20" s="5">
        <f t="shared" ca="1" si="1"/>
        <v>244.09913793103451</v>
      </c>
      <c r="H20" s="5">
        <f t="shared" ca="1" si="2"/>
        <v>3389.0991379310344</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522.29075682492942</v>
      </c>
      <c r="AE20" s="67">
        <f ca="1">VLOOKUP($B20,'Summary Calculations (hide)'!$D$15:$U$67,18,0)</f>
        <v>2.7015039146117488</v>
      </c>
    </row>
    <row r="21" spans="1:31" x14ac:dyDescent="0.25">
      <c r="A21" s="87">
        <f t="shared" ca="1" si="3"/>
        <v>44158</v>
      </c>
      <c r="B21" s="67">
        <f t="shared" ca="1" si="0"/>
        <v>48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427.79354999999993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3.1378500000000713</v>
      </c>
      <c r="E21" s="5">
        <f ca="1">VLOOKUP($B21,'Summary Calculations (hide)'!$D$15:$U$67,15,0)</f>
        <v>197.1594827586207</v>
      </c>
      <c r="F21" s="5">
        <f ca="1">VLOOKUP($B21,'Summary Calculations (hide)'!$D$15:$U$67,16,0)</f>
        <v>46.939655172413801</v>
      </c>
      <c r="G21" s="5">
        <f t="shared" ca="1" si="1"/>
        <v>244.09913793103451</v>
      </c>
      <c r="H21" s="5">
        <f t="shared" ca="1" si="2"/>
        <v>3389.0991379310344</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711.39603084774865</v>
      </c>
      <c r="AE21" s="67">
        <f ca="1">VLOOKUP($B21,'Summary Calculations (hide)'!$D$15:$U$67,18,0)</f>
        <v>26.114537841246602</v>
      </c>
    </row>
    <row r="22" spans="1:31" x14ac:dyDescent="0.25">
      <c r="A22" s="87">
        <f t="shared" ca="1" si="3"/>
        <v>44165</v>
      </c>
      <c r="B22" s="67">
        <f t="shared" ca="1" si="0"/>
        <v>49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447.66660000000002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3.1378499999999008</v>
      </c>
      <c r="E22" s="5">
        <f ca="1">VLOOKUP($B22,'Summary Calculations (hide)'!$D$15:$U$67,15,0)</f>
        <v>197.1594827586207</v>
      </c>
      <c r="F22" s="5">
        <f ca="1">VLOOKUP($B22,'Summary Calculations (hide)'!$D$15:$U$67,16,0)</f>
        <v>46.939655172413801</v>
      </c>
      <c r="G22" s="5">
        <f t="shared" ca="1" si="1"/>
        <v>244.09913793103451</v>
      </c>
      <c r="H22" s="5">
        <f t="shared" ca="1" si="2"/>
        <v>3389.0991379310344</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927.51634401668503</v>
      </c>
      <c r="AE22" s="67">
        <f ca="1">VLOOKUP($B22,'Summary Calculations (hide)'!$D$15:$U$67,18,0)</f>
        <v>47.726569158140137</v>
      </c>
    </row>
    <row r="23" spans="1:31" x14ac:dyDescent="0.25">
      <c r="A23" s="87">
        <f t="shared" ca="1" si="3"/>
        <v>44172</v>
      </c>
      <c r="B23" s="67">
        <f t="shared" ca="1" si="0"/>
        <v>50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467.53964999999999</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3.1378500000000145</v>
      </c>
      <c r="E23" s="5">
        <f ca="1">VLOOKUP($B23,'Summary Calculations (hide)'!$D$15:$U$67,15,0)</f>
        <v>197.1594827586207</v>
      </c>
      <c r="F23" s="5">
        <f ca="1">VLOOKUP($B23,'Summary Calculations (hide)'!$D$15:$U$67,16,0)</f>
        <v>46.939655172413801</v>
      </c>
      <c r="G23" s="5">
        <f t="shared" ca="1" si="1"/>
        <v>244.09913793103451</v>
      </c>
      <c r="H23" s="5">
        <f t="shared" ca="1" si="2"/>
        <v>244.09913793103451</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738.41106999386579</v>
      </c>
      <c r="AE23" s="67">
        <f ca="1">VLOOKUP($B23,'Summary Calculations (hide)'!$D$15:$U$67,18,0)</f>
        <v>28.816041755858237</v>
      </c>
    </row>
    <row r="24" spans="1:31" x14ac:dyDescent="0.25">
      <c r="A24" s="87">
        <f t="shared" ca="1" si="3"/>
        <v>44179</v>
      </c>
      <c r="B24" s="67">
        <f t="shared" ca="1" si="0"/>
        <v>51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487.41269999999992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3.1378500000000145</v>
      </c>
      <c r="E24" s="5">
        <f ca="1">VLOOKUP($B24,'Summary Calculations (hide)'!$D$15:$U$67,15,0)</f>
        <v>197.1594827586207</v>
      </c>
      <c r="F24" s="5">
        <f ca="1">VLOOKUP($B24,'Summary Calculations (hide)'!$D$15:$U$67,16,0)</f>
        <v>46.939655172413801</v>
      </c>
      <c r="G24" s="5">
        <f t="shared" ca="1" si="1"/>
        <v>244.09913793103451</v>
      </c>
      <c r="H24" s="5">
        <f t="shared" ca="1" si="2"/>
        <v>4018.0991379310344</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1107.6166049907986</v>
      </c>
      <c r="AE24" s="67">
        <f ca="1">VLOOKUP($B24,'Summary Calculations (hide)'!$D$15:$U$67,18,0)</f>
        <v>65.736595255551492</v>
      </c>
    </row>
    <row r="25" spans="1:31" x14ac:dyDescent="0.25">
      <c r="A25" s="87">
        <f t="shared" ca="1" si="3"/>
        <v>44186</v>
      </c>
      <c r="B25" s="67">
        <f t="shared" ca="1" si="0"/>
        <v>52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507.28575000000001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3.1378500000000145</v>
      </c>
      <c r="E25" s="5">
        <f ca="1">VLOOKUP($B25,'Summary Calculations (hide)'!$D$15:$U$67,15,0)</f>
        <v>197.1594827586207</v>
      </c>
      <c r="F25" s="5">
        <f ca="1">VLOOKUP($B25,'Summary Calculations (hide)'!$D$15:$U$67,16,0)</f>
        <v>46.939655172413801</v>
      </c>
      <c r="G25" s="5">
        <f t="shared" ca="1" si="1"/>
        <v>244.09913793103451</v>
      </c>
      <c r="H25" s="5">
        <f t="shared" ca="1" si="2"/>
        <v>4018.0991379310344</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972.54140926021341</v>
      </c>
      <c r="AE25" s="67">
        <f ca="1">VLOOKUP($B25,'Summary Calculations (hide)'!$D$15:$U$67,18,0)</f>
        <v>52.229075682492976</v>
      </c>
    </row>
    <row r="26" spans="1:31" x14ac:dyDescent="0.25">
      <c r="A26" s="87">
        <f t="shared" ca="1" si="3"/>
        <v>44193</v>
      </c>
      <c r="B26" s="67">
        <f t="shared" ca="1" si="0"/>
        <v>1</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527.15879999999993</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3.1378500000000713</v>
      </c>
      <c r="E26" s="5">
        <f ca="1">VLOOKUP($B26,'Summary Calculations (hide)'!$D$15:$U$67,15,0)</f>
        <v>197.1594827586207</v>
      </c>
      <c r="F26" s="5">
        <f ca="1">VLOOKUP($B26,'Summary Calculations (hide)'!$D$15:$U$67,16,0)</f>
        <v>46.939655172413801</v>
      </c>
      <c r="G26" s="5">
        <f t="shared" ca="1" si="1"/>
        <v>244.09913793103451</v>
      </c>
      <c r="H26" s="5">
        <f t="shared" ca="1" si="2"/>
        <v>244.09913793103451</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864.48125267574528</v>
      </c>
      <c r="AE26" s="67">
        <f ca="1">VLOOKUP($B26,'Summary Calculations (hide)'!$D$15:$U$67,18,0)</f>
        <v>41.423060024046094</v>
      </c>
    </row>
    <row r="27" spans="1:31" x14ac:dyDescent="0.25">
      <c r="A27" s="87">
        <f t="shared" ca="1" si="3"/>
        <v>44200</v>
      </c>
      <c r="B27" s="67">
        <f t="shared" ca="1" si="0"/>
        <v>2</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547.03184999999996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3.1378499999999576</v>
      </c>
      <c r="E27" s="5">
        <f ca="1">VLOOKUP($B27,'Summary Calculations (hide)'!$D$15:$U$67,15,0)</f>
        <v>197.1594827586207</v>
      </c>
      <c r="F27" s="5">
        <f ca="1">VLOOKUP($B27,'Summary Calculations (hide)'!$D$15:$U$67,16,0)</f>
        <v>46.939655172413801</v>
      </c>
      <c r="G27" s="5">
        <f t="shared" ca="1" si="1"/>
        <v>244.09913793103451</v>
      </c>
      <c r="H27" s="5">
        <f t="shared" ca="1" si="2"/>
        <v>244.09913793103451</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1080.6015658446815</v>
      </c>
      <c r="AE27" s="67">
        <f ca="1">VLOOKUP($B27,'Summary Calculations (hide)'!$D$15:$U$67,18,0)</f>
        <v>63.035091340939744</v>
      </c>
    </row>
    <row r="28" spans="1:31" x14ac:dyDescent="0.25">
      <c r="A28" s="87">
        <f t="shared" ca="1" si="3"/>
        <v>44207</v>
      </c>
      <c r="B28" s="67">
        <f t="shared" ca="1" si="0"/>
        <v>3</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566.9049</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3.1378499999999576</v>
      </c>
      <c r="E28" s="5">
        <f ca="1">VLOOKUP($B28,'Summary Calculations (hide)'!$D$15:$U$67,15,0)</f>
        <v>197.1594827586207</v>
      </c>
      <c r="F28" s="5">
        <f ca="1">VLOOKUP($B28,'Summary Calculations (hide)'!$D$15:$U$67,16,0)</f>
        <v>46.939655172413801</v>
      </c>
      <c r="G28" s="5">
        <f t="shared" ca="1" si="1"/>
        <v>244.09913793103451</v>
      </c>
      <c r="H28" s="5">
        <f t="shared" ca="1" si="2"/>
        <v>244.09913793103451</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963.53639621150785</v>
      </c>
      <c r="AE28" s="67">
        <f ca="1">VLOOKUP($B28,'Summary Calculations (hide)'!$D$15:$U$67,18,0)</f>
        <v>51.328574377622317</v>
      </c>
    </row>
    <row r="29" spans="1:31" x14ac:dyDescent="0.25">
      <c r="A29" s="87">
        <f t="shared" ca="1" si="3"/>
        <v>44214</v>
      </c>
      <c r="B29" s="67">
        <f t="shared" ca="1" si="0"/>
        <v>4</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586.77794999999992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3.1378500000000713</v>
      </c>
      <c r="E29" s="5">
        <f ca="1">VLOOKUP($B29,'Summary Calculations (hide)'!$D$15:$U$67,15,0)</f>
        <v>197.1594827586207</v>
      </c>
      <c r="F29" s="5">
        <f ca="1">VLOOKUP($B29,'Summary Calculations (hide)'!$D$15:$U$67,16,0)</f>
        <v>46.939655172413801</v>
      </c>
      <c r="G29" s="5">
        <f t="shared" ca="1" si="1"/>
        <v>244.09913793103451</v>
      </c>
      <c r="H29" s="5">
        <f t="shared" ca="1" si="2"/>
        <v>244.09913793103451</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990.55143535762488</v>
      </c>
      <c r="AE29" s="67">
        <f ca="1">VLOOKUP($B29,'Summary Calculations (hide)'!$D$15:$U$67,18,0)</f>
        <v>54.030078292233952</v>
      </c>
    </row>
    <row r="30" spans="1:31" x14ac:dyDescent="0.25">
      <c r="A30" s="87">
        <f t="shared" ca="1" si="3"/>
        <v>44221</v>
      </c>
      <c r="B30" s="67">
        <f t="shared" ca="1" si="0"/>
        <v>5</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606.65099999999995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3.1378500000000713</v>
      </c>
      <c r="E30" s="5">
        <f ca="1">VLOOKUP($B30,'Summary Calculations (hide)'!$D$15:$U$67,15,0)</f>
        <v>197.1594827586207</v>
      </c>
      <c r="F30" s="5">
        <f ca="1">VLOOKUP($B30,'Summary Calculations (hide)'!$D$15:$U$67,16,0)</f>
        <v>46.939655172413801</v>
      </c>
      <c r="G30" s="5">
        <f t="shared" ca="1" si="1"/>
        <v>244.09913793103451</v>
      </c>
      <c r="H30" s="5">
        <f t="shared" ca="1" si="2"/>
        <v>244.09913793103451</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459.25566548398967</v>
      </c>
      <c r="AE30" s="67">
        <f ca="1">VLOOKUP($B30,'Summary Calculations (hide)'!$D$15:$U$67,18,0)</f>
        <v>45.925566548398933</v>
      </c>
    </row>
    <row r="31" spans="1:31" x14ac:dyDescent="0.25">
      <c r="A31" s="87">
        <f t="shared" ca="1" si="3"/>
        <v>44228</v>
      </c>
      <c r="B31" s="67">
        <f t="shared" ca="1" si="0"/>
        <v>6</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826.30049999999994</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30.332549999999969</v>
      </c>
      <c r="E31" s="5">
        <f ca="1">VLOOKUP($B31,'Summary Calculations (hide)'!$D$15:$U$67,15,0)</f>
        <v>197.1594827586207</v>
      </c>
      <c r="F31" s="5">
        <f ca="1">VLOOKUP($B31,'Summary Calculations (hide)'!$D$15:$U$67,16,0)</f>
        <v>46.939655172413801</v>
      </c>
      <c r="G31" s="5">
        <f t="shared" ca="1" si="1"/>
        <v>244.09913793103451</v>
      </c>
      <c r="H31" s="5">
        <f t="shared" ca="1" si="2"/>
        <v>244.09913793103451</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270.15039146117039</v>
      </c>
      <c r="AE31" s="67">
        <f ca="1">VLOOKUP($B31,'Summary Calculations (hide)'!$D$15:$U$67,18,0)</f>
        <v>27.01503914611709</v>
      </c>
    </row>
    <row r="32" spans="1:31" x14ac:dyDescent="0.25">
      <c r="A32" s="87">
        <f t="shared" ca="1" si="3"/>
        <v>44235</v>
      </c>
      <c r="B32" s="67">
        <f t="shared" ca="1" si="0"/>
        <v>7</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1077.3285000000001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55.435349999999744</v>
      </c>
      <c r="E32" s="5">
        <f ca="1">VLOOKUP($B32,'Summary Calculations (hide)'!$D$15:$U$67,15,0)</f>
        <v>197.1594827586207</v>
      </c>
      <c r="F32" s="5">
        <f ca="1">VLOOKUP($B32,'Summary Calculations (hide)'!$D$15:$U$67,16,0)</f>
        <v>46.939655172413801</v>
      </c>
      <c r="G32" s="5">
        <f t="shared" ca="1" si="1"/>
        <v>244.09913793103451</v>
      </c>
      <c r="H32" s="5">
        <f t="shared" ca="1" si="2"/>
        <v>244.09913793103451</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693.38600475033741</v>
      </c>
      <c r="AE32" s="67">
        <f ca="1">VLOOKUP($B32,'Summary Calculations (hide)'!$D$15:$U$67,18,0)</f>
        <v>69.338600475033786</v>
      </c>
    </row>
    <row r="33" spans="1:31" x14ac:dyDescent="0.25">
      <c r="A33" s="87">
        <f t="shared" ca="1" si="3"/>
        <v>44242</v>
      </c>
      <c r="B33" s="67">
        <f t="shared" ca="1" si="0"/>
        <v>8</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857.67899999999997</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33.470400000000041</v>
      </c>
      <c r="E33" s="5">
        <f ca="1">VLOOKUP($B33,'Summary Calculations (hide)'!$D$15:$U$67,15,0)</f>
        <v>197.1594827586207</v>
      </c>
      <c r="F33" s="5">
        <f ca="1">VLOOKUP($B33,'Summary Calculations (hide)'!$D$15:$U$67,16,0)</f>
        <v>46.939655172413801</v>
      </c>
      <c r="G33" s="5">
        <f t="shared" ca="1" si="1"/>
        <v>244.09913793103451</v>
      </c>
      <c r="H33" s="5">
        <f t="shared" ca="1" si="2"/>
        <v>244.09913793103451</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459.25566548398967</v>
      </c>
      <c r="AE33" s="67">
        <f ca="1">VLOOKUP($B33,'Summary Calculations (hide)'!$D$15:$U$67,18,0)</f>
        <v>45.925566548398933</v>
      </c>
    </row>
    <row r="34" spans="1:31" x14ac:dyDescent="0.25">
      <c r="A34" s="87">
        <f t="shared" ca="1" si="3"/>
        <v>44249</v>
      </c>
      <c r="B34" s="67">
        <f t="shared" ca="1" si="0"/>
        <v>9</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1286.5184999999999</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76.354350000000068</v>
      </c>
      <c r="E34" s="5">
        <f ca="1">VLOOKUP($B34,'Summary Calculations (hide)'!$D$15:$U$67,15,0)</f>
        <v>197.1594827586207</v>
      </c>
      <c r="F34" s="5">
        <f ca="1">VLOOKUP($B34,'Summary Calculations (hide)'!$D$15:$U$67,16,0)</f>
        <v>46.939655172413801</v>
      </c>
      <c r="G34" s="5">
        <f t="shared" ca="1" si="1"/>
        <v>244.09913793103451</v>
      </c>
      <c r="H34" s="5">
        <f t="shared" ca="1" si="2"/>
        <v>244.09913793103451</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396.22057414304987</v>
      </c>
      <c r="AE34" s="67">
        <f ca="1">VLOOKUP($B34,'Summary Calculations (hide)'!$D$15:$U$67,18,0)</f>
        <v>39.622057414305061</v>
      </c>
    </row>
    <row r="35" spans="1:31" x14ac:dyDescent="0.25">
      <c r="A35" s="87">
        <f t="shared" ca="1" si="3"/>
        <v>44256</v>
      </c>
      <c r="B35" s="67">
        <f t="shared" ca="1" si="0"/>
        <v>10</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1129.626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60.665099999999939</v>
      </c>
      <c r="E35" s="5">
        <f ca="1">VLOOKUP($B35,'Summary Calculations (hide)'!$D$15:$U$67,15,0)</f>
        <v>194.1594827586207</v>
      </c>
      <c r="F35" s="5">
        <f ca="1">VLOOKUP($B35,'Summary Calculations (hide)'!$D$15:$U$67,16,0)</f>
        <v>46.939655172413801</v>
      </c>
      <c r="G35" s="5">
        <f t="shared" ca="1" si="1"/>
        <v>241.09913793103451</v>
      </c>
      <c r="H35" s="5">
        <f t="shared" ca="1" si="2"/>
        <v>241.09913793103451</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585.32584816586927</v>
      </c>
      <c r="AE35" s="67">
        <f ca="1">VLOOKUP($B35,'Summary Calculations (hide)'!$D$15:$U$67,18,0)</f>
        <v>58.532584816586905</v>
      </c>
    </row>
    <row r="36" spans="1:31" x14ac:dyDescent="0.25">
      <c r="A36" s="87">
        <f t="shared" ca="1" si="3"/>
        <v>44263</v>
      </c>
      <c r="B36" s="67">
        <f t="shared" ca="1" si="0"/>
        <v>11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1129.626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60.665099999999939</v>
      </c>
      <c r="E36" s="5">
        <f ca="1">VLOOKUP($B36,'Summary Calculations (hide)'!$D$15:$U$67,15,0)</f>
        <v>194.1594827586207</v>
      </c>
      <c r="F36" s="5">
        <f ca="1">VLOOKUP($B36,'Summary Calculations (hide)'!$D$15:$U$67,16,0)</f>
        <v>46.939655172413801</v>
      </c>
      <c r="G36" s="5">
        <f t="shared" ca="1" si="1"/>
        <v>241.09913793103451</v>
      </c>
      <c r="H36" s="5">
        <f t="shared" ca="1" si="2"/>
        <v>241.09913793103451</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558.31080901975213</v>
      </c>
      <c r="AE36" s="67">
        <f ca="1">VLOOKUP($B36,'Summary Calculations (hide)'!$D$15:$U$67,18,0)</f>
        <v>55.83108090197527</v>
      </c>
    </row>
    <row r="37" spans="1:31" x14ac:dyDescent="0.25">
      <c r="A37" s="87">
        <f t="shared" ca="1" si="3"/>
        <v>44270</v>
      </c>
      <c r="B37" s="67">
        <f t="shared" ca="1" si="0"/>
        <v>12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1004.112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48.113699999999994</v>
      </c>
      <c r="E37" s="5">
        <f ca="1">VLOOKUP($B37,'Summary Calculations (hide)'!$D$15:$U$67,15,0)</f>
        <v>194.1594827586207</v>
      </c>
      <c r="F37" s="5">
        <f ca="1">VLOOKUP($B37,'Summary Calculations (hide)'!$D$15:$U$67,16,0)</f>
        <v>46.939655172413801</v>
      </c>
      <c r="G37" s="5">
        <f t="shared" ca="1" si="1"/>
        <v>241.09913793103451</v>
      </c>
      <c r="H37" s="5">
        <f t="shared" ca="1" si="2"/>
        <v>241.09913793103451</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288.1604175585818</v>
      </c>
      <c r="AE37" s="67">
        <f ca="1">VLOOKUP($B37,'Summary Calculations (hide)'!$D$15:$U$67,18,0)</f>
        <v>28.816041755858123</v>
      </c>
    </row>
    <row r="38" spans="1:31" x14ac:dyDescent="0.25">
      <c r="A38" s="87">
        <f t="shared" ca="1" si="3"/>
        <v>44277</v>
      </c>
      <c r="B38" s="67">
        <f t="shared" ca="1" si="0"/>
        <v>13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1255.1399999999999</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73.216499999999996</v>
      </c>
      <c r="E38" s="5">
        <f ca="1">VLOOKUP($B38,'Summary Calculations (hide)'!$D$15:$U$67,15,0)</f>
        <v>194.1594827586207</v>
      </c>
      <c r="F38" s="5">
        <f ca="1">VLOOKUP($B38,'Summary Calculations (hide)'!$D$15:$U$67,16,0)</f>
        <v>46.939655172413801</v>
      </c>
      <c r="G38" s="5">
        <f t="shared" ca="1" si="1"/>
        <v>241.09913793103451</v>
      </c>
      <c r="H38" s="5">
        <f t="shared" ca="1" si="2"/>
        <v>241.09913793103451</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405.22558719175561</v>
      </c>
      <c r="AE38" s="67">
        <f ca="1">VLOOKUP($B38,'Summary Calculations (hide)'!$D$15:$U$67,18,0)</f>
        <v>40.522558719175606</v>
      </c>
    </row>
    <row r="39" spans="1:31" x14ac:dyDescent="0.25">
      <c r="A39" s="87">
        <f t="shared" ca="1" si="3"/>
        <v>44284</v>
      </c>
      <c r="B39" s="67">
        <f t="shared" ca="1" si="0"/>
        <v>14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1119.1665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59.619149999999763</v>
      </c>
      <c r="E39" s="5">
        <f ca="1">VLOOKUP($B39,'Summary Calculations (hide)'!$D$15:$U$67,15,0)</f>
        <v>194.1594827586207</v>
      </c>
      <c r="F39" s="5">
        <f ca="1">VLOOKUP($B39,'Summary Calculations (hide)'!$D$15:$U$67,16,0)</f>
        <v>46.939655172413801</v>
      </c>
      <c r="G39" s="5">
        <f t="shared" ca="1" si="1"/>
        <v>241.09913793103451</v>
      </c>
      <c r="H39" s="5">
        <f t="shared" ca="1" si="2"/>
        <v>241.09913793103451</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432.24062633787264</v>
      </c>
      <c r="AE39" s="67">
        <f ca="1">VLOOKUP($B39,'Summary Calculations (hide)'!$D$15:$U$67,18,0)</f>
        <v>43.224062633787298</v>
      </c>
    </row>
    <row r="40" spans="1:31" x14ac:dyDescent="0.25">
      <c r="A40" s="87">
        <f t="shared" ca="1" si="3"/>
        <v>44291</v>
      </c>
      <c r="B40" s="67">
        <f t="shared" ca="1" si="0"/>
        <v>15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1150.5450000000001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62.756999999999834</v>
      </c>
      <c r="E40" s="5">
        <f ca="1">VLOOKUP($B40,'Summary Calculations (hide)'!$D$15:$U$67,15,0)</f>
        <v>194.1594827586207</v>
      </c>
      <c r="F40" s="5">
        <f ca="1">VLOOKUP($B40,'Summary Calculations (hide)'!$D$15:$U$67,16,0)</f>
        <v>46.939655172413801</v>
      </c>
      <c r="G40" s="5">
        <f t="shared" ca="1" si="1"/>
        <v>241.09913793103451</v>
      </c>
      <c r="H40" s="5">
        <f t="shared" ca="1" si="2"/>
        <v>241.09913793103451</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711.39603084774865</v>
      </c>
      <c r="AE40" s="67">
        <f ca="1">VLOOKUP($B40,'Summary Calculations (hide)'!$D$15:$U$67,18,0)</f>
        <v>71.139603084775104</v>
      </c>
    </row>
    <row r="41" spans="1:31" x14ac:dyDescent="0.25">
      <c r="A41" s="87">
        <f t="shared" ca="1" si="3"/>
        <v>44298</v>
      </c>
      <c r="B41" s="67">
        <f t="shared" ca="1" si="0"/>
        <v>16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533.43449999999996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53.343449999999962</v>
      </c>
      <c r="E41" s="5">
        <f ca="1">VLOOKUP($B41,'Summary Calculations (hide)'!$D$15:$U$67,15,0)</f>
        <v>194.1594827586207</v>
      </c>
      <c r="F41" s="5">
        <f ca="1">VLOOKUP($B41,'Summary Calculations (hide)'!$D$15:$U$67,16,0)</f>
        <v>46.939655172413801</v>
      </c>
      <c r="G41" s="5">
        <f t="shared" ca="1" si="1"/>
        <v>241.09913793103451</v>
      </c>
      <c r="H41" s="5">
        <f t="shared" ca="1" si="2"/>
        <v>241.09913793103451</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297.16543060728748</v>
      </c>
      <c r="AE41" s="67">
        <f ca="1">VLOOKUP($B41,'Summary Calculations (hide)'!$D$15:$U$67,18,0)</f>
        <v>29.716543060728782</v>
      </c>
    </row>
    <row r="42" spans="1:31" x14ac:dyDescent="0.25">
      <c r="A42" s="87">
        <f ca="1">A41+7</f>
        <v>44305</v>
      </c>
      <c r="B42" s="67">
        <f t="shared" ca="1" si="0"/>
        <v>17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313.78499999999997</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31.378500000000031</v>
      </c>
      <c r="E42" s="5">
        <f ca="1">VLOOKUP($B42,'Summary Calculations (hide)'!$D$15:$U$67,15,0)</f>
        <v>194.1594827586207</v>
      </c>
      <c r="F42" s="5">
        <f ca="1">VLOOKUP($B42,'Summary Calculations (hide)'!$D$15:$U$67,16,0)</f>
        <v>46.939655172413801</v>
      </c>
      <c r="G42" s="5">
        <f t="shared" ca="1" si="1"/>
        <v>241.09913793103451</v>
      </c>
      <c r="H42" s="5">
        <f t="shared" ca="1" si="2"/>
        <v>241.09913793103451</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531.29576987363509</v>
      </c>
      <c r="AE42" s="67">
        <f ca="1">VLOOKUP($B42,'Summary Calculations (hide)'!$D$15:$U$67,18,0)</f>
        <v>53.129576987363521</v>
      </c>
    </row>
    <row r="43" spans="1:31" x14ac:dyDescent="0.25">
      <c r="A43" s="87">
        <f t="shared" ca="1" si="3"/>
        <v>44312</v>
      </c>
      <c r="B43" s="67">
        <f t="shared" ca="1" si="0"/>
        <v>18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805.38149999999996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80.538150000000087</v>
      </c>
      <c r="E43" s="5">
        <f ca="1">VLOOKUP($B43,'Summary Calculations (hide)'!$D$15:$U$67,15,0)</f>
        <v>194.1594827586207</v>
      </c>
      <c r="F43" s="5">
        <f ca="1">VLOOKUP($B43,'Summary Calculations (hide)'!$D$15:$U$67,16,0)</f>
        <v>46.939655172413801</v>
      </c>
      <c r="G43" s="5">
        <f t="shared" ca="1" si="1"/>
        <v>241.09913793103451</v>
      </c>
      <c r="H43" s="5">
        <f t="shared" ca="1" si="2"/>
        <v>241.09913793103451</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378.21054804563857</v>
      </c>
      <c r="AE43" s="67">
        <f ca="1">VLOOKUP($B43,'Summary Calculations (hide)'!$D$15:$U$67,18,0)</f>
        <v>37.821054804563914</v>
      </c>
    </row>
    <row r="44" spans="1:31" x14ac:dyDescent="0.25">
      <c r="A44" s="87">
        <f t="shared" ca="1" si="3"/>
        <v>44319</v>
      </c>
      <c r="B44" s="67">
        <f t="shared" ca="1" si="0"/>
        <v>19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533.43449999999996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53.343449999999962</v>
      </c>
      <c r="E44" s="5">
        <f ca="1">VLOOKUP($B44,'Summary Calculations (hide)'!$D$15:$U$67,15,0)</f>
        <v>194.1594827586207</v>
      </c>
      <c r="F44" s="5">
        <f ca="1">VLOOKUP($B44,'Summary Calculations (hide)'!$D$15:$U$67,16,0)</f>
        <v>46.939655172413801</v>
      </c>
      <c r="G44" s="5">
        <f t="shared" ca="1" si="1"/>
        <v>241.09913793103451</v>
      </c>
      <c r="H44" s="5">
        <f t="shared" ca="1" si="2"/>
        <v>241.09913793103451</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702.39101779904297</v>
      </c>
      <c r="AE44" s="67">
        <f ca="1">VLOOKUP($B44,'Summary Calculations (hide)'!$D$15:$U$67,18,0)</f>
        <v>70.239101779904558</v>
      </c>
    </row>
    <row r="45" spans="1:31" x14ac:dyDescent="0.25">
      <c r="A45" s="87">
        <f t="shared" ca="1" si="3"/>
        <v>44326</v>
      </c>
      <c r="B45" s="67">
        <f t="shared" ca="1" si="0"/>
        <v>20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460.21800000000002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46.021800000000042</v>
      </c>
      <c r="E45" s="5">
        <f ca="1">VLOOKUP($B45,'Summary Calculations (hide)'!$D$15:$U$67,15,0)</f>
        <v>194.1594827586207</v>
      </c>
      <c r="F45" s="5">
        <f ca="1">VLOOKUP($B45,'Summary Calculations (hide)'!$D$15:$U$67,16,0)</f>
        <v>46.939655172413801</v>
      </c>
      <c r="G45" s="5">
        <f t="shared" ca="1" si="1"/>
        <v>241.09913793103451</v>
      </c>
      <c r="H45" s="5">
        <f t="shared" ca="1" si="2"/>
        <v>241.09913793103451</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496.62646963611826</v>
      </c>
      <c r="AE45" s="67">
        <f ca="1">VLOOKUP($B45,'Summary Calculations (hide)'!$D$15:$U$67,18,0)</f>
        <v>101.30639679793887</v>
      </c>
    </row>
    <row r="46" spans="1:31" x14ac:dyDescent="0.25">
      <c r="A46" s="87">
        <f t="shared" ca="1" si="3"/>
        <v>44333</v>
      </c>
      <c r="B46" s="67">
        <f t="shared" ca="1" si="0"/>
        <v>21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679.86749999999995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67.986750000000143</v>
      </c>
      <c r="E46" s="5">
        <f ca="1">VLOOKUP($B46,'Summary Calculations (hide)'!$D$15:$U$67,15,0)</f>
        <v>194.1594827586207</v>
      </c>
      <c r="F46" s="5">
        <f ca="1">VLOOKUP($B46,'Summary Calculations (hide)'!$D$15:$U$67,16,0)</f>
        <v>46.939655172413801</v>
      </c>
      <c r="G46" s="5">
        <f t="shared" ca="1" si="1"/>
        <v>241.09913793103451</v>
      </c>
      <c r="H46" s="5">
        <f t="shared" ca="1" si="2"/>
        <v>241.09913793103451</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180.10026097411361</v>
      </c>
      <c r="AE46" s="67">
        <f ca="1">VLOOKUP($B46,'Summary Calculations (hide)'!$D$15:$U$67,18,0)</f>
        <v>2.7015039146116919</v>
      </c>
    </row>
    <row r="47" spans="1:31" x14ac:dyDescent="0.25">
      <c r="A47" s="87">
        <f t="shared" ca="1" si="3"/>
        <v>44340</v>
      </c>
      <c r="B47" s="67">
        <f t="shared" ca="1" si="0"/>
        <v>22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648.48900000000003</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64.848899999999958</v>
      </c>
      <c r="E47" s="5">
        <f ca="1">VLOOKUP($B47,'Summary Calculations (hide)'!$D$15:$U$67,15,0)</f>
        <v>194.1594827586207</v>
      </c>
      <c r="F47" s="5">
        <f ca="1">VLOOKUP($B47,'Summary Calculations (hide)'!$D$15:$U$67,16,0)</f>
        <v>46.939655172413801</v>
      </c>
      <c r="G47" s="5">
        <f t="shared" ca="1" si="1"/>
        <v>241.09913793103451</v>
      </c>
      <c r="H47" s="5">
        <f t="shared" ca="1" si="2"/>
        <v>241.09913793103451</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180.10026097411361</v>
      </c>
      <c r="AE47" s="67">
        <f ca="1">VLOOKUP($B47,'Summary Calculations (hide)'!$D$15:$U$67,18,0)</f>
        <v>2.7015039146116919</v>
      </c>
    </row>
    <row r="48" spans="1:31" x14ac:dyDescent="0.25">
      <c r="A48" s="87">
        <f t="shared" ca="1" si="3"/>
        <v>44347</v>
      </c>
      <c r="B48" s="67">
        <f t="shared" ca="1" si="0"/>
        <v>23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334.70400000000001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33.470399999999984</v>
      </c>
      <c r="E48" s="5">
        <f ca="1">VLOOKUP($B48,'Summary Calculations (hide)'!$D$15:$U$67,15,0)</f>
        <v>194.1594827586207</v>
      </c>
      <c r="F48" s="5">
        <f ca="1">VLOOKUP($B48,'Summary Calculations (hide)'!$D$15:$U$67,16,0)</f>
        <v>46.939655172413801</v>
      </c>
      <c r="G48" s="5">
        <f t="shared" ca="1" si="1"/>
        <v>241.09913793103451</v>
      </c>
      <c r="H48" s="5">
        <f t="shared" ca="1" si="2"/>
        <v>4015.0991379310344</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180.10026097411361</v>
      </c>
      <c r="AE48" s="67">
        <f ca="1">VLOOKUP($B48,'Summary Calculations (hide)'!$D$15:$U$67,18,0)</f>
        <v>2.7015039146116919</v>
      </c>
    </row>
    <row r="49" spans="1:31" x14ac:dyDescent="0.25">
      <c r="A49" s="87">
        <f t="shared" ca="1" si="3"/>
        <v>44354</v>
      </c>
      <c r="B49" s="67">
        <f t="shared" ca="1" si="0"/>
        <v>24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470.67750000000001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47.067749999999933</v>
      </c>
      <c r="E49" s="5">
        <f ca="1">VLOOKUP($B49,'Summary Calculations (hide)'!$D$15:$U$67,15,0)</f>
        <v>194.1594827586207</v>
      </c>
      <c r="F49" s="5">
        <f ca="1">VLOOKUP($B49,'Summary Calculations (hide)'!$D$15:$U$67,16,0)</f>
        <v>46.939655172413801</v>
      </c>
      <c r="G49" s="5">
        <f t="shared" ca="1" si="1"/>
        <v>241.09913793103451</v>
      </c>
      <c r="H49" s="5">
        <f t="shared" ca="1" si="2"/>
        <v>4015.0991379310344</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180.10026097411361</v>
      </c>
      <c r="AE49" s="67">
        <f ca="1">VLOOKUP($B49,'Summary Calculations (hide)'!$D$15:$U$67,18,0)</f>
        <v>2.7015039146116919</v>
      </c>
    </row>
    <row r="50" spans="1:31" x14ac:dyDescent="0.25">
      <c r="A50" s="87">
        <f t="shared" ca="1" si="3"/>
        <v>44361</v>
      </c>
      <c r="B50" s="67">
        <f t="shared" ca="1" si="0"/>
        <v>25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502.05599999999998</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50.205600000000061</v>
      </c>
      <c r="E50" s="5">
        <f ca="1">VLOOKUP($B50,'Summary Calculations (hide)'!$D$15:$U$67,15,0)</f>
        <v>195.1594827586207</v>
      </c>
      <c r="F50" s="5">
        <f ca="1">VLOOKUP($B50,'Summary Calculations (hide)'!$D$15:$U$67,16,0)</f>
        <v>46.939655172413801</v>
      </c>
      <c r="G50" s="5">
        <f t="shared" ca="1" si="1"/>
        <v>242.09913793103451</v>
      </c>
      <c r="H50" s="5">
        <f t="shared" ca="1" si="2"/>
        <v>242.09913793103451</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180.10026097411361</v>
      </c>
      <c r="AE50" s="67">
        <f ca="1">VLOOKUP($B50,'Summary Calculations (hide)'!$D$15:$U$67,18,0)</f>
        <v>2.7015039146116919</v>
      </c>
    </row>
    <row r="51" spans="1:31" x14ac:dyDescent="0.25">
      <c r="A51" s="87">
        <f t="shared" ca="1" si="3"/>
        <v>44368</v>
      </c>
      <c r="B51" s="67">
        <f t="shared" ca="1" si="0"/>
        <v>26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826.30049999999994</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82.63005000000021</v>
      </c>
      <c r="E51" s="5">
        <f ca="1">VLOOKUP($B51,'Summary Calculations (hide)'!$D$15:$U$67,15,0)</f>
        <v>195.1594827586207</v>
      </c>
      <c r="F51" s="5">
        <f ca="1">VLOOKUP($B51,'Summary Calculations (hide)'!$D$15:$U$67,16,0)</f>
        <v>46.939655172413801</v>
      </c>
      <c r="G51" s="5">
        <f t="shared" ca="1" si="1"/>
        <v>242.09913793103451</v>
      </c>
      <c r="H51" s="5">
        <f t="shared" ca="1" si="2"/>
        <v>242.09913793103451</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180.10026097411361</v>
      </c>
      <c r="AE51" s="67">
        <f ca="1">VLOOKUP($B51,'Summary Calculations (hide)'!$D$15:$U$67,18,0)</f>
        <v>2.7015039146116919</v>
      </c>
    </row>
    <row r="52" spans="1:31" x14ac:dyDescent="0.25">
      <c r="A52" s="87">
        <f t="shared" ca="1" si="3"/>
        <v>44375</v>
      </c>
      <c r="B52" s="67">
        <f t="shared" ca="1" si="0"/>
        <v>27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345.1635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34.516350000000045</v>
      </c>
      <c r="E52" s="5">
        <f ca="1">VLOOKUP($B52,'Summary Calculations (hide)'!$D$15:$U$67,15,0)</f>
        <v>195.1594827586207</v>
      </c>
      <c r="F52" s="5">
        <f ca="1">VLOOKUP($B52,'Summary Calculations (hide)'!$D$15:$U$67,16,0)</f>
        <v>46.939655172413801</v>
      </c>
      <c r="G52" s="5">
        <f t="shared" ca="1" si="1"/>
        <v>242.09913793103451</v>
      </c>
      <c r="H52" s="5">
        <f t="shared" ca="1" si="2"/>
        <v>242.09913793103451</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180.10026097411361</v>
      </c>
      <c r="AE52" s="67">
        <f ca="1">VLOOKUP($B52,'Summary Calculations (hide)'!$D$15:$U$67,18,0)</f>
        <v>2.7015039146116919</v>
      </c>
    </row>
    <row r="53" spans="1:31" x14ac:dyDescent="0.25">
      <c r="A53" s="87">
        <f t="shared" ca="1" si="3"/>
        <v>44382</v>
      </c>
      <c r="B53" s="67">
        <f t="shared" ca="1" si="0"/>
        <v>28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617.1105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61.71105</v>
      </c>
      <c r="E53" s="5">
        <f ca="1">VLOOKUP($B53,'Summary Calculations (hide)'!$D$15:$U$67,15,0)</f>
        <v>195.1594827586207</v>
      </c>
      <c r="F53" s="5">
        <f ca="1">VLOOKUP($B53,'Summary Calculations (hide)'!$D$15:$U$67,16,0)</f>
        <v>46.939655172413801</v>
      </c>
      <c r="G53" s="5">
        <f t="shared" ca="1" si="1"/>
        <v>242.09913793103451</v>
      </c>
      <c r="H53" s="5">
        <f t="shared" ca="1" si="2"/>
        <v>242.09913793103451</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197.20978576665439</v>
      </c>
      <c r="AE53" s="67">
        <f ca="1">VLOOKUP($B53,'Summary Calculations (hide)'!$D$15:$U$67,18,0)</f>
        <v>2.7015039146116919</v>
      </c>
    </row>
    <row r="54" spans="1:31" x14ac:dyDescent="0.25">
      <c r="A54" s="87">
        <f t="shared" ca="1" si="3"/>
        <v>44389</v>
      </c>
      <c r="B54" s="67">
        <f t="shared" ca="1" si="0"/>
        <v>29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439.29899999999998</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43.929900000000089</v>
      </c>
      <c r="E54" s="5">
        <f ca="1">VLOOKUP($B54,'Summary Calculations (hide)'!$D$15:$U$67,15,0)</f>
        <v>195.1594827586207</v>
      </c>
      <c r="F54" s="5">
        <f ca="1">VLOOKUP($B54,'Summary Calculations (hide)'!$D$15:$U$67,16,0)</f>
        <v>46.939655172413801</v>
      </c>
      <c r="G54" s="5">
        <f t="shared" ca="1" si="1"/>
        <v>242.09913793103451</v>
      </c>
      <c r="H54" s="5">
        <f t="shared" ca="1" si="2"/>
        <v>242.09913793103451</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214.3193105591952</v>
      </c>
      <c r="AE54" s="67">
        <f ca="1">VLOOKUP($B54,'Summary Calculations (hide)'!$D$15:$U$67,18,0)</f>
        <v>2.7015039146116919</v>
      </c>
    </row>
    <row r="55" spans="1:31" x14ac:dyDescent="0.25">
      <c r="A55" s="87">
        <f t="shared" ca="1" si="3"/>
        <v>44396</v>
      </c>
      <c r="B55" s="67">
        <f t="shared" ca="1" si="0"/>
        <v>30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815.84100000000001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81.584100000000149</v>
      </c>
      <c r="E55" s="5">
        <f ca="1">VLOOKUP($B55,'Summary Calculations (hide)'!$D$15:$U$67,15,0)</f>
        <v>195.1594827586207</v>
      </c>
      <c r="F55" s="5">
        <f ca="1">VLOOKUP($B55,'Summary Calculations (hide)'!$D$15:$U$67,16,0)</f>
        <v>46.939655172413801</v>
      </c>
      <c r="G55" s="5">
        <f t="shared" ca="1" si="1"/>
        <v>242.09913793103451</v>
      </c>
      <c r="H55" s="5">
        <f t="shared" ca="1" si="2"/>
        <v>242.09913793103451</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231.42883535173598</v>
      </c>
      <c r="AE55" s="67">
        <f ca="1">VLOOKUP($B55,'Summary Calculations (hide)'!$D$15:$U$67,18,0)</f>
        <v>2.7015039146116919</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242.53310019518548</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2020-08-14T17:21:04Z</dcterms:modified>
</cp:coreProperties>
</file>